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addy\Google 雲端硬碟\清大計財\財務管理\answers\"/>
    </mc:Choice>
  </mc:AlternateContent>
  <xr:revisionPtr revIDLastSave="0" documentId="13_ncr:1_{66CDE37F-6F4C-4A52-9A41-F5345615EC56}" xr6:coauthVersionLast="45" xr6:coauthVersionMax="45" xr10:uidLastSave="{00000000-0000-0000-0000-000000000000}"/>
  <bookViews>
    <workbookView xWindow="-108" yWindow="-108" windowWidth="23256" windowHeight="12576" activeTab="13" xr2:uid="{00000000-000D-0000-FFFF-FFFF00000000}"/>
  </bookViews>
  <sheets>
    <sheet name="Chapter 4" sheetId="77" r:id="rId1"/>
    <sheet name="#1" sheetId="85" r:id="rId2"/>
    <sheet name="#2" sheetId="84" r:id="rId3"/>
    <sheet name="#3" sheetId="87" r:id="rId4"/>
    <sheet name="#4" sheetId="86" r:id="rId5"/>
    <sheet name="#5" sheetId="88" r:id="rId6"/>
    <sheet name="#6" sheetId="89" r:id="rId7"/>
    <sheet name="#7" sheetId="90" r:id="rId8"/>
    <sheet name="#8" sheetId="115" r:id="rId9"/>
    <sheet name="#9" sheetId="92" r:id="rId10"/>
    <sheet name="#10" sheetId="93" r:id="rId11"/>
    <sheet name="#11" sheetId="1" r:id="rId12"/>
    <sheet name="#12" sheetId="2" r:id="rId13"/>
    <sheet name="#13" sheetId="4" r:id="rId14"/>
    <sheet name="#14" sheetId="10" r:id="rId15"/>
    <sheet name="#15" sheetId="12" r:id="rId16"/>
    <sheet name="#16" sheetId="13" r:id="rId17"/>
    <sheet name="#17" sheetId="14" r:id="rId18"/>
    <sheet name="#18" sheetId="20" r:id="rId19"/>
    <sheet name="#19" sheetId="21" r:id="rId20"/>
    <sheet name="#20" sheetId="79" r:id="rId21"/>
    <sheet name="#21" sheetId="94" r:id="rId22"/>
    <sheet name="#22" sheetId="29" r:id="rId23"/>
    <sheet name="#23" sheetId="32" r:id="rId24"/>
    <sheet name="#24" sheetId="36" r:id="rId25"/>
    <sheet name="#25" sheetId="39" r:id="rId26"/>
    <sheet name="#26" sheetId="95" r:id="rId27"/>
    <sheet name="#27" sheetId="96" r:id="rId28"/>
    <sheet name="#28" sheetId="97" r:id="rId29"/>
    <sheet name="#29" sheetId="98" r:id="rId30"/>
    <sheet name="#30" sheetId="99" r:id="rId31"/>
    <sheet name="#31" sheetId="100" r:id="rId32"/>
    <sheet name="#32" sheetId="101" r:id="rId33"/>
    <sheet name="#33" sheetId="102" r:id="rId34"/>
    <sheet name="#34" sheetId="103" r:id="rId35"/>
    <sheet name="#35" sheetId="40" r:id="rId36"/>
    <sheet name="#36" sheetId="41" r:id="rId37"/>
    <sheet name="#37" sheetId="42" r:id="rId38"/>
    <sheet name="#38" sheetId="43" r:id="rId39"/>
    <sheet name="#39" sheetId="44" r:id="rId40"/>
    <sheet name="#40" sheetId="45" r:id="rId41"/>
    <sheet name="#41" sheetId="46" r:id="rId42"/>
    <sheet name="#42" sheetId="47" r:id="rId43"/>
    <sheet name="#43" sheetId="50" r:id="rId44"/>
    <sheet name="#44" sheetId="51" r:id="rId45"/>
    <sheet name="#45" sheetId="52" r:id="rId46"/>
    <sheet name="#46" sheetId="53" r:id="rId47"/>
    <sheet name="#47" sheetId="54" r:id="rId48"/>
    <sheet name="#48" sheetId="56" r:id="rId49"/>
    <sheet name="#49" sheetId="113" r:id="rId50"/>
    <sheet name="#50" sheetId="58" r:id="rId51"/>
    <sheet name="#51" sheetId="105" r:id="rId52"/>
    <sheet name="#52" sheetId="107" r:id="rId53"/>
    <sheet name="#53" sheetId="106" r:id="rId54"/>
    <sheet name="#54" sheetId="108" r:id="rId55"/>
    <sheet name="#55" sheetId="109" r:id="rId56"/>
    <sheet name="#56" sheetId="104" r:id="rId57"/>
    <sheet name="#57" sheetId="81" r:id="rId58"/>
    <sheet name="#58" sheetId="82" r:id="rId59"/>
    <sheet name="#59" sheetId="83" r:id="rId60"/>
    <sheet name="#60" sheetId="61" r:id="rId61"/>
    <sheet name="#61" sheetId="62" r:id="rId62"/>
    <sheet name="#62" sheetId="63" r:id="rId63"/>
    <sheet name="#63" sheetId="65" r:id="rId64"/>
    <sheet name="#64" sheetId="66" r:id="rId65"/>
    <sheet name="#65" sheetId="68" r:id="rId66"/>
    <sheet name="#66" sheetId="69" r:id="rId67"/>
    <sheet name="#67" sheetId="110" r:id="rId68"/>
    <sheet name="#68" sheetId="71" r:id="rId69"/>
    <sheet name="#69" sheetId="72" r:id="rId70"/>
    <sheet name="#70" sheetId="73" r:id="rId71"/>
    <sheet name="#71" sheetId="74" r:id="rId72"/>
    <sheet name="#72" sheetId="114" r:id="rId73"/>
    <sheet name="#74" sheetId="111" r:id="rId74"/>
    <sheet name="#74 Answer Report" sheetId="112" r:id="rId75"/>
    <sheet name="Appendix #1" sheetId="116" r:id="rId76"/>
    <sheet name="Appendix #2" sheetId="117" r:id="rId77"/>
    <sheet name="Appendix #3" sheetId="118" r:id="rId78"/>
    <sheet name="Appendix #4" sheetId="119" r:id="rId79"/>
    <sheet name="Appendix #5" sheetId="120" r:id="rId80"/>
  </sheets>
  <definedNames>
    <definedName name="solver_adj" localSheetId="73" hidden="1">'#74'!$D$9</definedName>
    <definedName name="solver_cvg" localSheetId="73" hidden="1">0.0001</definedName>
    <definedName name="solver_drv" localSheetId="73" hidden="1">1</definedName>
    <definedName name="solver_est" localSheetId="73" hidden="1">1</definedName>
    <definedName name="solver_itr" localSheetId="73" hidden="1">100</definedName>
    <definedName name="solver_lin" localSheetId="73" hidden="1">2</definedName>
    <definedName name="solver_neg" localSheetId="73" hidden="1">2</definedName>
    <definedName name="solver_num" localSheetId="73" hidden="1">0</definedName>
    <definedName name="solver_nwt" localSheetId="73" hidden="1">1</definedName>
    <definedName name="solver_opt" localSheetId="73" hidden="1">'#74'!$D$7</definedName>
    <definedName name="solver_pre" localSheetId="73" hidden="1">0.000001</definedName>
    <definedName name="solver_scl" localSheetId="73" hidden="1">2</definedName>
    <definedName name="solver_sho" localSheetId="73" hidden="1">2</definedName>
    <definedName name="solver_tim" localSheetId="73" hidden="1">100</definedName>
    <definedName name="solver_tol" localSheetId="73" hidden="1">0.05</definedName>
    <definedName name="solver_typ" localSheetId="73" hidden="1">3</definedName>
    <definedName name="solver_val" localSheetId="73" hidden="1">0</definedName>
  </definedNames>
  <calcPr calcId="191029"/>
</workbook>
</file>

<file path=xl/calcChain.xml><?xml version="1.0" encoding="utf-8"?>
<calcChain xmlns="http://schemas.openxmlformats.org/spreadsheetml/2006/main">
  <c r="C26" i="73" l="1"/>
  <c r="C13" i="81"/>
  <c r="C16" i="97" l="1"/>
  <c r="C17" i="98" l="1"/>
  <c r="D25" i="93"/>
  <c r="D23" i="93"/>
  <c r="D21" i="93"/>
  <c r="D19" i="93"/>
  <c r="D15" i="85"/>
  <c r="D17" i="85" s="1"/>
  <c r="D19" i="85" s="1"/>
  <c r="C28" i="56" l="1"/>
  <c r="C27" i="56"/>
  <c r="C26" i="56"/>
  <c r="C22" i="56"/>
  <c r="C18" i="53"/>
  <c r="C16" i="53"/>
  <c r="D15" i="36"/>
  <c r="D17" i="36" s="1"/>
  <c r="C16" i="50" l="1"/>
  <c r="D19" i="40"/>
  <c r="D18" i="40"/>
  <c r="C19" i="40"/>
  <c r="C18" i="40"/>
  <c r="C17" i="40"/>
  <c r="D19" i="4"/>
  <c r="D18" i="4"/>
  <c r="C19" i="4"/>
  <c r="C18" i="4"/>
  <c r="C17" i="4"/>
  <c r="D26" i="2"/>
  <c r="D25" i="2"/>
  <c r="C26" i="2"/>
  <c r="C25" i="2"/>
  <c r="D21" i="2"/>
  <c r="D22" i="2"/>
  <c r="C22" i="2"/>
  <c r="C21" i="2"/>
  <c r="D23" i="1"/>
  <c r="D22" i="1"/>
  <c r="D21" i="1"/>
  <c r="C22" i="1"/>
  <c r="C23" i="1"/>
  <c r="C21" i="1"/>
  <c r="D19" i="72"/>
  <c r="D17" i="120"/>
  <c r="D17" i="119"/>
  <c r="D21" i="119" s="1"/>
  <c r="D19" i="119"/>
  <c r="D16" i="117"/>
  <c r="D16" i="116"/>
  <c r="D18" i="82"/>
  <c r="D17" i="110"/>
  <c r="E8" i="115"/>
  <c r="D20" i="114" l="1"/>
  <c r="D21" i="114" s="1"/>
  <c r="D22" i="114" s="1"/>
  <c r="D17" i="114"/>
  <c r="D18" i="114" s="1"/>
  <c r="D10" i="114"/>
  <c r="D24" i="114" s="1"/>
  <c r="D25" i="114" l="1"/>
  <c r="D26" i="114" s="1"/>
  <c r="D22" i="69" l="1"/>
  <c r="D27" i="82"/>
  <c r="D29" i="82" s="1"/>
  <c r="D29" i="81"/>
  <c r="D17" i="107"/>
  <c r="D21" i="107" s="1"/>
  <c r="D15" i="105"/>
  <c r="D17" i="105" s="1"/>
  <c r="D19" i="113"/>
  <c r="D18" i="113"/>
  <c r="D16" i="113"/>
  <c r="D15" i="113"/>
  <c r="D19" i="107" l="1"/>
  <c r="D10" i="54"/>
  <c r="D11" i="54" s="1"/>
  <c r="D17" i="54" s="1"/>
  <c r="E14" i="51"/>
  <c r="D15" i="42"/>
  <c r="D17" i="42" s="1"/>
  <c r="D17" i="100"/>
  <c r="D18" i="100" s="1"/>
  <c r="D20" i="100" s="1"/>
  <c r="G22" i="51" l="1"/>
  <c r="G20" i="51"/>
  <c r="E9" i="89"/>
  <c r="D7" i="111"/>
  <c r="D21" i="63"/>
  <c r="D15" i="20"/>
  <c r="D17" i="20" s="1"/>
  <c r="D19" i="110"/>
  <c r="D21" i="110" s="1"/>
  <c r="D23" i="110" s="1"/>
  <c r="C25" i="110" s="1"/>
  <c r="D18" i="106"/>
  <c r="D20" i="106"/>
  <c r="D22" i="106" s="1"/>
  <c r="D17" i="109"/>
  <c r="D19" i="109" s="1"/>
  <c r="D21" i="109" s="1"/>
  <c r="D21" i="108"/>
  <c r="D23" i="108" s="1"/>
  <c r="D25" i="108"/>
  <c r="D27" i="108" s="1"/>
  <c r="D23" i="107"/>
  <c r="D25" i="107" s="1"/>
  <c r="D18" i="104"/>
  <c r="D21" i="104" s="1"/>
  <c r="D23" i="104" s="1"/>
  <c r="D25" i="104" s="1"/>
  <c r="D17" i="103"/>
  <c r="D19" i="103" s="1"/>
  <c r="D21" i="103" s="1"/>
  <c r="D23" i="103" s="1"/>
  <c r="D17" i="102"/>
  <c r="C19" i="102" s="1"/>
  <c r="D14" i="101"/>
  <c r="D17" i="99"/>
  <c r="D18" i="99" s="1"/>
  <c r="D20" i="99" s="1"/>
  <c r="D17" i="98"/>
  <c r="D19" i="98" s="1"/>
  <c r="D16" i="97"/>
  <c r="D18" i="97" s="1"/>
  <c r="D14" i="96"/>
  <c r="D17" i="95"/>
  <c r="D19" i="95" s="1"/>
  <c r="D26" i="94"/>
  <c r="D24" i="94"/>
  <c r="D22" i="94"/>
  <c r="D20" i="94"/>
  <c r="D14" i="92"/>
  <c r="C8" i="90"/>
  <c r="D8" i="89"/>
  <c r="D9" i="89"/>
  <c r="D8" i="88"/>
  <c r="D9" i="88"/>
  <c r="D10" i="88"/>
  <c r="D11" i="88"/>
  <c r="C8" i="87"/>
  <c r="C9" i="87"/>
  <c r="C10" i="87"/>
  <c r="C11" i="87"/>
  <c r="E8" i="86"/>
  <c r="E9" i="86"/>
  <c r="E10" i="86"/>
  <c r="E11" i="86"/>
  <c r="D21" i="85"/>
  <c r="D22" i="84"/>
  <c r="D20" i="84"/>
  <c r="D18" i="84"/>
  <c r="D50" i="69"/>
  <c r="D47" i="69"/>
  <c r="D23" i="81"/>
  <c r="D28" i="81" s="1"/>
  <c r="D22" i="81"/>
  <c r="D25" i="81" s="1"/>
  <c r="D26" i="81" s="1"/>
  <c r="D27" i="81" s="1"/>
  <c r="D16" i="43"/>
  <c r="D29" i="69"/>
  <c r="D30" i="69"/>
  <c r="D31" i="69"/>
  <c r="D32" i="69"/>
  <c r="D33" i="69"/>
  <c r="D34" i="69"/>
  <c r="D19" i="62"/>
  <c r="D31" i="83"/>
  <c r="D25" i="83"/>
  <c r="D27" i="83" s="1"/>
  <c r="D29" i="83" s="1"/>
  <c r="D20" i="82"/>
  <c r="D22" i="82" s="1"/>
  <c r="D17" i="45"/>
  <c r="D21" i="44"/>
  <c r="D22" i="44"/>
  <c r="D23" i="44"/>
  <c r="D24" i="44"/>
  <c r="D19" i="32"/>
  <c r="D20" i="32"/>
  <c r="D21" i="4"/>
  <c r="D18" i="71"/>
  <c r="D29" i="71" s="1"/>
  <c r="D19" i="71"/>
  <c r="D20" i="71"/>
  <c r="D21" i="71"/>
  <c r="D22" i="71"/>
  <c r="D23" i="71"/>
  <c r="D24" i="71"/>
  <c r="D25" i="71"/>
  <c r="D26" i="71"/>
  <c r="D27" i="71"/>
  <c r="D17" i="73"/>
  <c r="D18" i="73" s="1"/>
  <c r="D20" i="73" s="1"/>
  <c r="D23" i="73" s="1"/>
  <c r="D26" i="73" s="1"/>
  <c r="D10" i="66"/>
  <c r="D17" i="65"/>
  <c r="D18" i="65" s="1"/>
  <c r="D15" i="58"/>
  <c r="D20" i="56"/>
  <c r="D22" i="56" s="1"/>
  <c r="D24" i="56"/>
  <c r="D19" i="54"/>
  <c r="D21" i="54" s="1"/>
  <c r="D16" i="53"/>
  <c r="D18" i="53" s="1"/>
  <c r="D16" i="50"/>
  <c r="D18" i="50" s="1"/>
  <c r="D20" i="47"/>
  <c r="D16" i="46"/>
  <c r="D18" i="46" s="1"/>
  <c r="D19" i="36"/>
  <c r="D14" i="79"/>
  <c r="D16" i="79" s="1"/>
  <c r="D18" i="79" s="1"/>
  <c r="D20" i="52"/>
  <c r="D22" i="52" s="1"/>
  <c r="D15" i="61"/>
  <c r="D19" i="63"/>
  <c r="D23" i="65"/>
  <c r="D24" i="65" s="1"/>
  <c r="D17" i="68"/>
  <c r="D18" i="68"/>
  <c r="D21" i="68"/>
  <c r="D22" i="68" s="1"/>
  <c r="D19" i="39"/>
  <c r="D21" i="39"/>
  <c r="D17" i="40"/>
  <c r="D15" i="41"/>
  <c r="D16" i="47"/>
  <c r="D18" i="47" s="1"/>
  <c r="D16" i="10"/>
  <c r="D18" i="10"/>
  <c r="E9" i="12"/>
  <c r="E10" i="12"/>
  <c r="E11" i="12"/>
  <c r="E12" i="12"/>
  <c r="C9" i="13"/>
  <c r="C10" i="13"/>
  <c r="C11" i="13"/>
  <c r="C12" i="13"/>
  <c r="F9" i="14"/>
  <c r="F10" i="14"/>
  <c r="D15" i="21"/>
  <c r="D14" i="29"/>
  <c r="D17" i="4"/>
  <c r="E17" i="45" l="1"/>
  <c r="D18" i="45"/>
  <c r="D33" i="83"/>
  <c r="D23" i="68"/>
  <c r="D23" i="62"/>
  <c r="D21" i="62"/>
  <c r="D23" i="85"/>
  <c r="D19" i="61"/>
  <c r="D17" i="61"/>
  <c r="D52" i="69"/>
  <c r="D22" i="62"/>
  <c r="D19" i="20"/>
  <c r="D21" i="20"/>
  <c r="D19" i="65"/>
  <c r="D20" i="65" s="1"/>
  <c r="D27" i="56"/>
  <c r="D28" i="56"/>
  <c r="D26" i="56"/>
  <c r="D25" i="44"/>
  <c r="D27" i="44" s="1"/>
  <c r="D29" i="44" s="1"/>
  <c r="D21" i="32"/>
  <c r="D23" i="32" s="1"/>
  <c r="D19" i="43"/>
  <c r="D17" i="43"/>
  <c r="D35" i="69"/>
  <c r="D37" i="69" s="1"/>
  <c r="C40" i="69" s="1"/>
  <c r="D19" i="68"/>
  <c r="D11" i="66"/>
  <c r="D17" i="66" s="1"/>
  <c r="D19" i="66" s="1"/>
  <c r="D20" i="66" s="1"/>
  <c r="D24" i="82"/>
  <c r="D30" i="81"/>
  <c r="D31" i="81" s="1"/>
  <c r="D33" i="81" s="1"/>
  <c r="C29" i="108"/>
  <c r="D24" i="106"/>
  <c r="D20" i="46"/>
  <c r="D22" i="46"/>
  <c r="D19" i="45" l="1"/>
  <c r="D20" i="45" s="1"/>
  <c r="D21" i="45" s="1"/>
  <c r="D22" i="45" s="1"/>
  <c r="E18" i="45"/>
  <c r="D25" i="62"/>
  <c r="C39" i="69"/>
  <c r="D42" i="69"/>
  <c r="E19" i="45"/>
  <c r="E20" i="45" l="1"/>
  <c r="E21" i="45" l="1"/>
  <c r="E22" i="45" l="1"/>
  <c r="D23" i="45"/>
  <c r="E23" i="45" l="1"/>
  <c r="D24" i="45"/>
  <c r="E24" i="45" l="1"/>
  <c r="D25" i="45"/>
  <c r="E25" i="45" l="1"/>
  <c r="D26" i="45"/>
  <c r="E26" i="45" l="1"/>
  <c r="D27" i="45"/>
  <c r="E27" i="45" s="1"/>
  <c r="E28" i="45" l="1"/>
</calcChain>
</file>

<file path=xl/sharedStrings.xml><?xml version="1.0" encoding="utf-8"?>
<sst xmlns="http://schemas.openxmlformats.org/spreadsheetml/2006/main" count="975" uniqueCount="474">
  <si>
    <t>Input area:</t>
  </si>
  <si>
    <t>Output area:</t>
  </si>
  <si>
    <t>Question 1</t>
  </si>
  <si>
    <t>Year</t>
  </si>
  <si>
    <t>Cash flow</t>
  </si>
  <si>
    <t>Discount rate</t>
  </si>
  <si>
    <t>Question 2</t>
  </si>
  <si>
    <t># of years for X</t>
  </si>
  <si>
    <t># of years for Y</t>
  </si>
  <si>
    <t>Payment for X</t>
  </si>
  <si>
    <t>Payment for Y</t>
  </si>
  <si>
    <t>Question 3</t>
  </si>
  <si>
    <t>Question 4</t>
  </si>
  <si>
    <t>Required rate of return</t>
  </si>
  <si>
    <t># of years</t>
  </si>
  <si>
    <t>Payment per year</t>
  </si>
  <si>
    <t>Question 5</t>
  </si>
  <si>
    <t>Question 6</t>
  </si>
  <si>
    <t>Question 7</t>
  </si>
  <si>
    <t>Question 8</t>
  </si>
  <si>
    <t>Interest rate</t>
  </si>
  <si>
    <t>Question 9</t>
  </si>
  <si>
    <t>Cost of policy</t>
  </si>
  <si>
    <t>Question 12</t>
  </si>
  <si>
    <t>Stated rate (APR)</t>
  </si>
  <si>
    <t>Effective rate</t>
  </si>
  <si>
    <t># of times per year</t>
  </si>
  <si>
    <t>Infinite</t>
  </si>
  <si>
    <t>Question 13</t>
  </si>
  <si>
    <t>First National Bank</t>
  </si>
  <si>
    <t>First United Bank</t>
  </si>
  <si>
    <t>Question 14</t>
  </si>
  <si>
    <t>Question 15</t>
  </si>
  <si>
    <t>Question 16</t>
  </si>
  <si>
    <t>Deposit</t>
  </si>
  <si>
    <t>Question 18</t>
  </si>
  <si>
    <t>Question 19</t>
  </si>
  <si>
    <t>Question 20</t>
  </si>
  <si>
    <t>Question 21</t>
  </si>
  <si>
    <t>Current balance</t>
  </si>
  <si>
    <t>Monthly payment</t>
  </si>
  <si>
    <t>Question 22</t>
  </si>
  <si>
    <t>Question 23</t>
  </si>
  <si>
    <t>Question 24</t>
  </si>
  <si>
    <t>Question 25</t>
  </si>
  <si>
    <t>Question 26</t>
  </si>
  <si>
    <t>Question 27</t>
  </si>
  <si>
    <t>Question 29</t>
  </si>
  <si>
    <t>Future value</t>
  </si>
  <si>
    <t>Question 39</t>
  </si>
  <si>
    <t>Annuity payment per year</t>
  </si>
  <si>
    <r>
      <t xml:space="preserve">Present value falls as </t>
    </r>
    <r>
      <rPr>
        <i/>
        <sz val="12"/>
        <rFont val="Arial"/>
        <family val="2"/>
      </rPr>
      <t>r</t>
    </r>
    <r>
      <rPr>
        <sz val="12"/>
        <rFont val="Arial"/>
        <family val="2"/>
      </rPr>
      <t xml:space="preserve"> increases, and rises as </t>
    </r>
    <r>
      <rPr>
        <i/>
        <sz val="12"/>
        <rFont val="Arial"/>
        <family val="2"/>
      </rPr>
      <t>r</t>
    </r>
    <r>
      <rPr>
        <sz val="12"/>
        <rFont val="Arial"/>
        <family val="2"/>
      </rPr>
      <t xml:space="preserve"> decreases.</t>
    </r>
  </si>
  <si>
    <r>
      <t xml:space="preserve">Future value rises as </t>
    </r>
    <r>
      <rPr>
        <i/>
        <sz val="12"/>
        <rFont val="Arial"/>
        <family val="2"/>
      </rPr>
      <t>r</t>
    </r>
    <r>
      <rPr>
        <sz val="12"/>
        <rFont val="Arial"/>
        <family val="2"/>
      </rPr>
      <t xml:space="preserve"> increases, and falls as </t>
    </r>
    <r>
      <rPr>
        <i/>
        <sz val="12"/>
        <rFont val="Arial"/>
        <family val="2"/>
      </rPr>
      <t>r</t>
    </r>
    <r>
      <rPr>
        <sz val="12"/>
        <rFont val="Arial"/>
        <family val="2"/>
      </rPr>
      <t xml:space="preserve"> decreases.</t>
    </r>
  </si>
  <si>
    <t>Question 35</t>
  </si>
  <si>
    <t>Question 36</t>
  </si>
  <si>
    <t>Question 37</t>
  </si>
  <si>
    <t>EAR</t>
  </si>
  <si>
    <t>Question 38</t>
  </si>
  <si>
    <t>Up-front costs</t>
  </si>
  <si>
    <t>Return on investment G</t>
  </si>
  <si>
    <t>Return on investment H</t>
  </si>
  <si>
    <t>Question 40</t>
  </si>
  <si>
    <t>Future value of account</t>
  </si>
  <si>
    <t>Question 41</t>
  </si>
  <si>
    <t>Price of sailboat</t>
  </si>
  <si>
    <t>Number of months</t>
  </si>
  <si>
    <t>Question 42</t>
  </si>
  <si>
    <t>APR</t>
  </si>
  <si>
    <t>Question 43</t>
  </si>
  <si>
    <t>Question 44</t>
  </si>
  <si>
    <t>Question 45</t>
  </si>
  <si>
    <t>Number of years</t>
  </si>
  <si>
    <t>Question 46</t>
  </si>
  <si>
    <t>Selling price</t>
  </si>
  <si>
    <t>Production cost</t>
  </si>
  <si>
    <t># of years until sale</t>
  </si>
  <si>
    <t>Question 47</t>
  </si>
  <si>
    <t>Question 48</t>
  </si>
  <si>
    <t>Annual payout</t>
  </si>
  <si>
    <t>Question 49</t>
  </si>
  <si>
    <t>Annual payment</t>
  </si>
  <si>
    <t># of years delay before first payment</t>
  </si>
  <si>
    <t>Investment A:</t>
  </si>
  <si>
    <t>Investment B:</t>
  </si>
  <si>
    <t>Amount of payment</t>
  </si>
  <si>
    <t># of years until payments begin</t>
  </si>
  <si>
    <t># of years value is to be calculated</t>
  </si>
  <si>
    <t>Amount borrowed</t>
  </si>
  <si>
    <t># of months</t>
  </si>
  <si>
    <t>Quoted interest rate</t>
  </si>
  <si>
    <t>Question 54</t>
  </si>
  <si>
    <t>Amount of semiannual payment</t>
  </si>
  <si>
    <t># of years until first payment</t>
  </si>
  <si>
    <t>Question 57</t>
  </si>
  <si>
    <t>Question 58</t>
  </si>
  <si>
    <t>Question 60</t>
  </si>
  <si>
    <t>Amount of loan</t>
  </si>
  <si>
    <t>Question 61</t>
  </si>
  <si>
    <t>Question 62</t>
  </si>
  <si>
    <t>Question 63</t>
  </si>
  <si>
    <t>Question 64</t>
  </si>
  <si>
    <t>Fees</t>
  </si>
  <si>
    <t>Refundable fee:</t>
  </si>
  <si>
    <t>Nonrefundable fee:</t>
  </si>
  <si>
    <t>Question 65</t>
  </si>
  <si>
    <t>It's called add-on interest because the interest amount</t>
  </si>
  <si>
    <t>of the loan is added to the principal amount of the loan</t>
  </si>
  <si>
    <t>before the loan payments are calculated.</t>
  </si>
  <si>
    <t>Question 66</t>
  </si>
  <si>
    <t># of years until retirement</t>
  </si>
  <si>
    <t>Question 67</t>
  </si>
  <si>
    <t>Amount of debt</t>
  </si>
  <si>
    <t>Interest rate on current card</t>
  </si>
  <si>
    <t>Interest rate on new card</t>
  </si>
  <si>
    <t>Planned monthly payment</t>
  </si>
  <si>
    <t>Transfer fee</t>
  </si>
  <si>
    <t>Question 68</t>
  </si>
  <si>
    <t>Payout at retirement</t>
  </si>
  <si>
    <t>Payment</t>
  </si>
  <si>
    <t>Question 70</t>
  </si>
  <si>
    <t>Question 71</t>
  </si>
  <si>
    <t>Plan X:</t>
  </si>
  <si>
    <t>In perpetuity</t>
  </si>
  <si>
    <t>Plan Y:</t>
  </si>
  <si>
    <t>Question 72</t>
  </si>
  <si>
    <t xml:space="preserve">Present value of annuity = </t>
  </si>
  <si>
    <t>$C</t>
  </si>
  <si>
    <t>+</t>
  </si>
  <si>
    <t>…</t>
  </si>
  <si>
    <t>(1 + r)</t>
  </si>
  <si>
    <t>(1 + r)^2</t>
  </si>
  <si>
    <t>(1 + r)^N</t>
  </si>
  <si>
    <t>Present value of annuity due = $C</t>
  </si>
  <si>
    <t>(1 + r)^(N-1)</t>
  </si>
  <si>
    <t>Present value of annuity due = (1 + r)</t>
  </si>
  <si>
    <t xml:space="preserve">   = (1 + r) PVA</t>
  </si>
  <si>
    <t xml:space="preserve"> = (1 + r) FVA</t>
  </si>
  <si>
    <t>Weekly interest rate</t>
  </si>
  <si>
    <t># of weeks</t>
  </si>
  <si>
    <t>Input boxes in tan</t>
  </si>
  <si>
    <t>Output boxes in yellow</t>
  </si>
  <si>
    <t>Given data in blue</t>
  </si>
  <si>
    <t>Calculations in red</t>
  </si>
  <si>
    <t>Answers in green</t>
  </si>
  <si>
    <t>Question 17</t>
  </si>
  <si>
    <t>Present value</t>
  </si>
  <si>
    <t>Effective annual rate</t>
  </si>
  <si>
    <t>Number of periods</t>
  </si>
  <si>
    <t>Quarterly return</t>
  </si>
  <si>
    <t>Annual percentage rate</t>
  </si>
  <si>
    <t>Price of house</t>
  </si>
  <si>
    <t>Price of warehouse</t>
  </si>
  <si>
    <t>Percentage of pruchase price</t>
  </si>
  <si>
    <t>Year for last payment</t>
  </si>
  <si>
    <t>Periods/year</t>
  </si>
  <si>
    <t>Compounding periods per year</t>
  </si>
  <si>
    <t>Semiannual interest rate</t>
  </si>
  <si>
    <t>Year to find present value</t>
  </si>
  <si>
    <t>a.</t>
  </si>
  <si>
    <t>b.</t>
  </si>
  <si>
    <t>c.</t>
  </si>
  <si>
    <t>Compunding periods</t>
  </si>
  <si>
    <t>Payments begin in (yrs)</t>
  </si>
  <si>
    <t>Loan proceeds</t>
  </si>
  <si>
    <t>Loan payments</t>
  </si>
  <si>
    <t xml:space="preserve">Present value </t>
  </si>
  <si>
    <t>PV (forever)</t>
  </si>
  <si>
    <t># of months until paid off</t>
  </si>
  <si>
    <t xml:space="preserve">EAR </t>
  </si>
  <si>
    <t xml:space="preserve">Return on investment G </t>
  </si>
  <si>
    <t xml:space="preserve">Number of payments </t>
  </si>
  <si>
    <t xml:space="preserve">Present value of payments </t>
  </si>
  <si>
    <t xml:space="preserve">Balloon payment </t>
  </si>
  <si>
    <t xml:space="preserve">Amount of loan </t>
  </si>
  <si>
    <t xml:space="preserve">APR </t>
  </si>
  <si>
    <t xml:space="preserve">Present value of sale </t>
  </si>
  <si>
    <t xml:space="preserve">Profit (loss) </t>
  </si>
  <si>
    <t xml:space="preserve">Breakeven rate </t>
  </si>
  <si>
    <r>
      <t>Future value of annuity = $C + $C(1 + r) + $C(1 + r)</t>
    </r>
    <r>
      <rPr>
        <vertAlign val="superscript"/>
        <sz val="12"/>
        <rFont val="Arial"/>
        <family val="2"/>
      </rPr>
      <t>2</t>
    </r>
    <r>
      <rPr>
        <sz val="12"/>
        <rFont val="Arial"/>
        <family val="2"/>
      </rPr>
      <t xml:space="preserve"> +  … + $C(1 + r)</t>
    </r>
    <r>
      <rPr>
        <vertAlign val="superscript"/>
        <sz val="12"/>
        <rFont val="Arial"/>
        <family val="2"/>
      </rPr>
      <t>N-1</t>
    </r>
  </si>
  <si>
    <r>
      <t>Future value of annuity due = $C(1 + r) + $C(1 + r)</t>
    </r>
    <r>
      <rPr>
        <vertAlign val="superscript"/>
        <sz val="12"/>
        <rFont val="Arial"/>
        <family val="2"/>
      </rPr>
      <t>2</t>
    </r>
    <r>
      <rPr>
        <sz val="12"/>
        <rFont val="Arial"/>
        <family val="2"/>
      </rPr>
      <t xml:space="preserve"> + … + $C(1 + r)</t>
    </r>
    <r>
      <rPr>
        <vertAlign val="superscript"/>
        <sz val="12"/>
        <rFont val="Arial"/>
        <family val="2"/>
      </rPr>
      <t>N</t>
    </r>
  </si>
  <si>
    <r>
      <t>Future value of annuity due = (1 + r) ($C + $C(1 + r) + … + $C(1 + r)</t>
    </r>
    <r>
      <rPr>
        <vertAlign val="superscript"/>
        <sz val="12"/>
        <rFont val="Arial"/>
        <family val="2"/>
      </rPr>
      <t>N-1</t>
    </r>
    <r>
      <rPr>
        <sz val="12"/>
        <rFont val="Arial"/>
        <family val="2"/>
      </rPr>
      <t>)</t>
    </r>
  </si>
  <si>
    <t>Stock return</t>
  </si>
  <si>
    <t>Bond return</t>
  </si>
  <si>
    <t>Years to save</t>
  </si>
  <si>
    <t>Monthly stock investment</t>
  </si>
  <si>
    <t>Monthly bond investment</t>
  </si>
  <si>
    <t>Retirement return</t>
  </si>
  <si>
    <t>Retirement years</t>
  </si>
  <si>
    <t>FV of stock account</t>
  </si>
  <si>
    <t>FV of bond account</t>
  </si>
  <si>
    <t>Total account FV</t>
  </si>
  <si>
    <t>Monthly withdrawal</t>
  </si>
  <si>
    <t>PV</t>
  </si>
  <si>
    <t>PV of cash flows</t>
  </si>
  <si>
    <t>PV of missing CF</t>
  </si>
  <si>
    <t>Total</t>
  </si>
  <si>
    <t>Value of missing CF</t>
  </si>
  <si>
    <t>Payments</t>
  </si>
  <si>
    <t>Present Value</t>
  </si>
  <si>
    <t>First payment</t>
  </si>
  <si>
    <t>Annual increase</t>
  </si>
  <si>
    <t>Years in retirement</t>
  </si>
  <si>
    <t>Monthly retirement income</t>
  </si>
  <si>
    <t>Cabin price</t>
  </si>
  <si>
    <t>Inheritance</t>
  </si>
  <si>
    <t>Pre-retirement EAR</t>
  </si>
  <si>
    <t>Retirement EAR</t>
  </si>
  <si>
    <t>Pre-retirement APR</t>
  </si>
  <si>
    <t>Retirement APR</t>
  </si>
  <si>
    <t>Savings after cabin purchase</t>
  </si>
  <si>
    <t>Amount needed at retirement</t>
  </si>
  <si>
    <t>Savings needed per month</t>
  </si>
  <si>
    <t>Years for lease</t>
  </si>
  <si>
    <t>Car price</t>
  </si>
  <si>
    <t>Payment today</t>
  </si>
  <si>
    <t>Monthly lease payment</t>
  </si>
  <si>
    <t>Loan rate</t>
  </si>
  <si>
    <t>PV of lease payments</t>
  </si>
  <si>
    <t>PV of resale price</t>
  </si>
  <si>
    <t xml:space="preserve">Resale price </t>
  </si>
  <si>
    <t>PV of purchase</t>
  </si>
  <si>
    <t xml:space="preserve">You should </t>
  </si>
  <si>
    <t>the car since the PV is lower.</t>
  </si>
  <si>
    <t>Question 59</t>
  </si>
  <si>
    <t>Requested signing bonus</t>
  </si>
  <si>
    <t>Requested salary increase</t>
  </si>
  <si>
    <t>PV of salary offer</t>
  </si>
  <si>
    <t>PV of salary with increase</t>
  </si>
  <si>
    <t>Effective quarterly interest rate</t>
  </si>
  <si>
    <t>Quarterly salary</t>
  </si>
  <si>
    <t>Salary for 2 years ago</t>
  </si>
  <si>
    <t>Last year's salary</t>
  </si>
  <si>
    <t>Future salary</t>
  </si>
  <si>
    <t>Years for future salary</t>
  </si>
  <si>
    <t>Pain and suffering</t>
  </si>
  <si>
    <t>Court costs</t>
  </si>
  <si>
    <t>Value today of salary 2 yrs ago</t>
  </si>
  <si>
    <t>Value today of last year's salary</t>
  </si>
  <si>
    <t>Value of next 5 year's salary</t>
  </si>
  <si>
    <t>Total value awarded</t>
  </si>
  <si>
    <t>Value at Year 6</t>
  </si>
  <si>
    <t>Total value at year 6</t>
  </si>
  <si>
    <t>Total value at year 65</t>
  </si>
  <si>
    <t>Points</t>
  </si>
  <si>
    <t>Years until retirement</t>
  </si>
  <si>
    <t>Years until cabin purchase</t>
  </si>
  <si>
    <t>Years with initial savings amount</t>
  </si>
  <si>
    <t>Savings value until cabin purchase</t>
  </si>
  <si>
    <t>We could also compare the PV of the two</t>
  </si>
  <si>
    <t>cash flows. If we compare the PV:</t>
  </si>
  <si>
    <t>Value of deposits</t>
  </si>
  <si>
    <t xml:space="preserve">Value of payment from </t>
  </si>
  <si>
    <t xml:space="preserve">  insurance company</t>
  </si>
  <si>
    <t>Chapter 4</t>
  </si>
  <si>
    <t>Years</t>
  </si>
  <si>
    <t>Rate</t>
  </si>
  <si>
    <t>Compound interest</t>
  </si>
  <si>
    <t>Simple interest</t>
  </si>
  <si>
    <t>Question 10</t>
  </si>
  <si>
    <t>Question 11</t>
  </si>
  <si>
    <t>Annual payments</t>
  </si>
  <si>
    <t>d.</t>
  </si>
  <si>
    <t>Compounding Frequency</t>
  </si>
  <si>
    <t>Annual</t>
  </si>
  <si>
    <t>Monthly</t>
  </si>
  <si>
    <t>Continuously</t>
  </si>
  <si>
    <t>First cash flow</t>
  </si>
  <si>
    <t>Years until first payment</t>
  </si>
  <si>
    <t>Growth rate</t>
  </si>
  <si>
    <t xml:space="preserve">Value one period before </t>
  </si>
  <si>
    <t>first payment</t>
  </si>
  <si>
    <t>First quarterly dividend</t>
  </si>
  <si>
    <t>Stated interest rate</t>
  </si>
  <si>
    <t>Value today</t>
  </si>
  <si>
    <t>Annuity payment</t>
  </si>
  <si>
    <t>Year of last payment</t>
  </si>
  <si>
    <t>Year of first payment</t>
  </si>
  <si>
    <t>Number of payments</t>
  </si>
  <si>
    <t>Rate for first X years</t>
  </si>
  <si>
    <t>Rate for payment years</t>
  </si>
  <si>
    <t>Question 30</t>
  </si>
  <si>
    <t>Down payment</t>
  </si>
  <si>
    <t>Question 31</t>
  </si>
  <si>
    <t>Interest rate thereafter</t>
  </si>
  <si>
    <t xml:space="preserve">Balance transferred </t>
  </si>
  <si>
    <t>Question 32</t>
  </si>
  <si>
    <t>Cost</t>
  </si>
  <si>
    <t>Perpetual cash flow</t>
  </si>
  <si>
    <t>Question 33</t>
  </si>
  <si>
    <t xml:space="preserve">Monthly payment </t>
  </si>
  <si>
    <t>Cost of revision</t>
  </si>
  <si>
    <t>Increased cash flow</t>
  </si>
  <si>
    <t>Years for cash flow</t>
  </si>
  <si>
    <t>Present value of cash flows</t>
  </si>
  <si>
    <t>Cash flow growth rate</t>
  </si>
  <si>
    <t>Question 34</t>
  </si>
  <si>
    <t>Current salary</t>
  </si>
  <si>
    <t>Salary growth rate</t>
  </si>
  <si>
    <t>Return</t>
  </si>
  <si>
    <t>Salary increase</t>
  </si>
  <si>
    <t>Deposit length</t>
  </si>
  <si>
    <t>Next year's salary</t>
  </si>
  <si>
    <t>Present value deposits</t>
  </si>
  <si>
    <t>Next year's deposit</t>
  </si>
  <si>
    <t>Future value of deposits</t>
  </si>
  <si>
    <t>Question 56</t>
  </si>
  <si>
    <t xml:space="preserve">Total amount of balloon payment </t>
  </si>
  <si>
    <t>Cost of motorcycle</t>
  </si>
  <si>
    <t>Years for loan</t>
  </si>
  <si>
    <t>Prepayment penalty</t>
  </si>
  <si>
    <t>Months left on loan</t>
  </si>
  <si>
    <t>Ballon payment without penalty</t>
  </si>
  <si>
    <t>Question 50</t>
  </si>
  <si>
    <t>Question 51</t>
  </si>
  <si>
    <t>Cost of clubs</t>
  </si>
  <si>
    <t>Annual college expenses</t>
  </si>
  <si>
    <t>Question 52</t>
  </si>
  <si>
    <t>First year bonus</t>
  </si>
  <si>
    <t>First year salary</t>
  </si>
  <si>
    <t>Bonus percentage</t>
  </si>
  <si>
    <t>Years of work</t>
  </si>
  <si>
    <t>PV of salary</t>
  </si>
  <si>
    <t>PV bonus</t>
  </si>
  <si>
    <t>Question 53</t>
  </si>
  <si>
    <t>Year oldest child enters college</t>
  </si>
  <si>
    <t>Year youngest child enters college</t>
  </si>
  <si>
    <t>PV of oldest child's expenses</t>
  </si>
  <si>
    <t>PV of youngest child's expenses</t>
  </si>
  <si>
    <t>PV of both children's expenses</t>
  </si>
  <si>
    <t>Annual savings required</t>
  </si>
  <si>
    <t>Tax rate</t>
  </si>
  <si>
    <t>Number of annual payments</t>
  </si>
  <si>
    <t>Aftertax payments</t>
  </si>
  <si>
    <t>PV of Option A</t>
  </si>
  <si>
    <t>Investment return</t>
  </si>
  <si>
    <t>Desired retirement value</t>
  </si>
  <si>
    <t>PV of retirement value</t>
  </si>
  <si>
    <t>Amount to save next year</t>
  </si>
  <si>
    <t>Pecentage of salary</t>
  </si>
  <si>
    <t>Question 55</t>
  </si>
  <si>
    <t>Question 69</t>
  </si>
  <si>
    <t>Payment every six months</t>
  </si>
  <si>
    <t>APR compounded daily</t>
  </si>
  <si>
    <t>Effective six-month rate</t>
  </si>
  <si>
    <t>PV of payments in six months</t>
  </si>
  <si>
    <t>Total value of winnings</t>
  </si>
  <si>
    <t>Amount offered for winnings</t>
  </si>
  <si>
    <t>Cost per bottle</t>
  </si>
  <si>
    <t>Cost per case</t>
  </si>
  <si>
    <t>Bottles in a case</t>
  </si>
  <si>
    <t>Discount per case</t>
  </si>
  <si>
    <t xml:space="preserve"># of payments </t>
  </si>
  <si>
    <t>Time</t>
  </si>
  <si>
    <t>Microsoft Excel 11.0 Answer Report</t>
  </si>
  <si>
    <t>Target Cell (Value Of)</t>
  </si>
  <si>
    <t>Cell</t>
  </si>
  <si>
    <t>Name</t>
  </si>
  <si>
    <t>Original Value</t>
  </si>
  <si>
    <t>Final Value</t>
  </si>
  <si>
    <t>Adjustable Cells</t>
  </si>
  <si>
    <t>Constraints</t>
  </si>
  <si>
    <t>NONE</t>
  </si>
  <si>
    <t>$D$9</t>
  </si>
  <si>
    <t>$D$7</t>
  </si>
  <si>
    <t xml:space="preserve">NOTE: Some functions used in these spreadsheets may require that </t>
  </si>
  <si>
    <t>the "Analysis ToolPak" or "Solver Add-in" be installed in Excel.</t>
  </si>
  <si>
    <t xml:space="preserve">To install these, click on "Tools|Add-Ins" and select "Analysis ToolPak" </t>
  </si>
  <si>
    <t>and "Solver Add-In."</t>
  </si>
  <si>
    <t xml:space="preserve">  and excluding current month</t>
  </si>
  <si>
    <t>With prepayment penalty</t>
  </si>
  <si>
    <t xml:space="preserve">Difference </t>
  </si>
  <si>
    <t xml:space="preserve">Value of X </t>
  </si>
  <si>
    <t xml:space="preserve">Value of Y </t>
  </si>
  <si>
    <t>Perptual payment</t>
  </si>
  <si>
    <t xml:space="preserve">Required interest rate </t>
  </si>
  <si>
    <t xml:space="preserve">First Complex Bank interest rate </t>
  </si>
  <si>
    <t>Years for mortgage</t>
  </si>
  <si>
    <t>Year for ballon payment</t>
  </si>
  <si>
    <t>Ballon payment</t>
  </si>
  <si>
    <t xml:space="preserve">Accrued interest </t>
  </si>
  <si>
    <t>Interest rate first period</t>
  </si>
  <si>
    <t>Months for second interest rate</t>
  </si>
  <si>
    <t>Months for first interest rate</t>
  </si>
  <si>
    <t>Salary percent saved</t>
  </si>
  <si>
    <t>Monthly rate</t>
  </si>
  <si>
    <t>Principal remaining</t>
  </si>
  <si>
    <t xml:space="preserve">Value today  </t>
  </si>
  <si>
    <t xml:space="preserve">Total present value of the annuity </t>
  </si>
  <si>
    <t xml:space="preserve">Lump sum needed </t>
  </si>
  <si>
    <t xml:space="preserve">Monthly rate </t>
  </si>
  <si>
    <t xml:space="preserve">APR  </t>
  </si>
  <si>
    <t>Interest per year</t>
  </si>
  <si>
    <t>a)</t>
  </si>
  <si>
    <t xml:space="preserve">PV of ordinary annuity </t>
  </si>
  <si>
    <t xml:space="preserve">PV of annuity due </t>
  </si>
  <si>
    <t>b)</t>
  </si>
  <si>
    <t>FV of ordinary annuity</t>
  </si>
  <si>
    <t>FV of annuity due</t>
  </si>
  <si>
    <t>Price of car</t>
  </si>
  <si>
    <t>Cost of college one year before entering</t>
  </si>
  <si>
    <t>Years of college</t>
  </si>
  <si>
    <t>Value of current amount at retirement</t>
  </si>
  <si>
    <t>Shortage at retirement</t>
  </si>
  <si>
    <t xml:space="preserve">Amount received </t>
  </si>
  <si>
    <t xml:space="preserve">Monthly interest  </t>
  </si>
  <si>
    <t xml:space="preserve">Total repayment </t>
  </si>
  <si>
    <t xml:space="preserve">Monthly payment  </t>
  </si>
  <si>
    <t xml:space="preserve"># of months to pay off current card </t>
  </si>
  <si>
    <t xml:space="preserve"># of months to pay of new card </t>
  </si>
  <si>
    <t xml:space="preserve">Amount of bill with fees </t>
  </si>
  <si>
    <t xml:space="preserve"># of months with fees </t>
  </si>
  <si>
    <t>Discount rate needed</t>
  </si>
  <si>
    <t xml:space="preserve">Effective 2-year rate </t>
  </si>
  <si>
    <t>Loan amount</t>
  </si>
  <si>
    <t>Weekly rate</t>
  </si>
  <si>
    <t>Consumption potential next year</t>
  </si>
  <si>
    <t>Desired current consumption</t>
  </si>
  <si>
    <t>Chapter 4, Appendix</t>
  </si>
  <si>
    <t>inter-temporal consumption preferences of the shareholders.</t>
  </si>
  <si>
    <t xml:space="preserve">corporations to accept all positive NPV projects, regardless of the </t>
  </si>
  <si>
    <t xml:space="preserve">of consumption over time to fit their particular preferences. This allows </t>
  </si>
  <si>
    <t xml:space="preserve">individuals. By borrowing and lending, people can adjust their pattern </t>
  </si>
  <si>
    <t xml:space="preserve">Financial markets arise to facilitate borrowing and lending between </t>
  </si>
  <si>
    <t>Equal consumption amount</t>
  </si>
  <si>
    <t>NPV of investment</t>
  </si>
  <si>
    <t>Market interest rate</t>
  </si>
  <si>
    <t>New maximum current consumption</t>
  </si>
  <si>
    <t>Maximum current consumption</t>
  </si>
  <si>
    <t>Period 1 income and consumption</t>
  </si>
  <si>
    <t>Current income and consumption</t>
  </si>
  <si>
    <t>Desired consumption next year</t>
  </si>
  <si>
    <t>Maximum consumption next year</t>
  </si>
  <si>
    <t>Current wealth</t>
  </si>
  <si>
    <t>Question 28</t>
  </si>
  <si>
    <t>Question 74</t>
  </si>
  <si>
    <t xml:space="preserve">The effective rate is not affected by </t>
  </si>
  <si>
    <t xml:space="preserve">the loan amount since it drops out </t>
  </si>
  <si>
    <t>Difference in 65 years</t>
  </si>
  <si>
    <t>Difference today</t>
  </si>
  <si>
    <t xml:space="preserve">Interest </t>
  </si>
  <si>
    <t xml:space="preserve">Value one year ago </t>
  </si>
  <si>
    <t>Worksheet: [CF 11th edition Chapter 04.xls]#74</t>
  </si>
  <si>
    <t>Simple interest/year</t>
  </si>
  <si>
    <t>Total simple interest</t>
  </si>
  <si>
    <t>Discount rate 1</t>
  </si>
  <si>
    <t>Discount rate 2</t>
  </si>
  <si>
    <t>Report Created: 11/06/2017 3:25:47 PM</t>
  </si>
  <si>
    <t>Problems 1-74, Appendix 1-5</t>
  </si>
  <si>
    <t>Rate per week</t>
  </si>
  <si>
    <t>Rate per quarter</t>
  </si>
  <si>
    <t xml:space="preserve">Rate per month </t>
  </si>
  <si>
    <t>Rate 1</t>
  </si>
  <si>
    <t>Rate 2</t>
  </si>
  <si>
    <t>Semiannual</t>
  </si>
  <si>
    <t>Balance after 6 months</t>
  </si>
  <si>
    <t>Balance in one 1 year</t>
  </si>
  <si>
    <t xml:space="preserve">Maximum rate </t>
  </si>
  <si>
    <t>Present value of payments at rate change</t>
  </si>
  <si>
    <t xml:space="preserve">Future value of Investment A </t>
  </si>
  <si>
    <t>First year's bonus</t>
  </si>
  <si>
    <t>PV of Option B</t>
  </si>
  <si>
    <t>First year's salary</t>
  </si>
  <si>
    <t>PV of retirement spending at retirement</t>
  </si>
  <si>
    <t>PV of inheritance at retirement</t>
  </si>
  <si>
    <t>Break-even resale price</t>
  </si>
  <si>
    <t>PV of break-even resale price</t>
  </si>
  <si>
    <r>
      <t xml:space="preserve">when solving for </t>
    </r>
    <r>
      <rPr>
        <i/>
        <sz val="12"/>
        <rFont val="Arial"/>
        <family val="2"/>
      </rPr>
      <t>r</t>
    </r>
    <r>
      <rPr>
        <sz val="12"/>
        <rFont val="Arial"/>
        <family val="2"/>
      </rPr>
      <t>.</t>
    </r>
  </si>
  <si>
    <t xml:space="preserve">Either way, we still make the same decision </t>
  </si>
  <si>
    <t>on buying the policy.</t>
  </si>
  <si>
    <t>Value of semiannual payments today</t>
  </si>
  <si>
    <t>Rate of return</t>
  </si>
  <si>
    <t>Value today if payments</t>
  </si>
  <si>
    <t xml:space="preserve">  begin in 1 year</t>
  </si>
  <si>
    <t xml:space="preserve">  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</si>
</sst>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76" formatCode="&quot;$&quot;#,##0.00_);[Red]\(&quot;$&quot;#,##0.00\)"/>
    <numFmt numFmtId="177" formatCode="_(&quot;$&quot;* #,##0_);_(&quot;$&quot;* \(#,##0\);_(&quot;$&quot;* &quot;-&quot;_);_(@_)"/>
    <numFmt numFmtId="178" formatCode="_(* #,##0_);_(* \(#,##0\);_(* &quot;-&quot;_);_(@_)"/>
    <numFmt numFmtId="179" formatCode="_(&quot;$&quot;* #,##0.00_);_(&quot;$&quot;* \(#,##0.00\);_(&quot;$&quot;* &quot;-&quot;??_);_(@_)"/>
    <numFmt numFmtId="180" formatCode="_(* #,##0.00_);_(* \(#,##0.00\);_(* &quot;-&quot;??_);_(@_)"/>
    <numFmt numFmtId="181" formatCode="_(&quot;$&quot;* #,##0_);_(&quot;$&quot;* \(#,##0\);_(&quot;$&quot;* &quot;-&quot;??_);_(@_)"/>
    <numFmt numFmtId="182" formatCode="_(* #,##0_);_(* \(#,##0\);_(* &quot;-&quot;??_);_(@_)"/>
    <numFmt numFmtId="183" formatCode="0.0%"/>
    <numFmt numFmtId="184" formatCode="0.000%"/>
    <numFmt numFmtId="185" formatCode="0.0000%"/>
    <numFmt numFmtId="186" formatCode="_(&quot;$&quot;* #,##0.00_);_(&quot;$&quot;* \(#,##0.00\);_(&quot;$&quot;* &quot;-&quot;_);_(@_)"/>
    <numFmt numFmtId="187" formatCode="_(* #,##0.00000_);_(* \(#,##0.00000\);_(* &quot;-&quot;??_);_(@_)"/>
    <numFmt numFmtId="188" formatCode="0.000000%"/>
    <numFmt numFmtId="189" formatCode="#,##0.0000_);\(#,##0.0000\)"/>
    <numFmt numFmtId="190" formatCode="&quot;$&quot;#,##0.0000_);[Red]\(&quot;$&quot;#,##0.0000\)"/>
  </numFmts>
  <fonts count="30" x14ac:knownFonts="1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i/>
      <sz val="12"/>
      <name val="Arial"/>
      <family val="2"/>
    </font>
    <font>
      <sz val="12"/>
      <color indexed="48"/>
      <name val="Arial"/>
      <family val="2"/>
    </font>
    <font>
      <b/>
      <sz val="12"/>
      <color indexed="57"/>
      <name val="Arial"/>
      <family val="2"/>
    </font>
    <font>
      <sz val="12"/>
      <color indexed="10"/>
      <name val="Arial"/>
      <family val="2"/>
    </font>
    <font>
      <sz val="12"/>
      <color indexed="12"/>
      <name val="Arial"/>
      <family val="2"/>
    </font>
    <font>
      <sz val="12"/>
      <color indexed="57"/>
      <name val="Arial"/>
      <family val="2"/>
    </font>
    <font>
      <sz val="12"/>
      <color indexed="53"/>
      <name val="Arial"/>
      <family val="2"/>
    </font>
    <font>
      <sz val="10"/>
      <color indexed="8"/>
      <name val="Arial"/>
      <family val="2"/>
    </font>
    <font>
      <sz val="48"/>
      <color indexed="52"/>
      <name val="Arial"/>
      <family val="2"/>
    </font>
    <font>
      <sz val="10"/>
      <color indexed="19"/>
      <name val="Arial"/>
      <family val="2"/>
    </font>
    <font>
      <sz val="18"/>
      <color indexed="52"/>
      <name val="Arial"/>
      <family val="2"/>
    </font>
    <font>
      <b/>
      <sz val="12"/>
      <color indexed="47"/>
      <name val="Arial"/>
      <family val="2"/>
    </font>
    <font>
      <b/>
      <sz val="12"/>
      <color indexed="43"/>
      <name val="Arial"/>
      <family val="2"/>
    </font>
    <font>
      <b/>
      <sz val="12"/>
      <color indexed="48"/>
      <name val="Arial"/>
      <family val="2"/>
    </font>
    <font>
      <b/>
      <sz val="12"/>
      <color indexed="10"/>
      <name val="Arial"/>
      <family val="2"/>
    </font>
    <font>
      <u val="singleAccounting"/>
      <sz val="12"/>
      <name val="Arial"/>
      <family val="2"/>
    </font>
    <font>
      <u/>
      <sz val="12"/>
      <name val="Arial"/>
      <family val="2"/>
    </font>
    <font>
      <vertAlign val="superscript"/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sz val="10"/>
      <color indexed="9"/>
      <name val="Arial"/>
      <family val="2"/>
    </font>
    <font>
      <sz val="12"/>
      <color rgb="FFFF0000"/>
      <name val="Arial"/>
      <family val="2"/>
    </font>
    <font>
      <b/>
      <sz val="12"/>
      <color rgb="FF339966"/>
      <name val="Arial"/>
      <family val="2"/>
    </font>
    <font>
      <sz val="9"/>
      <name val="細明體"/>
      <family val="3"/>
      <charset val="136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99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</borders>
  <cellStyleXfs count="8">
    <xf numFmtId="0" fontId="0" fillId="0" borderId="0"/>
    <xf numFmtId="180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79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NumberFormat="1" applyFont="1"/>
    <xf numFmtId="0" fontId="5" fillId="0" borderId="0" xfId="0" applyFont="1" applyBorder="1"/>
    <xf numFmtId="0" fontId="3" fillId="0" borderId="0" xfId="0" applyFont="1" applyBorder="1"/>
    <xf numFmtId="0" fontId="0" fillId="2" borderId="1" xfId="0" applyFill="1" applyBorder="1"/>
    <xf numFmtId="0" fontId="5" fillId="2" borderId="2" xfId="0" applyFont="1" applyFill="1" applyBorder="1"/>
    <xf numFmtId="0" fontId="3" fillId="2" borderId="2" xfId="0" applyFont="1" applyFill="1" applyBorder="1"/>
    <xf numFmtId="0" fontId="4" fillId="2" borderId="3" xfId="0" applyNumberFormat="1" applyFont="1" applyFill="1" applyBorder="1"/>
    <xf numFmtId="0" fontId="0" fillId="2" borderId="4" xfId="0" applyFill="1" applyBorder="1"/>
    <xf numFmtId="0" fontId="3" fillId="2" borderId="0" xfId="0" applyFont="1" applyFill="1" applyBorder="1"/>
    <xf numFmtId="0" fontId="4" fillId="2" borderId="5" xfId="0" applyNumberFormat="1" applyFont="1" applyFill="1" applyBorder="1"/>
    <xf numFmtId="9" fontId="6" fillId="2" borderId="0" xfId="3" applyFont="1" applyFill="1" applyBorder="1"/>
    <xf numFmtId="0" fontId="0" fillId="3" borderId="4" xfId="0" applyFill="1" applyBorder="1"/>
    <xf numFmtId="0" fontId="3" fillId="3" borderId="0" xfId="0" applyFont="1" applyFill="1" applyBorder="1"/>
    <xf numFmtId="0" fontId="0" fillId="3" borderId="6" xfId="0" applyFill="1" applyBorder="1"/>
    <xf numFmtId="0" fontId="3" fillId="3" borderId="7" xfId="0" applyFont="1" applyFill="1" applyBorder="1"/>
    <xf numFmtId="0" fontId="5" fillId="2" borderId="0" xfId="0" applyFont="1" applyFill="1" applyBorder="1"/>
    <xf numFmtId="0" fontId="4" fillId="3" borderId="5" xfId="0" applyNumberFormat="1" applyFont="1" applyFill="1" applyBorder="1"/>
    <xf numFmtId="9" fontId="6" fillId="3" borderId="7" xfId="3" applyFont="1" applyFill="1" applyBorder="1"/>
    <xf numFmtId="0" fontId="4" fillId="3" borderId="8" xfId="0" applyNumberFormat="1" applyFont="1" applyFill="1" applyBorder="1"/>
    <xf numFmtId="0" fontId="3" fillId="2" borderId="0" xfId="0" applyFont="1" applyFill="1" applyBorder="1" applyAlignment="1">
      <alignment horizontal="right"/>
    </xf>
    <xf numFmtId="180" fontId="3" fillId="2" borderId="0" xfId="1" applyFont="1" applyFill="1" applyBorder="1" applyAlignment="1">
      <alignment horizontal="center"/>
    </xf>
    <xf numFmtId="179" fontId="7" fillId="3" borderId="0" xfId="2" applyFont="1" applyFill="1" applyBorder="1"/>
    <xf numFmtId="0" fontId="5" fillId="2" borderId="9" xfId="0" applyFont="1" applyFill="1" applyBorder="1"/>
    <xf numFmtId="0" fontId="5" fillId="3" borderId="10" xfId="0" applyFont="1" applyFill="1" applyBorder="1"/>
    <xf numFmtId="0" fontId="0" fillId="2" borderId="6" xfId="0" applyFill="1" applyBorder="1"/>
    <xf numFmtId="0" fontId="3" fillId="2" borderId="7" xfId="0" applyFont="1" applyFill="1" applyBorder="1"/>
    <xf numFmtId="182" fontId="6" fillId="2" borderId="7" xfId="1" applyNumberFormat="1" applyFont="1" applyFill="1" applyBorder="1"/>
    <xf numFmtId="0" fontId="4" fillId="2" borderId="8" xfId="0" applyNumberFormat="1" applyFont="1" applyFill="1" applyBorder="1"/>
    <xf numFmtId="176" fontId="0" fillId="0" borderId="0" xfId="0" applyNumberFormat="1"/>
    <xf numFmtId="0" fontId="3" fillId="3" borderId="1" xfId="0" applyFont="1" applyFill="1" applyBorder="1"/>
    <xf numFmtId="0" fontId="3" fillId="3" borderId="2" xfId="0" applyFont="1" applyFill="1" applyBorder="1"/>
    <xf numFmtId="0" fontId="4" fillId="3" borderId="3" xfId="0" applyNumberFormat="1" applyFont="1" applyFill="1" applyBorder="1"/>
    <xf numFmtId="0" fontId="3" fillId="3" borderId="4" xfId="0" applyFont="1" applyFill="1" applyBorder="1"/>
    <xf numFmtId="0" fontId="3" fillId="3" borderId="6" xfId="0" applyFont="1" applyFill="1" applyBorder="1"/>
    <xf numFmtId="0" fontId="5" fillId="0" borderId="0" xfId="0" applyFont="1"/>
    <xf numFmtId="0" fontId="5" fillId="0" borderId="0" xfId="0" applyFont="1" applyFill="1" applyBorder="1"/>
    <xf numFmtId="179" fontId="7" fillId="3" borderId="11" xfId="2" applyFont="1" applyFill="1" applyBorder="1"/>
    <xf numFmtId="179" fontId="7" fillId="3" borderId="11" xfId="2" applyNumberFormat="1" applyFont="1" applyFill="1" applyBorder="1"/>
    <xf numFmtId="179" fontId="7" fillId="3" borderId="0" xfId="2" applyNumberFormat="1" applyFont="1" applyFill="1" applyBorder="1"/>
    <xf numFmtId="9" fontId="7" fillId="3" borderId="0" xfId="3" applyFont="1" applyFill="1" applyBorder="1"/>
    <xf numFmtId="9" fontId="6" fillId="2" borderId="7" xfId="3" applyFont="1" applyFill="1" applyBorder="1"/>
    <xf numFmtId="0" fontId="3" fillId="2" borderId="12" xfId="0" applyFont="1" applyFill="1" applyBorder="1" applyAlignment="1">
      <alignment horizontal="right"/>
    </xf>
    <xf numFmtId="180" fontId="3" fillId="2" borderId="12" xfId="1" applyFont="1" applyFill="1" applyBorder="1" applyAlignment="1">
      <alignment horizontal="center"/>
    </xf>
    <xf numFmtId="180" fontId="3" fillId="3" borderId="12" xfId="1" applyFont="1" applyFill="1" applyBorder="1" applyAlignment="1">
      <alignment horizontal="center"/>
    </xf>
    <xf numFmtId="10" fontId="7" fillId="3" borderId="0" xfId="3" applyNumberFormat="1" applyFont="1" applyFill="1" applyBorder="1"/>
    <xf numFmtId="0" fontId="0" fillId="3" borderId="1" xfId="0" applyFill="1" applyBorder="1"/>
    <xf numFmtId="0" fontId="5" fillId="3" borderId="2" xfId="0" applyFont="1" applyFill="1" applyBorder="1"/>
    <xf numFmtId="0" fontId="3" fillId="3" borderId="12" xfId="0" applyFont="1" applyFill="1" applyBorder="1" applyAlignment="1">
      <alignment horizontal="right"/>
    </xf>
    <xf numFmtId="183" fontId="3" fillId="2" borderId="0" xfId="3" applyNumberFormat="1" applyFont="1" applyFill="1" applyBorder="1"/>
    <xf numFmtId="179" fontId="3" fillId="0" borderId="0" xfId="2" applyFont="1"/>
    <xf numFmtId="10" fontId="7" fillId="3" borderId="11" xfId="3" applyNumberFormat="1" applyFont="1" applyFill="1" applyBorder="1"/>
    <xf numFmtId="182" fontId="7" fillId="3" borderId="0" xfId="1" applyNumberFormat="1" applyFont="1" applyFill="1" applyBorder="1"/>
    <xf numFmtId="180" fontId="7" fillId="3" borderId="0" xfId="1" applyNumberFormat="1" applyFont="1" applyFill="1" applyBorder="1"/>
    <xf numFmtId="10" fontId="8" fillId="3" borderId="0" xfId="3" applyNumberFormat="1" applyFont="1" applyFill="1" applyBorder="1"/>
    <xf numFmtId="0" fontId="3" fillId="3" borderId="0" xfId="0" applyFont="1" applyFill="1" applyBorder="1" applyAlignment="1">
      <alignment horizontal="right"/>
    </xf>
    <xf numFmtId="176" fontId="7" fillId="3" borderId="0" xfId="2" applyNumberFormat="1" applyFont="1" applyFill="1" applyBorder="1"/>
    <xf numFmtId="180" fontId="7" fillId="3" borderId="11" xfId="1" applyFont="1" applyFill="1" applyBorder="1"/>
    <xf numFmtId="183" fontId="9" fillId="2" borderId="0" xfId="3" applyNumberFormat="1" applyFont="1" applyFill="1" applyBorder="1"/>
    <xf numFmtId="182" fontId="9" fillId="2" borderId="0" xfId="1" applyNumberFormat="1" applyFont="1" applyFill="1" applyBorder="1"/>
    <xf numFmtId="181" fontId="9" fillId="2" borderId="0" xfId="2" applyNumberFormat="1" applyFont="1" applyFill="1" applyBorder="1"/>
    <xf numFmtId="0" fontId="4" fillId="3" borderId="2" xfId="0" applyNumberFormat="1" applyFont="1" applyFill="1" applyBorder="1"/>
    <xf numFmtId="0" fontId="0" fillId="3" borderId="2" xfId="0" applyFill="1" applyBorder="1"/>
    <xf numFmtId="0" fontId="0" fillId="3" borderId="3" xfId="0" applyFill="1" applyBorder="1"/>
    <xf numFmtId="0" fontId="4" fillId="3" borderId="0" xfId="0" applyNumberFormat="1" applyFont="1" applyFill="1" applyBorder="1"/>
    <xf numFmtId="0" fontId="0" fillId="3" borderId="0" xfId="0" applyFill="1" applyBorder="1"/>
    <xf numFmtId="0" fontId="0" fillId="3" borderId="5" xfId="0" applyFill="1" applyBorder="1"/>
    <xf numFmtId="176" fontId="7" fillId="3" borderId="0" xfId="0" applyNumberFormat="1" applyFont="1" applyFill="1" applyBorder="1"/>
    <xf numFmtId="9" fontId="8" fillId="3" borderId="7" xfId="1" applyNumberFormat="1" applyFont="1" applyFill="1" applyBorder="1"/>
    <xf numFmtId="0" fontId="4" fillId="3" borderId="7" xfId="0" applyNumberFormat="1" applyFont="1" applyFill="1" applyBorder="1"/>
    <xf numFmtId="0" fontId="0" fillId="3" borderId="7" xfId="0" applyFill="1" applyBorder="1"/>
    <xf numFmtId="0" fontId="0" fillId="3" borderId="8" xfId="0" applyFill="1" applyBorder="1"/>
    <xf numFmtId="10" fontId="7" fillId="3" borderId="11" xfId="0" applyNumberFormat="1" applyFont="1" applyFill="1" applyBorder="1"/>
    <xf numFmtId="179" fontId="8" fillId="3" borderId="0" xfId="2" applyFont="1" applyFill="1" applyBorder="1"/>
    <xf numFmtId="0" fontId="0" fillId="0" borderId="0" xfId="0" applyBorder="1"/>
    <xf numFmtId="182" fontId="8" fillId="3" borderId="0" xfId="1" applyNumberFormat="1" applyFont="1" applyFill="1" applyBorder="1"/>
    <xf numFmtId="10" fontId="8" fillId="3" borderId="0" xfId="0" applyNumberFormat="1" applyFont="1" applyFill="1" applyBorder="1"/>
    <xf numFmtId="0" fontId="3" fillId="3" borderId="0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right"/>
    </xf>
    <xf numFmtId="0" fontId="3" fillId="2" borderId="3" xfId="0" applyFont="1" applyFill="1" applyBorder="1"/>
    <xf numFmtId="0" fontId="0" fillId="2" borderId="0" xfId="0" applyFill="1" applyBorder="1"/>
    <xf numFmtId="177" fontId="9" fillId="2" borderId="0" xfId="0" applyNumberFormat="1" applyFont="1" applyFill="1" applyBorder="1"/>
    <xf numFmtId="0" fontId="3" fillId="2" borderId="5" xfId="0" applyFont="1" applyFill="1" applyBorder="1"/>
    <xf numFmtId="182" fontId="9" fillId="2" borderId="0" xfId="0" applyNumberFormat="1" applyFont="1" applyFill="1" applyBorder="1"/>
    <xf numFmtId="9" fontId="9" fillId="2" borderId="0" xfId="3" applyFont="1" applyFill="1" applyBorder="1"/>
    <xf numFmtId="0" fontId="3" fillId="2" borderId="8" xfId="0" applyFont="1" applyFill="1" applyBorder="1"/>
    <xf numFmtId="0" fontId="3" fillId="3" borderId="3" xfId="0" applyFont="1" applyFill="1" applyBorder="1"/>
    <xf numFmtId="0" fontId="3" fillId="3" borderId="0" xfId="0" applyFont="1" applyFill="1" applyBorder="1" applyAlignment="1"/>
    <xf numFmtId="181" fontId="9" fillId="3" borderId="0" xfId="2" applyNumberFormat="1" applyFont="1" applyFill="1" applyBorder="1"/>
    <xf numFmtId="179" fontId="8" fillId="3" borderId="0" xfId="2" applyNumberFormat="1" applyFont="1" applyFill="1" applyBorder="1"/>
    <xf numFmtId="0" fontId="3" fillId="3" borderId="5" xfId="0" applyFont="1" applyFill="1" applyBorder="1"/>
    <xf numFmtId="178" fontId="9" fillId="3" borderId="0" xfId="2" applyNumberFormat="1" applyFont="1" applyFill="1" applyBorder="1"/>
    <xf numFmtId="178" fontId="9" fillId="3" borderId="0" xfId="0" applyNumberFormat="1" applyFont="1" applyFill="1" applyBorder="1"/>
    <xf numFmtId="181" fontId="11" fillId="3" borderId="0" xfId="2" applyNumberFormat="1" applyFont="1" applyFill="1" applyBorder="1"/>
    <xf numFmtId="0" fontId="3" fillId="3" borderId="0" xfId="0" quotePrefix="1" applyFont="1" applyFill="1" applyBorder="1"/>
    <xf numFmtId="179" fontId="7" fillId="3" borderId="11" xfId="0" applyNumberFormat="1" applyFont="1" applyFill="1" applyBorder="1"/>
    <xf numFmtId="0" fontId="3" fillId="3" borderId="8" xfId="0" applyFont="1" applyFill="1" applyBorder="1"/>
    <xf numFmtId="9" fontId="9" fillId="2" borderId="0" xfId="3" applyNumberFormat="1" applyFont="1" applyFill="1" applyBorder="1"/>
    <xf numFmtId="178" fontId="9" fillId="3" borderId="5" xfId="0" applyNumberFormat="1" applyFont="1" applyFill="1" applyBorder="1"/>
    <xf numFmtId="178" fontId="10" fillId="3" borderId="5" xfId="0" applyNumberFormat="1" applyFont="1" applyFill="1" applyBorder="1"/>
    <xf numFmtId="0" fontId="3" fillId="2" borderId="0" xfId="0" applyFont="1" applyFill="1" applyBorder="1" applyAlignment="1">
      <alignment horizontal="center"/>
    </xf>
    <xf numFmtId="9" fontId="7" fillId="3" borderId="0" xfId="2" applyNumberFormat="1" applyFont="1" applyFill="1" applyBorder="1"/>
    <xf numFmtId="10" fontId="8" fillId="3" borderId="0" xfId="2" applyNumberFormat="1" applyFont="1" applyFill="1" applyBorder="1"/>
    <xf numFmtId="0" fontId="3" fillId="0" borderId="0" xfId="0" applyFont="1" applyFill="1" applyBorder="1"/>
    <xf numFmtId="0" fontId="0" fillId="0" borderId="0" xfId="0" applyFill="1" applyBorder="1"/>
    <xf numFmtId="179" fontId="8" fillId="3" borderId="0" xfId="0" applyNumberFormat="1" applyFont="1" applyFill="1" applyBorder="1"/>
    <xf numFmtId="0" fontId="5" fillId="3" borderId="0" xfId="0" applyFont="1" applyFill="1" applyBorder="1"/>
    <xf numFmtId="9" fontId="7" fillId="3" borderId="0" xfId="0" applyNumberFormat="1" applyFont="1" applyFill="1" applyBorder="1"/>
    <xf numFmtId="179" fontId="7" fillId="3" borderId="11" xfId="3" applyNumberFormat="1" applyFont="1" applyFill="1" applyBorder="1"/>
    <xf numFmtId="180" fontId="8" fillId="3" borderId="0" xfId="1" applyNumberFormat="1" applyFont="1" applyFill="1" applyBorder="1"/>
    <xf numFmtId="180" fontId="8" fillId="3" borderId="12" xfId="1" applyFont="1" applyFill="1" applyBorder="1"/>
    <xf numFmtId="180" fontId="7" fillId="3" borderId="0" xfId="1" applyFont="1" applyFill="1" applyBorder="1"/>
    <xf numFmtId="181" fontId="8" fillId="3" borderId="0" xfId="2" applyNumberFormat="1" applyFont="1" applyFill="1" applyBorder="1"/>
    <xf numFmtId="180" fontId="3" fillId="3" borderId="0" xfId="1" applyNumberFormat="1" applyFont="1" applyFill="1" applyBorder="1" applyAlignment="1">
      <alignment horizontal="center"/>
    </xf>
    <xf numFmtId="0" fontId="3" fillId="2" borderId="1" xfId="0" applyFont="1" applyFill="1" applyBorder="1"/>
    <xf numFmtId="0" fontId="3" fillId="2" borderId="4" xfId="0" applyFont="1" applyFill="1" applyBorder="1"/>
    <xf numFmtId="181" fontId="3" fillId="2" borderId="12" xfId="2" applyNumberFormat="1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182" fontId="3" fillId="2" borderId="0" xfId="1" applyNumberFormat="1" applyFont="1" applyFill="1" applyBorder="1" applyAlignment="1">
      <alignment horizontal="center"/>
    </xf>
    <xf numFmtId="0" fontId="3" fillId="2" borderId="0" xfId="0" applyFont="1" applyFill="1" applyBorder="1" applyAlignment="1">
      <alignment horizontal="left"/>
    </xf>
    <xf numFmtId="0" fontId="3" fillId="2" borderId="6" xfId="0" applyFont="1" applyFill="1" applyBorder="1"/>
    <xf numFmtId="176" fontId="7" fillId="3" borderId="11" xfId="0" applyNumberFormat="1" applyFont="1" applyFill="1" applyBorder="1"/>
    <xf numFmtId="0" fontId="12" fillId="4" borderId="0" xfId="0" applyFont="1" applyFill="1" applyBorder="1"/>
    <xf numFmtId="0" fontId="12" fillId="4" borderId="0" xfId="0" applyFont="1" applyFill="1"/>
    <xf numFmtId="0" fontId="0" fillId="4" borderId="0" xfId="0" applyFill="1"/>
    <xf numFmtId="2" fontId="13" fillId="4" borderId="0" xfId="0" applyNumberFormat="1" applyFont="1" applyFill="1" applyBorder="1" applyAlignment="1"/>
    <xf numFmtId="0" fontId="14" fillId="4" borderId="0" xfId="0" applyFont="1" applyFill="1" applyBorder="1"/>
    <xf numFmtId="0" fontId="15" fillId="4" borderId="0" xfId="0" applyFont="1" applyFill="1" applyBorder="1" applyAlignment="1">
      <alignment horizontal="center"/>
    </xf>
    <xf numFmtId="0" fontId="4" fillId="4" borderId="0" xfId="0" applyFont="1" applyFill="1" applyBorder="1"/>
    <xf numFmtId="0" fontId="16" fillId="4" borderId="0" xfId="0" applyFont="1" applyFill="1" applyBorder="1"/>
    <xf numFmtId="0" fontId="17" fillId="4" borderId="0" xfId="0" applyFont="1" applyFill="1" applyBorder="1"/>
    <xf numFmtId="0" fontId="18" fillId="4" borderId="0" xfId="0" applyFont="1" applyFill="1" applyBorder="1"/>
    <xf numFmtId="0" fontId="19" fillId="4" borderId="0" xfId="0" applyFont="1" applyFill="1" applyBorder="1"/>
    <xf numFmtId="0" fontId="7" fillId="4" borderId="0" xfId="0" applyFont="1" applyFill="1" applyBorder="1"/>
    <xf numFmtId="0" fontId="0" fillId="4" borderId="0" xfId="0" applyFill="1" applyBorder="1"/>
    <xf numFmtId="182" fontId="9" fillId="2" borderId="0" xfId="1" applyNumberFormat="1" applyFont="1" applyFill="1" applyBorder="1" applyAlignment="1">
      <alignment horizontal="center"/>
    </xf>
    <xf numFmtId="10" fontId="9" fillId="2" borderId="0" xfId="3" applyNumberFormat="1" applyFont="1" applyFill="1" applyBorder="1"/>
    <xf numFmtId="182" fontId="9" fillId="2" borderId="0" xfId="1" applyNumberFormat="1" applyFont="1" applyFill="1" applyBorder="1" applyAlignment="1">
      <alignment horizontal="right"/>
    </xf>
    <xf numFmtId="176" fontId="7" fillId="3" borderId="11" xfId="2" applyNumberFormat="1" applyFont="1" applyFill="1" applyBorder="1"/>
    <xf numFmtId="178" fontId="9" fillId="2" borderId="0" xfId="3" applyNumberFormat="1" applyFont="1" applyFill="1" applyBorder="1"/>
    <xf numFmtId="179" fontId="9" fillId="2" borderId="0" xfId="2" applyNumberFormat="1" applyFont="1" applyFill="1" applyBorder="1"/>
    <xf numFmtId="180" fontId="7" fillId="3" borderId="11" xfId="1" applyNumberFormat="1" applyFont="1" applyFill="1" applyBorder="1"/>
    <xf numFmtId="178" fontId="9" fillId="2" borderId="0" xfId="1" applyNumberFormat="1" applyFont="1" applyFill="1" applyBorder="1"/>
    <xf numFmtId="9" fontId="8" fillId="3" borderId="0" xfId="0" applyNumberFormat="1" applyFont="1" applyFill="1" applyBorder="1"/>
    <xf numFmtId="177" fontId="9" fillId="2" borderId="0" xfId="1" applyNumberFormat="1" applyFont="1" applyFill="1" applyBorder="1"/>
    <xf numFmtId="180" fontId="9" fillId="2" borderId="0" xfId="1" applyNumberFormat="1" applyFont="1" applyFill="1" applyBorder="1"/>
    <xf numFmtId="177" fontId="8" fillId="3" borderId="0" xfId="0" applyNumberFormat="1" applyFont="1" applyFill="1" applyBorder="1"/>
    <xf numFmtId="10" fontId="7" fillId="3" borderId="11" xfId="2" applyNumberFormat="1" applyFont="1" applyFill="1" applyBorder="1"/>
    <xf numFmtId="10" fontId="3" fillId="3" borderId="0" xfId="0" applyNumberFormat="1" applyFont="1" applyFill="1" applyBorder="1"/>
    <xf numFmtId="0" fontId="5" fillId="3" borderId="4" xfId="0" applyFont="1" applyFill="1" applyBorder="1"/>
    <xf numFmtId="10" fontId="7" fillId="3" borderId="0" xfId="0" applyNumberFormat="1" applyFont="1" applyFill="1" applyBorder="1"/>
    <xf numFmtId="0" fontId="5" fillId="2" borderId="4" xfId="0" applyFont="1" applyFill="1" applyBorder="1"/>
    <xf numFmtId="179" fontId="9" fillId="2" borderId="0" xfId="1" applyNumberFormat="1" applyFont="1" applyFill="1" applyBorder="1" applyAlignment="1">
      <alignment horizontal="right"/>
    </xf>
    <xf numFmtId="179" fontId="20" fillId="3" borderId="0" xfId="2" applyFont="1" applyFill="1" applyBorder="1" applyAlignment="1">
      <alignment horizontal="right"/>
    </xf>
    <xf numFmtId="0" fontId="21" fillId="3" borderId="0" xfId="0" applyFont="1" applyFill="1" applyBorder="1" applyAlignment="1">
      <alignment horizontal="right"/>
    </xf>
    <xf numFmtId="177" fontId="8" fillId="3" borderId="0" xfId="2" applyNumberFormat="1" applyFont="1" applyFill="1" applyBorder="1" applyAlignment="1">
      <alignment horizontal="right"/>
    </xf>
    <xf numFmtId="177" fontId="9" fillId="2" borderId="0" xfId="2" applyNumberFormat="1" applyFont="1" applyFill="1" applyBorder="1"/>
    <xf numFmtId="179" fontId="3" fillId="3" borderId="0" xfId="0" applyNumberFormat="1" applyFont="1" applyFill="1" applyBorder="1"/>
    <xf numFmtId="179" fontId="7" fillId="3" borderId="0" xfId="1" applyNumberFormat="1" applyFont="1" applyFill="1" applyBorder="1"/>
    <xf numFmtId="179" fontId="3" fillId="3" borderId="12" xfId="2" applyFont="1" applyFill="1" applyBorder="1" applyAlignment="1">
      <alignment horizontal="right"/>
    </xf>
    <xf numFmtId="179" fontId="8" fillId="3" borderId="12" xfId="2" applyNumberFormat="1" applyFont="1" applyFill="1" applyBorder="1"/>
    <xf numFmtId="179" fontId="3" fillId="3" borderId="0" xfId="2" applyFont="1" applyFill="1" applyBorder="1" applyAlignment="1">
      <alignment horizontal="right"/>
    </xf>
    <xf numFmtId="184" fontId="8" fillId="3" borderId="0" xfId="2" applyNumberFormat="1" applyFont="1" applyFill="1" applyBorder="1"/>
    <xf numFmtId="178" fontId="9" fillId="2" borderId="0" xfId="2" applyNumberFormat="1" applyFont="1" applyFill="1" applyBorder="1"/>
    <xf numFmtId="177" fontId="9" fillId="2" borderId="0" xfId="3" applyNumberFormat="1" applyFont="1" applyFill="1" applyBorder="1"/>
    <xf numFmtId="179" fontId="8" fillId="3" borderId="0" xfId="3" applyNumberFormat="1" applyFont="1" applyFill="1" applyBorder="1"/>
    <xf numFmtId="179" fontId="7" fillId="3" borderId="11" xfId="0" applyNumberFormat="1" applyFont="1" applyFill="1" applyBorder="1" applyAlignment="1">
      <alignment horizontal="center"/>
    </xf>
    <xf numFmtId="184" fontId="8" fillId="3" borderId="0" xfId="3" applyNumberFormat="1" applyFont="1" applyFill="1" applyBorder="1" applyAlignment="1">
      <alignment horizontal="right"/>
    </xf>
    <xf numFmtId="0" fontId="3" fillId="3" borderId="0" xfId="0" applyFont="1" applyFill="1"/>
    <xf numFmtId="182" fontId="9" fillId="2" borderId="0" xfId="3" applyNumberFormat="1" applyFont="1" applyFill="1" applyBorder="1"/>
    <xf numFmtId="185" fontId="8" fillId="3" borderId="0" xfId="2" applyNumberFormat="1" applyFont="1" applyFill="1" applyBorder="1"/>
    <xf numFmtId="182" fontId="3" fillId="2" borderId="0" xfId="1" applyNumberFormat="1" applyFont="1" applyFill="1" applyBorder="1" applyAlignment="1">
      <alignment horizontal="right"/>
    </xf>
    <xf numFmtId="0" fontId="8" fillId="3" borderId="0" xfId="0" applyFont="1" applyFill="1" applyBorder="1"/>
    <xf numFmtId="178" fontId="9" fillId="2" borderId="0" xfId="0" applyNumberFormat="1" applyFont="1" applyFill="1" applyBorder="1"/>
    <xf numFmtId="176" fontId="8" fillId="3" borderId="0" xfId="2" applyNumberFormat="1" applyFont="1" applyFill="1" applyBorder="1"/>
    <xf numFmtId="0" fontId="21" fillId="2" borderId="0" xfId="0" applyFont="1" applyFill="1" applyBorder="1" applyAlignment="1">
      <alignment horizontal="right"/>
    </xf>
    <xf numFmtId="0" fontId="9" fillId="2" borderId="0" xfId="0" applyFont="1" applyFill="1" applyBorder="1" applyAlignment="1">
      <alignment horizontal="right"/>
    </xf>
    <xf numFmtId="0" fontId="9" fillId="2" borderId="0" xfId="0" applyFont="1" applyFill="1" applyBorder="1"/>
    <xf numFmtId="9" fontId="9" fillId="2" borderId="0" xfId="3" applyFont="1" applyFill="1" applyBorder="1" applyAlignment="1">
      <alignment horizontal="right"/>
    </xf>
    <xf numFmtId="0" fontId="7" fillId="3" borderId="0" xfId="0" applyFont="1" applyFill="1" applyBorder="1"/>
    <xf numFmtId="181" fontId="11" fillId="3" borderId="5" xfId="2" applyNumberFormat="1" applyFont="1" applyFill="1" applyBorder="1"/>
    <xf numFmtId="9" fontId="3" fillId="2" borderId="12" xfId="3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0" fillId="2" borderId="7" xfId="0" applyFill="1" applyBorder="1"/>
    <xf numFmtId="0" fontId="0" fillId="2" borderId="8" xfId="0" applyFill="1" applyBorder="1"/>
    <xf numFmtId="9" fontId="3" fillId="3" borderId="12" xfId="3" applyFont="1" applyFill="1" applyBorder="1" applyAlignment="1">
      <alignment horizontal="center"/>
    </xf>
    <xf numFmtId="180" fontId="9" fillId="2" borderId="0" xfId="1" applyFont="1" applyFill="1" applyBorder="1"/>
    <xf numFmtId="9" fontId="3" fillId="2" borderId="0" xfId="3" applyFont="1" applyFill="1" applyBorder="1"/>
    <xf numFmtId="178" fontId="9" fillId="2" borderId="0" xfId="3" applyNumberFormat="1" applyFont="1" applyFill="1" applyBorder="1" applyAlignment="1">
      <alignment horizontal="right"/>
    </xf>
    <xf numFmtId="178" fontId="9" fillId="2" borderId="0" xfId="0" applyNumberFormat="1" applyFont="1" applyFill="1" applyBorder="1" applyAlignment="1">
      <alignment horizontal="right"/>
    </xf>
    <xf numFmtId="186" fontId="8" fillId="3" borderId="0" xfId="0" applyNumberFormat="1" applyFont="1" applyFill="1" applyBorder="1"/>
    <xf numFmtId="186" fontId="7" fillId="3" borderId="11" xfId="0" applyNumberFormat="1" applyFont="1" applyFill="1" applyBorder="1"/>
    <xf numFmtId="179" fontId="8" fillId="3" borderId="0" xfId="1" applyNumberFormat="1" applyFont="1" applyFill="1" applyBorder="1"/>
    <xf numFmtId="0" fontId="0" fillId="0" borderId="0" xfId="0" applyNumberFormat="1"/>
    <xf numFmtId="10" fontId="8" fillId="3" borderId="0" xfId="3" applyNumberFormat="1" applyFont="1" applyFill="1" applyBorder="1" applyAlignment="1">
      <alignment horizontal="right"/>
    </xf>
    <xf numFmtId="179" fontId="10" fillId="3" borderId="0" xfId="2" applyFont="1" applyFill="1" applyBorder="1"/>
    <xf numFmtId="187" fontId="8" fillId="3" borderId="0" xfId="3" applyNumberFormat="1" applyFont="1" applyFill="1" applyBorder="1"/>
    <xf numFmtId="188" fontId="7" fillId="3" borderId="11" xfId="3" applyNumberFormat="1" applyFont="1" applyFill="1" applyBorder="1"/>
    <xf numFmtId="0" fontId="24" fillId="0" borderId="0" xfId="0" applyFont="1"/>
    <xf numFmtId="0" fontId="0" fillId="0" borderId="13" xfId="0" applyFill="1" applyBorder="1" applyAlignment="1"/>
    <xf numFmtId="0" fontId="25" fillId="0" borderId="14" xfId="0" applyFont="1" applyFill="1" applyBorder="1" applyAlignment="1">
      <alignment horizontal="center"/>
    </xf>
    <xf numFmtId="187" fontId="0" fillId="0" borderId="13" xfId="0" applyNumberFormat="1" applyFill="1" applyBorder="1" applyAlignment="1"/>
    <xf numFmtId="188" fontId="0" fillId="0" borderId="13" xfId="0" applyNumberFormat="1" applyFill="1" applyBorder="1" applyAlignment="1"/>
    <xf numFmtId="0" fontId="26" fillId="4" borderId="0" xfId="0" applyFont="1" applyFill="1" applyBorder="1"/>
    <xf numFmtId="179" fontId="3" fillId="0" borderId="0" xfId="0" applyNumberFormat="1" applyFont="1"/>
    <xf numFmtId="179" fontId="7" fillId="3" borderId="0" xfId="0" applyNumberFormat="1" applyFont="1" applyFill="1" applyBorder="1"/>
    <xf numFmtId="179" fontId="27" fillId="3" borderId="0" xfId="2" applyNumberFormat="1" applyFont="1" applyFill="1" applyBorder="1"/>
    <xf numFmtId="176" fontId="3" fillId="3" borderId="0" xfId="0" applyNumberFormat="1" applyFont="1" applyFill="1" applyBorder="1"/>
    <xf numFmtId="176" fontId="27" fillId="3" borderId="0" xfId="0" applyNumberFormat="1" applyFont="1" applyFill="1" applyBorder="1"/>
    <xf numFmtId="179" fontId="27" fillId="3" borderId="0" xfId="0" applyNumberFormat="1" applyFont="1" applyFill="1" applyBorder="1"/>
    <xf numFmtId="184" fontId="27" fillId="3" borderId="0" xfId="0" applyNumberFormat="1" applyFont="1" applyFill="1" applyBorder="1"/>
    <xf numFmtId="181" fontId="27" fillId="3" borderId="0" xfId="2" applyNumberFormat="1" applyFont="1" applyFill="1" applyBorder="1"/>
    <xf numFmtId="184" fontId="8" fillId="3" borderId="0" xfId="0" applyNumberFormat="1" applyFont="1" applyFill="1" applyBorder="1"/>
    <xf numFmtId="182" fontId="27" fillId="2" borderId="0" xfId="0" applyNumberFormat="1" applyFont="1" applyFill="1" applyBorder="1"/>
    <xf numFmtId="181" fontId="27" fillId="2" borderId="0" xfId="2" applyNumberFormat="1" applyFont="1" applyFill="1" applyBorder="1"/>
    <xf numFmtId="179" fontId="27" fillId="2" borderId="0" xfId="2" applyNumberFormat="1" applyFont="1" applyFill="1" applyBorder="1"/>
    <xf numFmtId="0" fontId="1" fillId="0" borderId="0" xfId="4"/>
    <xf numFmtId="0" fontId="2" fillId="0" borderId="0" xfId="4" applyFont="1"/>
    <xf numFmtId="0" fontId="3" fillId="0" borderId="0" xfId="4" applyFont="1"/>
    <xf numFmtId="0" fontId="5" fillId="0" borderId="0" xfId="4" applyFont="1"/>
    <xf numFmtId="0" fontId="5" fillId="0" borderId="0" xfId="4" applyFont="1" applyBorder="1"/>
    <xf numFmtId="0" fontId="1" fillId="2" borderId="1" xfId="4" applyFill="1" applyBorder="1"/>
    <xf numFmtId="0" fontId="5" fillId="2" borderId="2" xfId="4" applyFont="1" applyFill="1" applyBorder="1"/>
    <xf numFmtId="0" fontId="3" fillId="2" borderId="2" xfId="4" applyFont="1" applyFill="1" applyBorder="1"/>
    <xf numFmtId="0" fontId="3" fillId="2" borderId="3" xfId="4" applyFont="1" applyFill="1" applyBorder="1"/>
    <xf numFmtId="0" fontId="1" fillId="2" borderId="4" xfId="4" applyFill="1" applyBorder="1"/>
    <xf numFmtId="0" fontId="3" fillId="2" borderId="0" xfId="4" applyFont="1" applyFill="1" applyBorder="1"/>
    <xf numFmtId="181" fontId="9" fillId="2" borderId="0" xfId="5" applyNumberFormat="1" applyFont="1" applyFill="1" applyBorder="1"/>
    <xf numFmtId="0" fontId="3" fillId="2" borderId="5" xfId="4" applyFont="1" applyFill="1" applyBorder="1"/>
    <xf numFmtId="182" fontId="9" fillId="2" borderId="0" xfId="6" applyNumberFormat="1" applyFont="1" applyFill="1" applyBorder="1"/>
    <xf numFmtId="0" fontId="1" fillId="2" borderId="6" xfId="4" applyFill="1" applyBorder="1"/>
    <xf numFmtId="0" fontId="3" fillId="2" borderId="7" xfId="4" applyFont="1" applyFill="1" applyBorder="1"/>
    <xf numFmtId="0" fontId="3" fillId="2" borderId="8" xfId="4" applyFont="1" applyFill="1" applyBorder="1"/>
    <xf numFmtId="0" fontId="3" fillId="3" borderId="1" xfId="4" applyFont="1" applyFill="1" applyBorder="1"/>
    <xf numFmtId="0" fontId="3" fillId="3" borderId="2" xfId="4" applyFont="1" applyFill="1" applyBorder="1"/>
    <xf numFmtId="0" fontId="3" fillId="3" borderId="3" xfId="4" applyFont="1" applyFill="1" applyBorder="1"/>
    <xf numFmtId="0" fontId="5" fillId="3" borderId="4" xfId="4" applyFont="1" applyFill="1" applyBorder="1"/>
    <xf numFmtId="0" fontId="3" fillId="3" borderId="0" xfId="4" applyFont="1" applyFill="1" applyBorder="1" applyAlignment="1"/>
    <xf numFmtId="179" fontId="7" fillId="3" borderId="11" xfId="5" applyNumberFormat="1" applyFont="1" applyFill="1" applyBorder="1"/>
    <xf numFmtId="0" fontId="3" fillId="3" borderId="5" xfId="4" applyFont="1" applyFill="1" applyBorder="1"/>
    <xf numFmtId="0" fontId="3" fillId="3" borderId="4" xfId="4" applyFont="1" applyFill="1" applyBorder="1"/>
    <xf numFmtId="0" fontId="3" fillId="3" borderId="0" xfId="4" applyFont="1" applyFill="1" applyBorder="1"/>
    <xf numFmtId="178" fontId="10" fillId="3" borderId="5" xfId="4" applyNumberFormat="1" applyFont="1" applyFill="1" applyBorder="1"/>
    <xf numFmtId="179" fontId="7" fillId="3" borderId="0" xfId="5" applyNumberFormat="1" applyFont="1" applyFill="1" applyBorder="1"/>
    <xf numFmtId="0" fontId="3" fillId="3" borderId="6" xfId="4" applyFont="1" applyFill="1" applyBorder="1"/>
    <xf numFmtId="0" fontId="3" fillId="3" borderId="7" xfId="4" applyFont="1" applyFill="1" applyBorder="1"/>
    <xf numFmtId="0" fontId="3" fillId="3" borderId="8" xfId="4" applyFont="1" applyFill="1" applyBorder="1"/>
    <xf numFmtId="184" fontId="27" fillId="3" borderId="0" xfId="3" applyNumberFormat="1" applyFont="1" applyFill="1" applyBorder="1"/>
    <xf numFmtId="0" fontId="3" fillId="5" borderId="7" xfId="0" applyFont="1" applyFill="1" applyBorder="1"/>
    <xf numFmtId="0" fontId="3" fillId="5" borderId="0" xfId="0" applyFont="1" applyFill="1" applyBorder="1"/>
    <xf numFmtId="179" fontId="8" fillId="5" borderId="0" xfId="2" applyFont="1" applyFill="1" applyBorder="1"/>
    <xf numFmtId="182" fontId="27" fillId="2" borderId="0" xfId="1" applyNumberFormat="1" applyFont="1" applyFill="1" applyBorder="1"/>
    <xf numFmtId="10" fontId="28" fillId="3" borderId="11" xfId="2" applyNumberFormat="1" applyFont="1" applyFill="1" applyBorder="1"/>
    <xf numFmtId="0" fontId="3" fillId="6" borderId="0" xfId="0" applyFont="1" applyFill="1" applyBorder="1" applyAlignment="1"/>
    <xf numFmtId="10" fontId="28" fillId="6" borderId="11" xfId="3" applyNumberFormat="1" applyFont="1" applyFill="1" applyBorder="1"/>
    <xf numFmtId="0" fontId="5" fillId="2" borderId="4" xfId="4" applyFont="1" applyFill="1" applyBorder="1"/>
    <xf numFmtId="177" fontId="9" fillId="2" borderId="0" xfId="1" applyNumberFormat="1" applyFont="1" applyFill="1" applyBorder="1" applyAlignment="1">
      <alignment horizontal="right"/>
    </xf>
    <xf numFmtId="179" fontId="27" fillId="2" borderId="0" xfId="1" applyNumberFormat="1" applyFont="1" applyFill="1" applyBorder="1" applyAlignment="1">
      <alignment horizontal="right"/>
    </xf>
    <xf numFmtId="176" fontId="7" fillId="3" borderId="0" xfId="4" applyNumberFormat="1" applyFont="1" applyFill="1" applyBorder="1"/>
    <xf numFmtId="10" fontId="27" fillId="3" borderId="0" xfId="4" applyNumberFormat="1" applyFont="1" applyFill="1" applyBorder="1"/>
    <xf numFmtId="10" fontId="8" fillId="3" borderId="0" xfId="4" applyNumberFormat="1" applyFont="1" applyFill="1" applyBorder="1"/>
    <xf numFmtId="10" fontId="7" fillId="3" borderId="11" xfId="4" applyNumberFormat="1" applyFont="1" applyFill="1" applyBorder="1"/>
    <xf numFmtId="0" fontId="3" fillId="0" borderId="0" xfId="4" applyFont="1" applyBorder="1"/>
    <xf numFmtId="0" fontId="3" fillId="2" borderId="1" xfId="4" applyFont="1" applyFill="1" applyBorder="1"/>
    <xf numFmtId="0" fontId="3" fillId="2" borderId="4" xfId="4" applyFont="1" applyFill="1" applyBorder="1"/>
    <xf numFmtId="0" fontId="3" fillId="2" borderId="12" xfId="4" applyFont="1" applyFill="1" applyBorder="1" applyAlignment="1">
      <alignment horizontal="center"/>
    </xf>
    <xf numFmtId="0" fontId="3" fillId="3" borderId="12" xfId="4" applyFont="1" applyFill="1" applyBorder="1" applyAlignment="1">
      <alignment horizontal="center"/>
    </xf>
    <xf numFmtId="0" fontId="1" fillId="2" borderId="7" xfId="4" applyFill="1" applyBorder="1"/>
    <xf numFmtId="0" fontId="1" fillId="3" borderId="7" xfId="4" applyFill="1" applyBorder="1"/>
    <xf numFmtId="0" fontId="1" fillId="2" borderId="8" xfId="4" applyFill="1" applyBorder="1"/>
    <xf numFmtId="0" fontId="1" fillId="0" borderId="0" xfId="4" applyFill="1" applyBorder="1"/>
    <xf numFmtId="0" fontId="3" fillId="0" borderId="0" xfId="4" applyFont="1" applyFill="1" applyBorder="1"/>
    <xf numFmtId="0" fontId="1" fillId="3" borderId="8" xfId="4" applyFill="1" applyBorder="1"/>
    <xf numFmtId="39" fontId="4" fillId="3" borderId="7" xfId="4" applyNumberFormat="1" applyFont="1" applyFill="1" applyBorder="1" applyAlignment="1">
      <alignment horizontal="center"/>
    </xf>
    <xf numFmtId="0" fontId="1" fillId="3" borderId="6" xfId="4" applyFill="1" applyBorder="1"/>
    <xf numFmtId="0" fontId="1" fillId="3" borderId="5" xfId="4" applyFill="1" applyBorder="1"/>
    <xf numFmtId="0" fontId="1" fillId="3" borderId="4" xfId="4" applyFill="1" applyBorder="1"/>
    <xf numFmtId="0" fontId="1" fillId="3" borderId="3" xfId="4" applyFill="1" applyBorder="1"/>
    <xf numFmtId="39" fontId="3" fillId="3" borderId="2" xfId="4" applyNumberFormat="1" applyFont="1" applyFill="1" applyBorder="1"/>
    <xf numFmtId="0" fontId="1" fillId="3" borderId="1" xfId="4" applyFill="1" applyBorder="1"/>
    <xf numFmtId="0" fontId="4" fillId="0" borderId="0" xfId="4" applyFont="1" applyFill="1" applyBorder="1"/>
    <xf numFmtId="0" fontId="12" fillId="0" borderId="0" xfId="4" applyFont="1" applyFill="1" applyBorder="1"/>
    <xf numFmtId="0" fontId="1" fillId="2" borderId="5" xfId="4" applyFill="1" applyBorder="1"/>
    <xf numFmtId="177" fontId="9" fillId="2" borderId="0" xfId="4" applyNumberFormat="1" applyFont="1" applyFill="1" applyBorder="1"/>
    <xf numFmtId="0" fontId="3" fillId="3" borderId="8" xfId="4" applyFont="1" applyFill="1" applyBorder="1" applyAlignment="1">
      <alignment horizontal="left"/>
    </xf>
    <xf numFmtId="39" fontId="4" fillId="3" borderId="7" xfId="2" applyNumberFormat="1" applyFont="1" applyFill="1" applyBorder="1" applyAlignment="1">
      <alignment horizontal="center"/>
    </xf>
    <xf numFmtId="39" fontId="4" fillId="3" borderId="5" xfId="4" applyNumberFormat="1" applyFont="1" applyFill="1" applyBorder="1"/>
    <xf numFmtId="0" fontId="3" fillId="3" borderId="5" xfId="4" applyFont="1" applyFill="1" applyBorder="1" applyAlignment="1">
      <alignment horizontal="left"/>
    </xf>
    <xf numFmtId="39" fontId="3" fillId="3" borderId="0" xfId="2" applyNumberFormat="1" applyFont="1" applyFill="1" applyBorder="1" applyAlignment="1">
      <alignment horizontal="center"/>
    </xf>
    <xf numFmtId="0" fontId="3" fillId="3" borderId="0" xfId="4" applyNumberFormat="1" applyFont="1" applyFill="1" applyBorder="1" applyAlignment="1"/>
    <xf numFmtId="189" fontId="3" fillId="3" borderId="0" xfId="3" applyNumberFormat="1" applyFont="1" applyFill="1" applyBorder="1"/>
    <xf numFmtId="0" fontId="3" fillId="3" borderId="0" xfId="4" applyFont="1" applyFill="1" applyAlignment="1">
      <alignment horizontal="left" indent="2"/>
    </xf>
    <xf numFmtId="39" fontId="4" fillId="3" borderId="3" xfId="4" applyNumberFormat="1" applyFont="1" applyFill="1" applyBorder="1"/>
    <xf numFmtId="179" fontId="7" fillId="3" borderId="11" xfId="4" applyNumberFormat="1" applyFont="1" applyFill="1" applyBorder="1"/>
    <xf numFmtId="39" fontId="3" fillId="3" borderId="0" xfId="4" applyNumberFormat="1" applyFont="1" applyFill="1" applyBorder="1"/>
    <xf numFmtId="179" fontId="0" fillId="0" borderId="0" xfId="0" applyNumberFormat="1"/>
    <xf numFmtId="182" fontId="9" fillId="0" borderId="0" xfId="1" applyNumberFormat="1" applyFont="1" applyFill="1" applyBorder="1"/>
    <xf numFmtId="0" fontId="4" fillId="0" borderId="0" xfId="0" applyNumberFormat="1" applyFont="1" applyFill="1" applyBorder="1"/>
    <xf numFmtId="182" fontId="9" fillId="2" borderId="7" xfId="1" applyNumberFormat="1" applyFont="1" applyFill="1" applyBorder="1"/>
    <xf numFmtId="0" fontId="0" fillId="6" borderId="1" xfId="0" applyFill="1" applyBorder="1"/>
    <xf numFmtId="0" fontId="3" fillId="6" borderId="2" xfId="0" applyFont="1" applyFill="1" applyBorder="1"/>
    <xf numFmtId="182" fontId="9" fillId="6" borderId="2" xfId="1" applyNumberFormat="1" applyFont="1" applyFill="1" applyBorder="1"/>
    <xf numFmtId="0" fontId="4" fillId="6" borderId="3" xfId="0" applyNumberFormat="1" applyFont="1" applyFill="1" applyBorder="1"/>
    <xf numFmtId="0" fontId="3" fillId="6" borderId="0" xfId="0" applyFont="1" applyFill="1"/>
    <xf numFmtId="37" fontId="9" fillId="2" borderId="0" xfId="1" applyNumberFormat="1" applyFont="1" applyFill="1" applyBorder="1"/>
    <xf numFmtId="176" fontId="3" fillId="0" borderId="0" xfId="0" applyNumberFormat="1" applyFont="1"/>
    <xf numFmtId="10" fontId="27" fillId="2" borderId="0" xfId="3" applyNumberFormat="1" applyFont="1" applyFill="1" applyBorder="1"/>
    <xf numFmtId="183" fontId="9" fillId="2" borderId="0" xfId="7" applyNumberFormat="1" applyFont="1" applyFill="1" applyBorder="1"/>
    <xf numFmtId="180" fontId="27" fillId="3" borderId="0" xfId="1" applyFont="1" applyFill="1" applyBorder="1"/>
    <xf numFmtId="179" fontId="3" fillId="3" borderId="0" xfId="2" applyNumberFormat="1" applyFont="1" applyFill="1" applyBorder="1"/>
    <xf numFmtId="179" fontId="3" fillId="6" borderId="0" xfId="0" applyNumberFormat="1" applyFont="1" applyFill="1"/>
    <xf numFmtId="190" fontId="3" fillId="0" borderId="0" xfId="0" applyNumberFormat="1" applyFont="1"/>
    <xf numFmtId="0" fontId="7" fillId="3" borderId="0" xfId="0" applyFont="1" applyFill="1" applyBorder="1" applyAlignment="1">
      <alignment horizontal="left"/>
    </xf>
    <xf numFmtId="0" fontId="1" fillId="0" borderId="0" xfId="0" applyFont="1"/>
  </cellXfs>
  <cellStyles count="8">
    <cellStyle name="Comma 2" xfId="6" xr:uid="{00000000-0005-0000-0000-000001000000}"/>
    <cellStyle name="Currency 2" xfId="5" xr:uid="{00000000-0005-0000-0000-000003000000}"/>
    <cellStyle name="Normal 2" xfId="4" xr:uid="{00000000-0005-0000-0000-000005000000}"/>
    <cellStyle name="Percent 2" xfId="7" xr:uid="{00000000-0005-0000-0000-000007000000}"/>
    <cellStyle name="一般" xfId="0" builtinId="0"/>
    <cellStyle name="千分位" xfId="1" builtinId="3"/>
    <cellStyle name="百分比" xfId="3" builtinId="5"/>
    <cellStyle name="貨幣" xfId="2" builtinId="4"/>
  </cellStyles>
  <dxfs count="0"/>
  <tableStyles count="0" defaultTableStyle="TableStyleMedium9" defaultPivotStyle="PivotStyleLight16"/>
  <colors>
    <mruColors>
      <color rgb="FFFFFF99"/>
      <color rgb="FF339966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calcChain" Target="calcChain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6"/>
  <sheetViews>
    <sheetView topLeftCell="A7" workbookViewId="0"/>
  </sheetViews>
  <sheetFormatPr defaultColWidth="9.109375" defaultRowHeight="13.2" x14ac:dyDescent="0.25"/>
  <cols>
    <col min="1" max="3" width="9.109375" style="126"/>
    <col min="4" max="4" width="42.5546875" style="126" customWidth="1"/>
    <col min="5" max="16384" width="9.109375" style="126"/>
  </cols>
  <sheetData>
    <row r="1" spans="1:29" x14ac:dyDescent="0.25">
      <c r="A1" s="124"/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</row>
    <row r="2" spans="1:29" x14ac:dyDescent="0.25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5"/>
      <c r="AC2" s="125"/>
    </row>
    <row r="3" spans="1:29" x14ac:dyDescent="0.25">
      <c r="A3" s="124"/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125"/>
    </row>
    <row r="4" spans="1:29" x14ac:dyDescent="0.25">
      <c r="A4" s="124"/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  <c r="AA4" s="125"/>
      <c r="AB4" s="125"/>
      <c r="AC4" s="125"/>
    </row>
    <row r="5" spans="1:29" x14ac:dyDescent="0.25">
      <c r="A5" s="124"/>
      <c r="B5" s="124"/>
      <c r="C5" s="124"/>
      <c r="D5" s="124"/>
      <c r="E5" s="124"/>
      <c r="F5" s="124"/>
      <c r="G5" s="124"/>
      <c r="H5" s="124"/>
      <c r="I5" s="124"/>
      <c r="J5" s="124"/>
      <c r="K5" s="124"/>
      <c r="L5" s="124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  <c r="AA5" s="125"/>
      <c r="AB5" s="125"/>
      <c r="AC5" s="125"/>
    </row>
    <row r="6" spans="1:29" x14ac:dyDescent="0.25">
      <c r="A6" s="124"/>
      <c r="B6" s="124"/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5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  <c r="AA6" s="125"/>
      <c r="AB6" s="125"/>
      <c r="AC6" s="125"/>
    </row>
    <row r="7" spans="1:29" x14ac:dyDescent="0.25">
      <c r="A7" s="124"/>
      <c r="B7" s="124"/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5"/>
      <c r="N7" s="125"/>
      <c r="O7" s="125"/>
      <c r="P7" s="125"/>
      <c r="Q7" s="125"/>
      <c r="R7" s="125"/>
      <c r="S7" s="125"/>
      <c r="T7" s="125"/>
      <c r="U7" s="125"/>
      <c r="V7" s="125"/>
      <c r="W7" s="125"/>
      <c r="X7" s="125"/>
      <c r="Y7" s="125"/>
      <c r="Z7" s="125"/>
      <c r="AA7" s="125"/>
      <c r="AB7" s="125"/>
      <c r="AC7" s="125"/>
    </row>
    <row r="8" spans="1:29" x14ac:dyDescent="0.25">
      <c r="A8" s="124"/>
      <c r="B8" s="124"/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5"/>
      <c r="N8" s="125"/>
      <c r="O8" s="125"/>
      <c r="P8" s="125"/>
      <c r="Q8" s="125"/>
      <c r="R8" s="125"/>
      <c r="S8" s="125"/>
      <c r="T8" s="125"/>
      <c r="U8" s="125"/>
      <c r="V8" s="125"/>
      <c r="W8" s="125"/>
      <c r="X8" s="125"/>
      <c r="Y8" s="125"/>
      <c r="Z8" s="125"/>
      <c r="AA8" s="125"/>
      <c r="AB8" s="125"/>
      <c r="AC8" s="125"/>
    </row>
    <row r="9" spans="1:29" x14ac:dyDescent="0.25">
      <c r="A9" s="124"/>
      <c r="B9" s="124"/>
      <c r="C9" s="124"/>
      <c r="D9" s="124"/>
      <c r="E9" s="124"/>
      <c r="F9" s="124"/>
      <c r="G9" s="124"/>
      <c r="H9" s="124"/>
      <c r="I9" s="124"/>
      <c r="J9" s="124"/>
      <c r="K9" s="124"/>
      <c r="L9" s="124"/>
      <c r="M9" s="125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25"/>
      <c r="AA9" s="125"/>
      <c r="AB9" s="125"/>
      <c r="AC9" s="125"/>
    </row>
    <row r="10" spans="1:29" x14ac:dyDescent="0.25">
      <c r="A10" s="124"/>
      <c r="B10" s="124"/>
      <c r="C10" s="124"/>
      <c r="D10" s="124"/>
      <c r="E10" s="124"/>
      <c r="F10" s="124"/>
      <c r="G10" s="124"/>
      <c r="H10" s="124"/>
      <c r="I10" s="124"/>
      <c r="J10" s="124"/>
      <c r="K10" s="124"/>
      <c r="L10" s="124"/>
      <c r="M10" s="125"/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/>
      <c r="AA10" s="125"/>
      <c r="AB10" s="125"/>
      <c r="AC10" s="125"/>
    </row>
    <row r="11" spans="1:29" x14ac:dyDescent="0.25">
      <c r="A11" s="124"/>
      <c r="B11" s="124"/>
      <c r="C11" s="124"/>
      <c r="D11" s="124"/>
      <c r="E11" s="124"/>
      <c r="F11" s="124"/>
      <c r="G11" s="124"/>
      <c r="H11" s="124"/>
      <c r="I11" s="124"/>
      <c r="J11" s="124"/>
      <c r="K11" s="124"/>
      <c r="L11" s="124"/>
      <c r="M11" s="125"/>
      <c r="N11" s="125"/>
      <c r="O11" s="125"/>
      <c r="P11" s="125"/>
      <c r="Q11" s="125"/>
      <c r="R11" s="125"/>
      <c r="S11" s="125"/>
      <c r="T11" s="125"/>
      <c r="U11" s="125"/>
      <c r="V11" s="125"/>
      <c r="W11" s="125"/>
      <c r="X11" s="125"/>
      <c r="Y11" s="125"/>
      <c r="Z11" s="125"/>
      <c r="AA11" s="125"/>
      <c r="AB11" s="125"/>
      <c r="AC11" s="125"/>
    </row>
    <row r="12" spans="1:29" ht="60" x14ac:dyDescent="0.95">
      <c r="A12" s="124"/>
      <c r="B12" s="124"/>
      <c r="C12" s="124"/>
      <c r="D12" s="127" t="s">
        <v>253</v>
      </c>
      <c r="E12" s="124"/>
      <c r="F12" s="128"/>
      <c r="G12" s="124"/>
      <c r="H12" s="124"/>
      <c r="I12" s="124"/>
      <c r="J12" s="124"/>
      <c r="K12" s="124"/>
      <c r="L12" s="124"/>
      <c r="M12" s="125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  <c r="AA12" s="125"/>
      <c r="AB12" s="125"/>
      <c r="AC12" s="125"/>
    </row>
    <row r="13" spans="1:29" x14ac:dyDescent="0.25">
      <c r="A13" s="124"/>
      <c r="B13" s="124"/>
      <c r="C13" s="124"/>
      <c r="D13" s="124"/>
      <c r="E13" s="124"/>
      <c r="F13" s="124"/>
      <c r="G13" s="124"/>
      <c r="H13" s="124"/>
      <c r="I13" s="124"/>
      <c r="J13" s="124"/>
      <c r="K13" s="124"/>
      <c r="L13" s="124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  <c r="AA13" s="125"/>
      <c r="AB13" s="125"/>
      <c r="AC13" s="125"/>
    </row>
    <row r="14" spans="1:29" ht="22.8" x14ac:dyDescent="0.4">
      <c r="A14" s="124"/>
      <c r="B14" s="124"/>
      <c r="C14" s="124"/>
      <c r="D14" s="129" t="s">
        <v>447</v>
      </c>
      <c r="E14" s="124"/>
      <c r="F14" s="124"/>
      <c r="G14" s="124"/>
      <c r="H14" s="124"/>
      <c r="I14" s="124"/>
      <c r="J14" s="124"/>
      <c r="K14" s="124"/>
      <c r="L14" s="124"/>
      <c r="M14" s="125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  <c r="AA14" s="125"/>
      <c r="AB14" s="125"/>
      <c r="AC14" s="125"/>
    </row>
    <row r="15" spans="1:29" x14ac:dyDescent="0.25">
      <c r="A15" s="124"/>
      <c r="B15" s="124"/>
      <c r="C15" s="124"/>
      <c r="D15" s="124"/>
      <c r="E15" s="124"/>
      <c r="F15" s="124"/>
      <c r="G15" s="124"/>
      <c r="H15" s="124"/>
      <c r="I15" s="124"/>
      <c r="J15" s="124"/>
      <c r="K15" s="124"/>
      <c r="L15" s="124"/>
      <c r="M15" s="125"/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5"/>
      <c r="Y15" s="125"/>
      <c r="Z15" s="125"/>
      <c r="AA15" s="125"/>
      <c r="AB15" s="125"/>
      <c r="AC15" s="125"/>
    </row>
    <row r="16" spans="1:29" x14ac:dyDescent="0.25">
      <c r="A16" s="124"/>
      <c r="B16" s="124"/>
      <c r="C16" s="124"/>
      <c r="D16" s="124"/>
      <c r="E16" s="124"/>
      <c r="F16" s="124"/>
      <c r="G16" s="124"/>
      <c r="H16" s="124"/>
      <c r="I16" s="124"/>
      <c r="J16" s="124"/>
      <c r="K16" s="124"/>
      <c r="L16" s="124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  <c r="AA16" s="125"/>
      <c r="AB16" s="125"/>
      <c r="AC16" s="125"/>
    </row>
    <row r="17" spans="1:29" ht="15" x14ac:dyDescent="0.25">
      <c r="A17" s="124"/>
      <c r="B17" s="124"/>
      <c r="C17" s="124"/>
      <c r="D17" s="130"/>
      <c r="E17" s="124"/>
      <c r="F17" s="124"/>
      <c r="G17" s="124"/>
      <c r="H17" s="124"/>
      <c r="I17" s="124"/>
      <c r="J17" s="124"/>
      <c r="K17" s="124"/>
      <c r="L17" s="124"/>
      <c r="M17" s="125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  <c r="AA17" s="125"/>
      <c r="AB17" s="125"/>
      <c r="AC17" s="125"/>
    </row>
    <row r="18" spans="1:29" ht="15.6" x14ac:dyDescent="0.3">
      <c r="A18" s="124"/>
      <c r="B18" s="124"/>
      <c r="C18" s="124"/>
      <c r="D18" s="131" t="s">
        <v>139</v>
      </c>
      <c r="E18" s="124"/>
      <c r="F18" s="124"/>
      <c r="G18" s="124"/>
      <c r="H18" s="124"/>
      <c r="I18" s="124"/>
      <c r="J18" s="124"/>
      <c r="K18" s="124"/>
      <c r="L18" s="124"/>
      <c r="M18" s="125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  <c r="AA18" s="125"/>
      <c r="AB18" s="125"/>
      <c r="AC18" s="125"/>
    </row>
    <row r="19" spans="1:29" ht="15.6" x14ac:dyDescent="0.3">
      <c r="A19" s="124"/>
      <c r="B19" s="124"/>
      <c r="C19" s="124"/>
      <c r="D19" s="132" t="s">
        <v>140</v>
      </c>
      <c r="E19" s="124"/>
      <c r="F19" s="124"/>
      <c r="G19" s="124"/>
      <c r="H19" s="124"/>
      <c r="I19" s="124"/>
      <c r="J19" s="124"/>
      <c r="K19" s="124"/>
      <c r="L19" s="124"/>
      <c r="M19" s="125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  <c r="AA19" s="125"/>
      <c r="AB19" s="125"/>
      <c r="AC19" s="125"/>
    </row>
    <row r="20" spans="1:29" ht="15.6" x14ac:dyDescent="0.3">
      <c r="A20" s="124"/>
      <c r="B20" s="124"/>
      <c r="C20" s="124"/>
      <c r="D20" s="133" t="s">
        <v>141</v>
      </c>
      <c r="E20" s="124"/>
      <c r="F20" s="124"/>
      <c r="G20" s="124"/>
      <c r="H20" s="124"/>
      <c r="I20" s="124"/>
      <c r="J20" s="124"/>
      <c r="K20" s="124"/>
      <c r="L20" s="124"/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  <c r="AA20" s="125"/>
      <c r="AB20" s="125"/>
      <c r="AC20" s="125"/>
    </row>
    <row r="21" spans="1:29" ht="15.6" x14ac:dyDescent="0.3">
      <c r="A21" s="124"/>
      <c r="B21" s="124"/>
      <c r="C21" s="124"/>
      <c r="D21" s="134" t="s">
        <v>142</v>
      </c>
      <c r="E21" s="124"/>
      <c r="F21" s="124"/>
      <c r="G21" s="124"/>
      <c r="H21" s="124"/>
      <c r="I21" s="124"/>
      <c r="J21" s="124"/>
      <c r="K21" s="124"/>
      <c r="L21" s="124"/>
      <c r="M21" s="125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  <c r="AA21" s="125"/>
      <c r="AB21" s="125"/>
      <c r="AC21" s="125"/>
    </row>
    <row r="22" spans="1:29" ht="15.6" x14ac:dyDescent="0.3">
      <c r="A22" s="124"/>
      <c r="B22" s="124"/>
      <c r="C22" s="124"/>
      <c r="D22" s="135" t="s">
        <v>143</v>
      </c>
      <c r="E22" s="124"/>
      <c r="F22" s="124"/>
      <c r="G22" s="124"/>
      <c r="H22" s="124"/>
      <c r="I22" s="124"/>
      <c r="J22" s="124"/>
      <c r="K22" s="124"/>
      <c r="L22" s="124"/>
      <c r="M22" s="125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25"/>
    </row>
    <row r="23" spans="1:29" ht="15" x14ac:dyDescent="0.25">
      <c r="A23" s="124"/>
      <c r="B23" s="124"/>
      <c r="C23" s="124"/>
      <c r="D23" s="130"/>
      <c r="E23" s="124"/>
      <c r="F23" s="124"/>
      <c r="G23" s="124"/>
      <c r="H23" s="124"/>
      <c r="I23" s="124"/>
      <c r="J23" s="124"/>
      <c r="K23" s="124"/>
      <c r="L23" s="124"/>
      <c r="M23" s="125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  <c r="AA23" s="125"/>
      <c r="AB23" s="125"/>
      <c r="AC23" s="125"/>
    </row>
    <row r="24" spans="1:29" x14ac:dyDescent="0.25">
      <c r="A24" s="124"/>
      <c r="B24" s="124"/>
      <c r="C24" s="124"/>
      <c r="D24" s="205" t="s">
        <v>364</v>
      </c>
      <c r="E24" s="124"/>
      <c r="F24" s="124"/>
      <c r="G24" s="124"/>
      <c r="H24" s="124"/>
      <c r="I24" s="124"/>
      <c r="J24" s="124"/>
      <c r="K24" s="124"/>
      <c r="L24" s="124"/>
      <c r="M24" s="125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  <c r="AA24" s="125"/>
      <c r="AB24" s="125"/>
      <c r="AC24" s="125"/>
    </row>
    <row r="25" spans="1:29" x14ac:dyDescent="0.25">
      <c r="A25" s="124"/>
      <c r="B25" s="124"/>
      <c r="C25" s="124"/>
      <c r="D25" s="205" t="s">
        <v>365</v>
      </c>
      <c r="E25" s="124"/>
      <c r="F25" s="124"/>
      <c r="G25" s="124"/>
      <c r="H25" s="124"/>
      <c r="I25" s="124"/>
      <c r="J25" s="124"/>
      <c r="K25" s="124"/>
      <c r="L25" s="124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</row>
    <row r="26" spans="1:29" x14ac:dyDescent="0.25">
      <c r="A26" s="124"/>
      <c r="B26" s="124"/>
      <c r="C26" s="124"/>
      <c r="D26" s="205" t="s">
        <v>366</v>
      </c>
      <c r="E26" s="124"/>
      <c r="F26" s="124"/>
      <c r="G26" s="124"/>
      <c r="H26" s="124"/>
      <c r="I26" s="124"/>
      <c r="J26" s="124"/>
      <c r="K26" s="124"/>
      <c r="L26" s="124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</row>
    <row r="27" spans="1:29" x14ac:dyDescent="0.25">
      <c r="A27" s="124"/>
      <c r="B27" s="124"/>
      <c r="C27" s="124"/>
      <c r="D27" s="205" t="s">
        <v>367</v>
      </c>
      <c r="E27" s="124"/>
      <c r="F27" s="124"/>
      <c r="G27" s="124"/>
      <c r="H27" s="124"/>
      <c r="I27" s="124"/>
      <c r="J27" s="124"/>
      <c r="K27" s="124"/>
      <c r="L27" s="124"/>
      <c r="M27" s="125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  <c r="AA27" s="125"/>
      <c r="AB27" s="125"/>
      <c r="AC27" s="125"/>
    </row>
    <row r="28" spans="1:29" x14ac:dyDescent="0.25">
      <c r="A28" s="124"/>
      <c r="B28" s="124"/>
      <c r="C28" s="124"/>
      <c r="D28" s="124"/>
      <c r="E28" s="124"/>
      <c r="F28" s="124"/>
      <c r="G28" s="124"/>
      <c r="H28" s="124"/>
      <c r="I28" s="124"/>
      <c r="J28" s="124"/>
      <c r="K28" s="124"/>
      <c r="L28" s="124"/>
      <c r="M28" s="125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  <c r="AA28" s="125"/>
      <c r="AB28" s="125"/>
      <c r="AC28" s="125"/>
    </row>
    <row r="29" spans="1:29" x14ac:dyDescent="0.25">
      <c r="A29" s="124"/>
      <c r="B29" s="124"/>
      <c r="C29" s="124"/>
      <c r="D29" s="124"/>
      <c r="E29" s="124"/>
      <c r="F29" s="124"/>
      <c r="G29" s="124"/>
      <c r="H29" s="124"/>
      <c r="I29" s="124"/>
      <c r="J29" s="124"/>
      <c r="K29" s="124"/>
      <c r="L29" s="124"/>
      <c r="M29" s="125"/>
      <c r="N29" s="125"/>
      <c r="O29" s="125"/>
      <c r="P29" s="125"/>
      <c r="Q29" s="125"/>
      <c r="R29" s="125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</row>
    <row r="30" spans="1:29" x14ac:dyDescent="0.25">
      <c r="A30" s="124"/>
      <c r="B30" s="124"/>
      <c r="C30" s="124"/>
      <c r="D30" s="124"/>
      <c r="E30" s="124"/>
      <c r="F30" s="124"/>
      <c r="G30" s="124"/>
      <c r="H30" s="124"/>
      <c r="I30" s="124"/>
      <c r="J30" s="124"/>
      <c r="K30" s="124"/>
      <c r="L30" s="124"/>
      <c r="M30" s="125"/>
      <c r="N30" s="125"/>
      <c r="O30" s="125"/>
      <c r="P30" s="125"/>
      <c r="Q30" s="125"/>
      <c r="R30" s="125"/>
      <c r="S30" s="125"/>
      <c r="T30" s="125"/>
      <c r="U30" s="125"/>
      <c r="V30" s="125"/>
      <c r="W30" s="125"/>
      <c r="X30" s="125"/>
      <c r="Y30" s="125"/>
      <c r="Z30" s="125"/>
      <c r="AA30" s="125"/>
      <c r="AB30" s="125"/>
      <c r="AC30" s="125"/>
    </row>
    <row r="31" spans="1:29" x14ac:dyDescent="0.25">
      <c r="A31" s="124"/>
      <c r="B31" s="124"/>
      <c r="C31" s="124"/>
      <c r="D31" s="124"/>
      <c r="E31" s="124"/>
      <c r="F31" s="124"/>
      <c r="G31" s="124"/>
      <c r="H31" s="124"/>
      <c r="I31" s="124"/>
      <c r="J31" s="124"/>
      <c r="K31" s="124"/>
      <c r="L31" s="124"/>
      <c r="M31" s="125"/>
      <c r="N31" s="125"/>
      <c r="O31" s="125"/>
      <c r="P31" s="125"/>
      <c r="Q31" s="125"/>
      <c r="R31" s="125"/>
      <c r="S31" s="125"/>
      <c r="T31" s="125"/>
      <c r="U31" s="125"/>
      <c r="V31" s="125"/>
      <c r="W31" s="125"/>
      <c r="X31" s="125"/>
      <c r="Y31" s="125"/>
      <c r="Z31" s="125"/>
      <c r="AA31" s="125"/>
      <c r="AB31" s="125"/>
      <c r="AC31" s="125"/>
    </row>
    <row r="32" spans="1:29" x14ac:dyDescent="0.25">
      <c r="A32" s="124"/>
      <c r="B32" s="124"/>
      <c r="C32" s="124"/>
      <c r="D32" s="124"/>
      <c r="E32" s="124"/>
      <c r="F32" s="124"/>
      <c r="G32" s="124"/>
      <c r="H32" s="124"/>
      <c r="I32" s="124"/>
      <c r="J32" s="124"/>
      <c r="K32" s="124"/>
      <c r="L32" s="124"/>
      <c r="M32" s="125"/>
      <c r="N32" s="125"/>
      <c r="O32" s="125"/>
      <c r="P32" s="125"/>
      <c r="Q32" s="125"/>
      <c r="R32" s="125"/>
      <c r="S32" s="125"/>
      <c r="T32" s="125"/>
      <c r="U32" s="125"/>
      <c r="V32" s="125"/>
      <c r="W32" s="125"/>
      <c r="X32" s="125"/>
      <c r="Y32" s="125"/>
      <c r="Z32" s="125"/>
      <c r="AA32" s="125"/>
      <c r="AB32" s="125"/>
      <c r="AC32" s="125"/>
    </row>
    <row r="33" spans="1:29" x14ac:dyDescent="0.25">
      <c r="A33" s="124"/>
      <c r="B33" s="124"/>
      <c r="C33" s="124"/>
      <c r="D33" s="124"/>
      <c r="E33" s="124"/>
      <c r="F33" s="124"/>
      <c r="G33" s="124"/>
      <c r="H33" s="124"/>
      <c r="I33" s="124"/>
      <c r="J33" s="124"/>
      <c r="K33" s="124"/>
      <c r="L33" s="124"/>
      <c r="M33" s="125"/>
      <c r="N33" s="125"/>
      <c r="O33" s="125"/>
      <c r="P33" s="125"/>
      <c r="Q33" s="125"/>
      <c r="R33" s="125"/>
      <c r="S33" s="125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</row>
    <row r="34" spans="1:29" x14ac:dyDescent="0.25">
      <c r="A34" s="124"/>
      <c r="B34" s="124"/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5"/>
      <c r="N34" s="125"/>
      <c r="O34" s="125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  <c r="AA34" s="125"/>
      <c r="AB34" s="125"/>
      <c r="AC34" s="125"/>
    </row>
    <row r="35" spans="1:29" x14ac:dyDescent="0.25">
      <c r="A35" s="124"/>
      <c r="B35" s="124"/>
      <c r="C35" s="124"/>
      <c r="D35" s="124"/>
      <c r="E35" s="124"/>
      <c r="F35" s="124"/>
      <c r="G35" s="124"/>
      <c r="H35" s="124"/>
      <c r="I35" s="124"/>
      <c r="J35" s="124"/>
      <c r="K35" s="124"/>
      <c r="L35" s="124"/>
      <c r="M35" s="125"/>
      <c r="N35" s="125"/>
      <c r="O35" s="125"/>
      <c r="P35" s="125"/>
      <c r="Q35" s="125"/>
      <c r="R35" s="125"/>
      <c r="S35" s="125"/>
      <c r="T35" s="125"/>
      <c r="U35" s="125"/>
      <c r="V35" s="125"/>
      <c r="W35" s="125"/>
      <c r="X35" s="125"/>
      <c r="Y35" s="125"/>
      <c r="Z35" s="125"/>
      <c r="AA35" s="125"/>
      <c r="AB35" s="125"/>
      <c r="AC35" s="125"/>
    </row>
    <row r="36" spans="1:29" x14ac:dyDescent="0.25">
      <c r="A36" s="124"/>
      <c r="B36" s="124"/>
      <c r="C36" s="124"/>
      <c r="D36" s="124"/>
      <c r="E36" s="124"/>
      <c r="F36" s="124"/>
      <c r="G36" s="124"/>
      <c r="H36" s="124"/>
      <c r="I36" s="124"/>
      <c r="J36" s="124"/>
      <c r="K36" s="124"/>
      <c r="L36" s="124"/>
      <c r="M36" s="125"/>
      <c r="N36" s="125"/>
      <c r="O36" s="125"/>
      <c r="P36" s="125"/>
      <c r="Q36" s="125"/>
      <c r="R36" s="125"/>
      <c r="S36" s="125"/>
      <c r="T36" s="125"/>
      <c r="U36" s="125"/>
      <c r="V36" s="125"/>
      <c r="W36" s="125"/>
      <c r="X36" s="125"/>
      <c r="Y36" s="125"/>
      <c r="Z36" s="125"/>
      <c r="AA36" s="125"/>
      <c r="AB36" s="125"/>
      <c r="AC36" s="125"/>
    </row>
    <row r="37" spans="1:29" x14ac:dyDescent="0.25">
      <c r="A37" s="124"/>
      <c r="B37" s="124"/>
      <c r="C37" s="124"/>
      <c r="D37" s="124"/>
      <c r="E37" s="124"/>
      <c r="F37" s="124"/>
      <c r="G37" s="124"/>
      <c r="H37" s="124"/>
      <c r="I37" s="124"/>
      <c r="J37" s="124"/>
      <c r="K37" s="124"/>
      <c r="L37" s="124"/>
      <c r="M37" s="125"/>
      <c r="N37" s="125"/>
      <c r="O37" s="125"/>
      <c r="P37" s="125"/>
      <c r="Q37" s="125"/>
      <c r="R37" s="125"/>
      <c r="S37" s="125"/>
      <c r="T37" s="125"/>
      <c r="U37" s="125"/>
      <c r="V37" s="125"/>
      <c r="W37" s="125"/>
      <c r="X37" s="125"/>
      <c r="Y37" s="125"/>
      <c r="Z37" s="125"/>
      <c r="AA37" s="125"/>
      <c r="AB37" s="125"/>
      <c r="AC37" s="125"/>
    </row>
    <row r="38" spans="1:29" x14ac:dyDescent="0.25">
      <c r="A38" s="124"/>
      <c r="B38" s="124"/>
      <c r="C38" s="124"/>
      <c r="D38" s="124"/>
      <c r="E38" s="124"/>
      <c r="F38" s="124"/>
      <c r="G38" s="124"/>
      <c r="H38" s="124"/>
      <c r="I38" s="124"/>
      <c r="J38" s="124"/>
      <c r="K38" s="124"/>
      <c r="L38" s="124"/>
      <c r="M38" s="125"/>
      <c r="N38" s="125"/>
      <c r="O38" s="125"/>
      <c r="P38" s="125"/>
      <c r="Q38" s="125"/>
      <c r="R38" s="125"/>
      <c r="S38" s="125"/>
      <c r="T38" s="125"/>
      <c r="U38" s="125"/>
      <c r="V38" s="125"/>
      <c r="W38" s="125"/>
      <c r="X38" s="125"/>
      <c r="Y38" s="125"/>
      <c r="Z38" s="125"/>
      <c r="AA38" s="125"/>
      <c r="AB38" s="125"/>
      <c r="AC38" s="125"/>
    </row>
    <row r="39" spans="1:29" x14ac:dyDescent="0.25">
      <c r="A39" s="124"/>
      <c r="B39" s="124"/>
      <c r="C39" s="124"/>
      <c r="D39" s="124"/>
      <c r="E39" s="124"/>
      <c r="F39" s="124"/>
      <c r="G39" s="124"/>
      <c r="H39" s="124"/>
      <c r="I39" s="124"/>
      <c r="J39" s="124"/>
      <c r="K39" s="124"/>
      <c r="L39" s="124"/>
      <c r="M39" s="125"/>
      <c r="N39" s="125"/>
      <c r="O39" s="125"/>
      <c r="P39" s="125"/>
      <c r="Q39" s="125"/>
      <c r="R39" s="125"/>
      <c r="S39" s="125"/>
      <c r="T39" s="125"/>
      <c r="U39" s="125"/>
      <c r="V39" s="125"/>
      <c r="W39" s="125"/>
      <c r="X39" s="125"/>
      <c r="Y39" s="125"/>
      <c r="Z39" s="125"/>
      <c r="AA39" s="125"/>
      <c r="AB39" s="125"/>
      <c r="AC39" s="125"/>
    </row>
    <row r="40" spans="1:29" x14ac:dyDescent="0.25">
      <c r="A40" s="124"/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4"/>
      <c r="M40" s="125"/>
      <c r="N40" s="125"/>
      <c r="O40" s="125"/>
      <c r="P40" s="125"/>
      <c r="Q40" s="125"/>
      <c r="R40" s="125"/>
      <c r="S40" s="125"/>
      <c r="T40" s="125"/>
      <c r="U40" s="125"/>
      <c r="V40" s="125"/>
      <c r="W40" s="125"/>
      <c r="X40" s="125"/>
      <c r="Y40" s="125"/>
      <c r="Z40" s="125"/>
      <c r="AA40" s="125"/>
      <c r="AB40" s="125"/>
      <c r="AC40" s="125"/>
    </row>
    <row r="41" spans="1:29" x14ac:dyDescent="0.25">
      <c r="A41" s="136"/>
      <c r="B41" s="136"/>
      <c r="C41" s="136"/>
      <c r="D41" s="136"/>
      <c r="E41" s="136"/>
      <c r="F41" s="136"/>
      <c r="G41" s="136"/>
      <c r="H41" s="136"/>
      <c r="I41" s="136"/>
      <c r="J41" s="136"/>
      <c r="K41" s="136"/>
      <c r="L41" s="136"/>
    </row>
    <row r="42" spans="1:29" x14ac:dyDescent="0.25">
      <c r="A42" s="136"/>
      <c r="B42" s="136"/>
      <c r="C42" s="136"/>
      <c r="D42" s="136"/>
      <c r="E42" s="136"/>
      <c r="F42" s="136"/>
      <c r="G42" s="136"/>
      <c r="H42" s="136"/>
      <c r="I42" s="136"/>
      <c r="J42" s="136"/>
      <c r="K42" s="136"/>
      <c r="L42" s="136"/>
    </row>
    <row r="43" spans="1:29" x14ac:dyDescent="0.25">
      <c r="A43" s="136"/>
      <c r="B43" s="136"/>
      <c r="C43" s="136"/>
      <c r="D43" s="136"/>
      <c r="E43" s="136"/>
      <c r="F43" s="136"/>
      <c r="G43" s="136"/>
      <c r="H43" s="136"/>
      <c r="I43" s="136"/>
      <c r="J43" s="136"/>
      <c r="K43" s="136"/>
      <c r="L43" s="136"/>
    </row>
    <row r="44" spans="1:29" x14ac:dyDescent="0.25">
      <c r="A44" s="136"/>
      <c r="B44" s="136"/>
      <c r="C44" s="136"/>
      <c r="D44" s="136"/>
      <c r="E44" s="136"/>
      <c r="F44" s="136"/>
      <c r="G44" s="136"/>
      <c r="H44" s="136"/>
      <c r="I44" s="136"/>
      <c r="J44" s="136"/>
      <c r="K44" s="136"/>
      <c r="L44" s="136"/>
    </row>
    <row r="45" spans="1:29" x14ac:dyDescent="0.25">
      <c r="A45" s="136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</row>
    <row r="46" spans="1:29" x14ac:dyDescent="0.25">
      <c r="A46" s="136"/>
      <c r="B46" s="136"/>
      <c r="C46" s="136"/>
      <c r="D46" s="136"/>
      <c r="E46" s="136"/>
      <c r="F46" s="136"/>
      <c r="G46" s="136"/>
      <c r="H46" s="136"/>
      <c r="I46" s="136"/>
      <c r="J46" s="136"/>
      <c r="K46" s="136"/>
      <c r="L46" s="136"/>
    </row>
    <row r="47" spans="1:29" x14ac:dyDescent="0.25">
      <c r="A47" s="136"/>
      <c r="B47" s="136"/>
      <c r="C47" s="136"/>
      <c r="D47" s="136"/>
      <c r="E47" s="136"/>
      <c r="F47" s="136"/>
      <c r="G47" s="136"/>
      <c r="H47" s="136"/>
      <c r="I47" s="136"/>
      <c r="J47" s="136"/>
      <c r="K47" s="136"/>
      <c r="L47" s="136"/>
    </row>
    <row r="48" spans="1:29" x14ac:dyDescent="0.25">
      <c r="A48" s="136"/>
      <c r="B48" s="136"/>
      <c r="C48" s="136"/>
      <c r="D48" s="136"/>
      <c r="E48" s="136"/>
      <c r="F48" s="136"/>
      <c r="G48" s="136"/>
      <c r="H48" s="136"/>
      <c r="I48" s="136"/>
      <c r="J48" s="136"/>
      <c r="K48" s="136"/>
      <c r="L48" s="136"/>
    </row>
    <row r="49" spans="1:12" x14ac:dyDescent="0.25">
      <c r="A49" s="136"/>
      <c r="B49" s="136"/>
      <c r="C49" s="136"/>
      <c r="D49" s="136"/>
      <c r="E49" s="136"/>
      <c r="F49" s="136"/>
      <c r="G49" s="136"/>
      <c r="H49" s="136"/>
      <c r="I49" s="136"/>
      <c r="J49" s="136"/>
      <c r="K49" s="136"/>
      <c r="L49" s="136"/>
    </row>
    <row r="50" spans="1:12" x14ac:dyDescent="0.25">
      <c r="A50" s="136"/>
      <c r="B50" s="136"/>
      <c r="C50" s="136"/>
      <c r="D50" s="136"/>
      <c r="E50" s="136"/>
      <c r="F50" s="136"/>
      <c r="G50" s="136"/>
      <c r="H50" s="136"/>
      <c r="I50" s="136"/>
      <c r="J50" s="136"/>
      <c r="K50" s="136"/>
      <c r="L50" s="136"/>
    </row>
    <row r="51" spans="1:12" x14ac:dyDescent="0.25">
      <c r="A51" s="136"/>
      <c r="B51" s="136"/>
      <c r="C51" s="136"/>
      <c r="D51" s="136"/>
      <c r="E51" s="136"/>
      <c r="F51" s="136"/>
      <c r="G51" s="136"/>
      <c r="H51" s="136"/>
      <c r="I51" s="136"/>
      <c r="J51" s="136"/>
      <c r="K51" s="136"/>
      <c r="L51" s="136"/>
    </row>
    <row r="52" spans="1:12" x14ac:dyDescent="0.25">
      <c r="A52" s="136"/>
      <c r="B52" s="136"/>
      <c r="C52" s="136"/>
      <c r="D52" s="136"/>
      <c r="E52" s="136"/>
      <c r="F52" s="136"/>
      <c r="G52" s="136"/>
      <c r="H52" s="136"/>
      <c r="I52" s="136"/>
      <c r="J52" s="136"/>
      <c r="K52" s="136"/>
      <c r="L52" s="136"/>
    </row>
    <row r="53" spans="1:12" x14ac:dyDescent="0.25">
      <c r="A53" s="136"/>
      <c r="B53" s="136"/>
      <c r="C53" s="136"/>
      <c r="D53" s="136"/>
      <c r="E53" s="136"/>
      <c r="F53" s="136"/>
      <c r="G53" s="136"/>
      <c r="H53" s="136"/>
      <c r="I53" s="136"/>
      <c r="J53" s="136"/>
      <c r="K53" s="136"/>
      <c r="L53" s="136"/>
    </row>
    <row r="54" spans="1:12" x14ac:dyDescent="0.25">
      <c r="A54" s="136"/>
      <c r="B54" s="136"/>
      <c r="C54" s="136"/>
      <c r="D54" s="136"/>
      <c r="E54" s="136"/>
      <c r="F54" s="136"/>
      <c r="G54" s="136"/>
      <c r="H54" s="136"/>
      <c r="I54" s="136"/>
      <c r="J54" s="136"/>
      <c r="K54" s="136"/>
      <c r="L54" s="136"/>
    </row>
    <row r="55" spans="1:12" x14ac:dyDescent="0.25">
      <c r="A55" s="136"/>
      <c r="B55" s="136"/>
      <c r="C55" s="136"/>
      <c r="D55" s="136"/>
      <c r="E55" s="136"/>
      <c r="F55" s="136"/>
      <c r="G55" s="136"/>
      <c r="H55" s="136"/>
      <c r="I55" s="136"/>
      <c r="J55" s="136"/>
      <c r="K55" s="136"/>
      <c r="L55" s="136"/>
    </row>
    <row r="56" spans="1:12" x14ac:dyDescent="0.25">
      <c r="A56" s="136"/>
      <c r="B56" s="136"/>
      <c r="C56" s="136"/>
      <c r="D56" s="136"/>
      <c r="E56" s="136"/>
      <c r="F56" s="136"/>
      <c r="G56" s="136"/>
      <c r="H56" s="136"/>
      <c r="I56" s="136"/>
      <c r="J56" s="136"/>
      <c r="K56" s="136"/>
      <c r="L56" s="136"/>
    </row>
    <row r="57" spans="1:12" x14ac:dyDescent="0.25">
      <c r="A57" s="136"/>
      <c r="B57" s="136"/>
      <c r="C57" s="136"/>
      <c r="D57" s="136"/>
      <c r="E57" s="136"/>
      <c r="F57" s="136"/>
      <c r="G57" s="136"/>
      <c r="H57" s="136"/>
      <c r="I57" s="136"/>
      <c r="J57" s="136"/>
      <c r="K57" s="136"/>
      <c r="L57" s="136"/>
    </row>
    <row r="58" spans="1:12" x14ac:dyDescent="0.25">
      <c r="A58" s="136"/>
      <c r="B58" s="136"/>
      <c r="C58" s="136"/>
      <c r="D58" s="136"/>
      <c r="E58" s="136"/>
      <c r="F58" s="136"/>
      <c r="G58" s="136"/>
      <c r="H58" s="136"/>
      <c r="I58" s="136"/>
      <c r="J58" s="136"/>
      <c r="K58" s="136"/>
      <c r="L58" s="136"/>
    </row>
    <row r="59" spans="1:12" x14ac:dyDescent="0.25">
      <c r="A59" s="136"/>
      <c r="B59" s="136"/>
      <c r="C59" s="136"/>
      <c r="D59" s="136"/>
      <c r="E59" s="136"/>
      <c r="F59" s="136"/>
      <c r="G59" s="136"/>
      <c r="H59" s="136"/>
      <c r="I59" s="136"/>
      <c r="J59" s="136"/>
      <c r="K59" s="136"/>
      <c r="L59" s="136"/>
    </row>
    <row r="60" spans="1:12" x14ac:dyDescent="0.25">
      <c r="A60" s="136"/>
      <c r="B60" s="136"/>
      <c r="C60" s="136"/>
      <c r="D60" s="136"/>
      <c r="E60" s="136"/>
      <c r="F60" s="136"/>
      <c r="G60" s="136"/>
      <c r="H60" s="136"/>
      <c r="I60" s="136"/>
      <c r="J60" s="136"/>
      <c r="K60" s="136"/>
      <c r="L60" s="136"/>
    </row>
    <row r="61" spans="1:12" x14ac:dyDescent="0.25">
      <c r="A61" s="136"/>
      <c r="B61" s="136"/>
      <c r="C61" s="136"/>
      <c r="D61" s="136"/>
      <c r="E61" s="136"/>
      <c r="F61" s="136"/>
      <c r="G61" s="136"/>
      <c r="H61" s="136"/>
      <c r="I61" s="136"/>
      <c r="J61" s="136"/>
      <c r="K61" s="136"/>
      <c r="L61" s="136"/>
    </row>
    <row r="62" spans="1:12" x14ac:dyDescent="0.25">
      <c r="A62" s="136"/>
      <c r="B62" s="136"/>
      <c r="C62" s="136"/>
      <c r="D62" s="136"/>
      <c r="E62" s="136"/>
      <c r="F62" s="136"/>
      <c r="G62" s="136"/>
      <c r="H62" s="136"/>
      <c r="I62" s="136"/>
      <c r="J62" s="136"/>
      <c r="K62" s="136"/>
      <c r="L62" s="136"/>
    </row>
    <row r="63" spans="1:12" x14ac:dyDescent="0.25">
      <c r="A63" s="136"/>
      <c r="B63" s="136"/>
      <c r="C63" s="136"/>
      <c r="D63" s="136"/>
      <c r="E63" s="136"/>
      <c r="F63" s="136"/>
      <c r="G63" s="136"/>
      <c r="H63" s="136"/>
      <c r="I63" s="136"/>
      <c r="J63" s="136"/>
      <c r="K63" s="136"/>
      <c r="L63" s="136"/>
    </row>
    <row r="64" spans="1:12" x14ac:dyDescent="0.25">
      <c r="A64" s="136"/>
      <c r="B64" s="136"/>
      <c r="C64" s="136"/>
      <c r="D64" s="136"/>
      <c r="E64" s="136"/>
      <c r="F64" s="136"/>
      <c r="G64" s="136"/>
      <c r="H64" s="136"/>
      <c r="I64" s="136"/>
      <c r="J64" s="136"/>
      <c r="K64" s="136"/>
      <c r="L64" s="136"/>
    </row>
    <row r="65" spans="1:12" x14ac:dyDescent="0.25">
      <c r="A65" s="136"/>
      <c r="B65" s="136"/>
      <c r="C65" s="136"/>
      <c r="D65" s="136"/>
      <c r="E65" s="136"/>
      <c r="F65" s="136"/>
      <c r="G65" s="136"/>
      <c r="H65" s="136"/>
      <c r="I65" s="136"/>
      <c r="J65" s="136"/>
      <c r="K65" s="136"/>
      <c r="L65" s="136"/>
    </row>
    <row r="66" spans="1:12" x14ac:dyDescent="0.25">
      <c r="A66" s="136"/>
      <c r="B66" s="136"/>
      <c r="C66" s="136"/>
      <c r="D66" s="136"/>
      <c r="E66" s="136"/>
      <c r="F66" s="136"/>
      <c r="G66" s="136"/>
      <c r="H66" s="136"/>
      <c r="I66" s="136"/>
      <c r="J66" s="136"/>
      <c r="K66" s="136"/>
      <c r="L66" s="136"/>
    </row>
    <row r="67" spans="1:12" x14ac:dyDescent="0.25">
      <c r="A67" s="136"/>
      <c r="B67" s="136"/>
      <c r="C67" s="136"/>
      <c r="D67" s="136"/>
      <c r="E67" s="136"/>
      <c r="F67" s="136"/>
      <c r="G67" s="136"/>
      <c r="H67" s="136"/>
      <c r="I67" s="136"/>
      <c r="J67" s="136"/>
      <c r="K67" s="136"/>
      <c r="L67" s="136"/>
    </row>
    <row r="68" spans="1:12" x14ac:dyDescent="0.25">
      <c r="A68" s="136"/>
      <c r="B68" s="136"/>
      <c r="C68" s="136"/>
      <c r="D68" s="136"/>
      <c r="E68" s="136"/>
      <c r="F68" s="136"/>
      <c r="G68" s="136"/>
      <c r="H68" s="136"/>
      <c r="I68" s="136"/>
      <c r="J68" s="136"/>
      <c r="K68" s="136"/>
      <c r="L68" s="136"/>
    </row>
    <row r="69" spans="1:12" x14ac:dyDescent="0.25">
      <c r="A69" s="136"/>
      <c r="B69" s="136"/>
      <c r="C69" s="136"/>
      <c r="D69" s="136"/>
      <c r="E69" s="136"/>
      <c r="F69" s="136"/>
      <c r="G69" s="136"/>
      <c r="H69" s="136"/>
      <c r="I69" s="136"/>
      <c r="J69" s="136"/>
      <c r="K69" s="136"/>
      <c r="L69" s="136"/>
    </row>
    <row r="70" spans="1:12" x14ac:dyDescent="0.25">
      <c r="A70" s="136"/>
      <c r="B70" s="136"/>
      <c r="C70" s="136"/>
      <c r="D70" s="136"/>
      <c r="E70" s="136"/>
      <c r="F70" s="136"/>
      <c r="G70" s="136"/>
      <c r="H70" s="136"/>
      <c r="I70" s="136"/>
      <c r="J70" s="136"/>
      <c r="K70" s="136"/>
      <c r="L70" s="136"/>
    </row>
    <row r="71" spans="1:12" x14ac:dyDescent="0.25">
      <c r="A71" s="136"/>
      <c r="B71" s="136"/>
      <c r="C71" s="136"/>
      <c r="D71" s="136"/>
      <c r="E71" s="136"/>
      <c r="F71" s="136"/>
      <c r="G71" s="136"/>
      <c r="H71" s="136"/>
      <c r="I71" s="136"/>
      <c r="J71" s="136"/>
      <c r="K71" s="136"/>
      <c r="L71" s="136"/>
    </row>
    <row r="72" spans="1:12" x14ac:dyDescent="0.25">
      <c r="A72" s="136"/>
      <c r="B72" s="136"/>
      <c r="C72" s="136"/>
      <c r="D72" s="136"/>
      <c r="E72" s="136"/>
      <c r="F72" s="136"/>
      <c r="G72" s="136"/>
      <c r="H72" s="136"/>
      <c r="I72" s="136"/>
      <c r="J72" s="136"/>
      <c r="K72" s="136"/>
      <c r="L72" s="136"/>
    </row>
    <row r="73" spans="1:12" x14ac:dyDescent="0.25">
      <c r="A73" s="136"/>
      <c r="B73" s="136"/>
      <c r="C73" s="136"/>
      <c r="D73" s="136"/>
      <c r="E73" s="136"/>
      <c r="F73" s="136"/>
      <c r="G73" s="136"/>
      <c r="H73" s="136"/>
      <c r="I73" s="136"/>
      <c r="J73" s="136"/>
      <c r="K73" s="136"/>
      <c r="L73" s="136"/>
    </row>
    <row r="74" spans="1:12" x14ac:dyDescent="0.25">
      <c r="A74" s="136"/>
      <c r="B74" s="136"/>
      <c r="C74" s="136"/>
      <c r="D74" s="136"/>
      <c r="E74" s="136"/>
      <c r="F74" s="136"/>
      <c r="G74" s="136"/>
      <c r="H74" s="136"/>
      <c r="I74" s="136"/>
      <c r="J74" s="136"/>
      <c r="K74" s="136"/>
      <c r="L74" s="136"/>
    </row>
    <row r="75" spans="1:12" x14ac:dyDescent="0.25">
      <c r="A75" s="136"/>
      <c r="B75" s="136"/>
      <c r="C75" s="136"/>
      <c r="D75" s="136"/>
      <c r="E75" s="136"/>
      <c r="F75" s="136"/>
      <c r="G75" s="136"/>
      <c r="H75" s="136"/>
      <c r="I75" s="136"/>
      <c r="J75" s="136"/>
      <c r="K75" s="136"/>
      <c r="L75" s="136"/>
    </row>
    <row r="76" spans="1:12" x14ac:dyDescent="0.25">
      <c r="A76" s="136"/>
      <c r="B76" s="136"/>
      <c r="C76" s="136"/>
      <c r="D76" s="136"/>
      <c r="E76" s="136"/>
      <c r="F76" s="136"/>
      <c r="G76" s="136"/>
      <c r="H76" s="136"/>
      <c r="I76" s="136"/>
      <c r="J76" s="136"/>
      <c r="K76" s="136"/>
      <c r="L76" s="136"/>
    </row>
    <row r="77" spans="1:12" x14ac:dyDescent="0.25">
      <c r="A77" s="136"/>
      <c r="B77" s="136"/>
      <c r="C77" s="136"/>
      <c r="D77" s="136"/>
      <c r="E77" s="136"/>
      <c r="F77" s="136"/>
      <c r="G77" s="136"/>
      <c r="H77" s="136"/>
      <c r="I77" s="136"/>
      <c r="J77" s="136"/>
      <c r="K77" s="136"/>
      <c r="L77" s="136"/>
    </row>
    <row r="78" spans="1:12" x14ac:dyDescent="0.25">
      <c r="A78" s="136"/>
      <c r="B78" s="136"/>
      <c r="C78" s="136"/>
      <c r="D78" s="136"/>
      <c r="E78" s="136"/>
      <c r="F78" s="136"/>
      <c r="G78" s="136"/>
      <c r="H78" s="136"/>
      <c r="I78" s="136"/>
      <c r="J78" s="136"/>
      <c r="K78" s="136"/>
      <c r="L78" s="136"/>
    </row>
    <row r="79" spans="1:12" x14ac:dyDescent="0.25">
      <c r="A79" s="136"/>
      <c r="B79" s="136"/>
      <c r="C79" s="136"/>
      <c r="D79" s="136"/>
      <c r="E79" s="136"/>
      <c r="F79" s="136"/>
      <c r="G79" s="136"/>
      <c r="H79" s="136"/>
      <c r="I79" s="136"/>
      <c r="J79" s="136"/>
      <c r="K79" s="136"/>
      <c r="L79" s="136"/>
    </row>
    <row r="80" spans="1:12" x14ac:dyDescent="0.25">
      <c r="A80" s="136"/>
      <c r="B80" s="136"/>
      <c r="C80" s="136"/>
      <c r="D80" s="136"/>
      <c r="E80" s="136"/>
      <c r="F80" s="136"/>
      <c r="G80" s="136"/>
      <c r="H80" s="136"/>
      <c r="I80" s="136"/>
      <c r="J80" s="136"/>
      <c r="K80" s="136"/>
      <c r="L80" s="136"/>
    </row>
    <row r="81" spans="1:12" x14ac:dyDescent="0.25">
      <c r="A81" s="136"/>
      <c r="B81" s="136"/>
      <c r="C81" s="136"/>
      <c r="D81" s="136"/>
      <c r="E81" s="136"/>
      <c r="F81" s="136"/>
      <c r="G81" s="136"/>
      <c r="H81" s="136"/>
      <c r="I81" s="136"/>
      <c r="J81" s="136"/>
      <c r="K81" s="136"/>
      <c r="L81" s="136"/>
    </row>
    <row r="82" spans="1:12" x14ac:dyDescent="0.25">
      <c r="A82" s="136"/>
      <c r="B82" s="136"/>
      <c r="C82" s="136"/>
      <c r="D82" s="136"/>
      <c r="E82" s="136"/>
      <c r="F82" s="136"/>
      <c r="G82" s="136"/>
      <c r="H82" s="136"/>
      <c r="I82" s="136"/>
      <c r="J82" s="136"/>
      <c r="K82" s="136"/>
      <c r="L82" s="136"/>
    </row>
    <row r="83" spans="1:12" x14ac:dyDescent="0.25">
      <c r="A83" s="136"/>
      <c r="B83" s="136"/>
      <c r="C83" s="136"/>
      <c r="D83" s="136"/>
      <c r="E83" s="136"/>
      <c r="F83" s="136"/>
      <c r="G83" s="136"/>
      <c r="H83" s="136"/>
      <c r="I83" s="136"/>
      <c r="J83" s="136"/>
      <c r="K83" s="136"/>
      <c r="L83" s="136"/>
    </row>
    <row r="84" spans="1:12" x14ac:dyDescent="0.25">
      <c r="A84" s="136"/>
      <c r="B84" s="136"/>
      <c r="C84" s="136"/>
      <c r="D84" s="136"/>
      <c r="E84" s="136"/>
      <c r="F84" s="136"/>
      <c r="G84" s="136"/>
      <c r="H84" s="136"/>
      <c r="I84" s="136"/>
      <c r="J84" s="136"/>
      <c r="K84" s="136"/>
      <c r="L84" s="136"/>
    </row>
    <row r="85" spans="1:12" x14ac:dyDescent="0.25">
      <c r="A85" s="136"/>
      <c r="B85" s="136"/>
      <c r="C85" s="136"/>
      <c r="D85" s="136"/>
      <c r="E85" s="136"/>
      <c r="F85" s="136"/>
      <c r="G85" s="136"/>
      <c r="H85" s="136"/>
      <c r="I85" s="136"/>
      <c r="J85" s="136"/>
      <c r="K85" s="136"/>
      <c r="L85" s="136"/>
    </row>
    <row r="86" spans="1:12" x14ac:dyDescent="0.25">
      <c r="A86" s="136"/>
      <c r="B86" s="136"/>
      <c r="C86" s="136"/>
      <c r="D86" s="136"/>
      <c r="E86" s="136"/>
      <c r="F86" s="136"/>
      <c r="G86" s="136"/>
      <c r="H86" s="136"/>
      <c r="I86" s="136"/>
      <c r="J86" s="136"/>
      <c r="K86" s="136"/>
      <c r="L86" s="136"/>
    </row>
    <row r="87" spans="1:12" x14ac:dyDescent="0.25">
      <c r="A87" s="136"/>
      <c r="B87" s="136"/>
      <c r="C87" s="136"/>
      <c r="D87" s="136"/>
      <c r="E87" s="136"/>
      <c r="F87" s="136"/>
      <c r="G87" s="136"/>
      <c r="H87" s="136"/>
      <c r="I87" s="136"/>
      <c r="J87" s="136"/>
      <c r="K87" s="136"/>
      <c r="L87" s="136"/>
    </row>
    <row r="88" spans="1:12" x14ac:dyDescent="0.25">
      <c r="A88" s="136"/>
      <c r="B88" s="136"/>
      <c r="C88" s="136"/>
      <c r="D88" s="136"/>
      <c r="E88" s="136"/>
      <c r="F88" s="136"/>
      <c r="G88" s="136"/>
      <c r="H88" s="136"/>
      <c r="I88" s="136"/>
      <c r="J88" s="136"/>
      <c r="K88" s="136"/>
      <c r="L88" s="136"/>
    </row>
    <row r="89" spans="1:12" x14ac:dyDescent="0.25">
      <c r="A89" s="136"/>
      <c r="B89" s="136"/>
      <c r="C89" s="136"/>
      <c r="D89" s="136"/>
      <c r="E89" s="136"/>
      <c r="F89" s="136"/>
      <c r="G89" s="136"/>
      <c r="H89" s="136"/>
      <c r="I89" s="136"/>
      <c r="J89" s="136"/>
      <c r="K89" s="136"/>
      <c r="L89" s="136"/>
    </row>
    <row r="90" spans="1:12" x14ac:dyDescent="0.25">
      <c r="A90" s="136"/>
      <c r="B90" s="136"/>
      <c r="C90" s="136"/>
      <c r="D90" s="136"/>
      <c r="E90" s="136"/>
      <c r="F90" s="136"/>
      <c r="G90" s="136"/>
      <c r="H90" s="136"/>
      <c r="I90" s="136"/>
      <c r="J90" s="136"/>
      <c r="K90" s="136"/>
      <c r="L90" s="136"/>
    </row>
    <row r="91" spans="1:12" x14ac:dyDescent="0.25">
      <c r="A91" s="136"/>
      <c r="B91" s="136"/>
      <c r="C91" s="136"/>
      <c r="D91" s="136"/>
      <c r="E91" s="136"/>
      <c r="F91" s="136"/>
      <c r="G91" s="136"/>
      <c r="H91" s="136"/>
      <c r="I91" s="136"/>
      <c r="J91" s="136"/>
      <c r="K91" s="136"/>
      <c r="L91" s="136"/>
    </row>
    <row r="92" spans="1:12" x14ac:dyDescent="0.25">
      <c r="A92" s="136"/>
      <c r="B92" s="136"/>
      <c r="C92" s="136"/>
      <c r="D92" s="136"/>
      <c r="E92" s="136"/>
      <c r="F92" s="136"/>
      <c r="G92" s="136"/>
      <c r="H92" s="136"/>
      <c r="I92" s="136"/>
      <c r="J92" s="136"/>
      <c r="K92" s="136"/>
      <c r="L92" s="136"/>
    </row>
    <row r="93" spans="1:12" x14ac:dyDescent="0.25">
      <c r="A93" s="136"/>
      <c r="B93" s="136"/>
      <c r="C93" s="136"/>
      <c r="D93" s="136"/>
      <c r="E93" s="136"/>
      <c r="F93" s="136"/>
      <c r="G93" s="136"/>
      <c r="H93" s="136"/>
      <c r="I93" s="136"/>
      <c r="J93" s="136"/>
      <c r="K93" s="136"/>
      <c r="L93" s="136"/>
    </row>
    <row r="94" spans="1:12" x14ac:dyDescent="0.25">
      <c r="A94" s="136"/>
      <c r="B94" s="136"/>
      <c r="C94" s="136"/>
      <c r="D94" s="136"/>
      <c r="E94" s="136"/>
      <c r="F94" s="136"/>
      <c r="G94" s="136"/>
      <c r="H94" s="136"/>
      <c r="I94" s="136"/>
      <c r="J94" s="136"/>
      <c r="K94" s="136"/>
      <c r="L94" s="136"/>
    </row>
    <row r="95" spans="1:12" x14ac:dyDescent="0.25">
      <c r="A95" s="136"/>
      <c r="B95" s="136"/>
      <c r="C95" s="136"/>
      <c r="D95" s="136"/>
      <c r="E95" s="136"/>
      <c r="F95" s="136"/>
      <c r="G95" s="136"/>
      <c r="H95" s="136"/>
      <c r="I95" s="136"/>
      <c r="J95" s="136"/>
      <c r="K95" s="136"/>
      <c r="L95" s="136"/>
    </row>
    <row r="96" spans="1:12" x14ac:dyDescent="0.25">
      <c r="A96" s="136"/>
      <c r="B96" s="136"/>
      <c r="C96" s="136"/>
      <c r="D96" s="136"/>
      <c r="E96" s="136"/>
      <c r="F96" s="136"/>
      <c r="G96" s="136"/>
      <c r="H96" s="136"/>
      <c r="I96" s="136"/>
      <c r="J96" s="136"/>
      <c r="K96" s="136"/>
      <c r="L96" s="136"/>
    </row>
    <row r="97" spans="1:12" x14ac:dyDescent="0.25">
      <c r="A97" s="136"/>
      <c r="B97" s="136"/>
      <c r="C97" s="136"/>
      <c r="D97" s="136"/>
      <c r="E97" s="136"/>
      <c r="F97" s="136"/>
      <c r="G97" s="136"/>
      <c r="H97" s="136"/>
      <c r="I97" s="136"/>
      <c r="J97" s="136"/>
      <c r="K97" s="136"/>
      <c r="L97" s="136"/>
    </row>
    <row r="98" spans="1:12" x14ac:dyDescent="0.25">
      <c r="A98" s="136"/>
      <c r="B98" s="136"/>
      <c r="C98" s="136"/>
      <c r="D98" s="136"/>
      <c r="E98" s="136"/>
      <c r="F98" s="136"/>
      <c r="G98" s="136"/>
      <c r="H98" s="136"/>
      <c r="I98" s="136"/>
      <c r="J98" s="136"/>
      <c r="K98" s="136"/>
      <c r="L98" s="136"/>
    </row>
    <row r="99" spans="1:12" x14ac:dyDescent="0.25">
      <c r="A99" s="136"/>
      <c r="B99" s="136"/>
      <c r="C99" s="136"/>
      <c r="D99" s="136"/>
      <c r="E99" s="136"/>
      <c r="F99" s="136"/>
      <c r="G99" s="136"/>
      <c r="H99" s="136"/>
      <c r="I99" s="136"/>
      <c r="J99" s="136"/>
      <c r="K99" s="136"/>
      <c r="L99" s="136"/>
    </row>
    <row r="100" spans="1:12" x14ac:dyDescent="0.25">
      <c r="A100" s="136"/>
      <c r="B100" s="136"/>
      <c r="C100" s="136"/>
      <c r="D100" s="136"/>
      <c r="E100" s="136"/>
      <c r="F100" s="136"/>
      <c r="G100" s="136"/>
      <c r="H100" s="136"/>
      <c r="I100" s="136"/>
      <c r="J100" s="136"/>
      <c r="K100" s="136"/>
      <c r="L100" s="136"/>
    </row>
    <row r="101" spans="1:12" x14ac:dyDescent="0.25">
      <c r="A101" s="136"/>
      <c r="B101" s="136"/>
      <c r="C101" s="136"/>
      <c r="D101" s="136"/>
      <c r="E101" s="136"/>
      <c r="F101" s="136"/>
      <c r="G101" s="136"/>
      <c r="H101" s="136"/>
      <c r="I101" s="136"/>
      <c r="J101" s="136"/>
      <c r="K101" s="136"/>
      <c r="L101" s="136"/>
    </row>
    <row r="102" spans="1:12" x14ac:dyDescent="0.25">
      <c r="A102" s="136"/>
      <c r="B102" s="136"/>
      <c r="C102" s="136"/>
      <c r="D102" s="136"/>
      <c r="E102" s="136"/>
      <c r="F102" s="136"/>
      <c r="G102" s="136"/>
      <c r="H102" s="136"/>
      <c r="I102" s="136"/>
      <c r="J102" s="136"/>
      <c r="K102" s="136"/>
      <c r="L102" s="136"/>
    </row>
    <row r="103" spans="1:12" x14ac:dyDescent="0.25">
      <c r="A103" s="136"/>
      <c r="B103" s="136"/>
      <c r="C103" s="136"/>
      <c r="D103" s="136"/>
      <c r="E103" s="136"/>
      <c r="F103" s="136"/>
      <c r="G103" s="136"/>
      <c r="H103" s="136"/>
      <c r="I103" s="136"/>
      <c r="J103" s="136"/>
      <c r="K103" s="136"/>
      <c r="L103" s="136"/>
    </row>
    <row r="104" spans="1:12" x14ac:dyDescent="0.25">
      <c r="A104" s="136"/>
      <c r="B104" s="136"/>
      <c r="C104" s="136"/>
      <c r="D104" s="136"/>
      <c r="E104" s="136"/>
      <c r="F104" s="136"/>
      <c r="G104" s="136"/>
      <c r="H104" s="136"/>
      <c r="I104" s="136"/>
      <c r="J104" s="136"/>
      <c r="K104" s="136"/>
      <c r="L104" s="136"/>
    </row>
    <row r="105" spans="1:12" x14ac:dyDescent="0.25">
      <c r="A105" s="136"/>
      <c r="B105" s="136"/>
      <c r="C105" s="136"/>
      <c r="D105" s="136"/>
      <c r="E105" s="136"/>
      <c r="F105" s="136"/>
      <c r="G105" s="136"/>
      <c r="H105" s="136"/>
      <c r="I105" s="136"/>
      <c r="J105" s="136"/>
      <c r="K105" s="136"/>
      <c r="L105" s="136"/>
    </row>
    <row r="106" spans="1:12" x14ac:dyDescent="0.25">
      <c r="A106" s="136"/>
      <c r="B106" s="136"/>
      <c r="C106" s="136"/>
      <c r="D106" s="136"/>
      <c r="E106" s="136"/>
      <c r="F106" s="136"/>
      <c r="G106" s="136"/>
      <c r="H106" s="136"/>
      <c r="I106" s="136"/>
      <c r="J106" s="136"/>
      <c r="K106" s="136"/>
      <c r="L106" s="136"/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3"/>
  <dimension ref="B1:E17"/>
  <sheetViews>
    <sheetView workbookViewId="0">
      <selection activeCell="C2" sqref="C2"/>
    </sheetView>
  </sheetViews>
  <sheetFormatPr defaultRowHeight="15" x14ac:dyDescent="0.25"/>
  <cols>
    <col min="2" max="2" width="3.109375" customWidth="1"/>
    <col min="3" max="3" width="19.88671875" customWidth="1"/>
    <col min="4" max="4" width="12.88671875" style="2" bestFit="1" customWidth="1"/>
    <col min="5" max="5" width="3.109375" customWidth="1"/>
  </cols>
  <sheetData>
    <row r="1" spans="2:5" ht="17.399999999999999" x14ac:dyDescent="0.3">
      <c r="C1" s="1" t="s">
        <v>253</v>
      </c>
    </row>
    <row r="2" spans="2:5" x14ac:dyDescent="0.25">
      <c r="C2" s="2" t="s">
        <v>21</v>
      </c>
    </row>
    <row r="4" spans="2:5" ht="15.6" x14ac:dyDescent="0.3">
      <c r="C4" s="37" t="s">
        <v>0</v>
      </c>
      <c r="E4" s="2"/>
    </row>
    <row r="5" spans="2:5" ht="16.2" thickBot="1" x14ac:dyDescent="0.35">
      <c r="C5" s="4"/>
      <c r="D5" s="5"/>
      <c r="E5" s="2"/>
    </row>
    <row r="6" spans="2:5" ht="15.6" x14ac:dyDescent="0.3">
      <c r="B6" s="6"/>
      <c r="C6" s="7"/>
      <c r="D6" s="8"/>
      <c r="E6" s="81"/>
    </row>
    <row r="7" spans="2:5" ht="15" customHeight="1" x14ac:dyDescent="0.25">
      <c r="B7" s="10"/>
      <c r="C7" s="11" t="s">
        <v>260</v>
      </c>
      <c r="D7" s="62">
        <v>75</v>
      </c>
      <c r="E7" s="84"/>
    </row>
    <row r="8" spans="2:5" ht="15" customHeight="1" x14ac:dyDescent="0.25">
      <c r="B8" s="10"/>
      <c r="C8" s="11" t="s">
        <v>5</v>
      </c>
      <c r="D8" s="138">
        <v>3.1E-2</v>
      </c>
      <c r="E8" s="84"/>
    </row>
    <row r="9" spans="2:5" ht="15.6" thickBot="1" x14ac:dyDescent="0.3">
      <c r="B9" s="27"/>
      <c r="C9" s="28"/>
      <c r="D9" s="28"/>
      <c r="E9" s="87"/>
    </row>
    <row r="10" spans="2:5" x14ac:dyDescent="0.25">
      <c r="C10" s="2"/>
      <c r="E10" s="2"/>
    </row>
    <row r="11" spans="2:5" ht="15.6" x14ac:dyDescent="0.3">
      <c r="C11" s="37" t="s">
        <v>1</v>
      </c>
      <c r="E11" s="2"/>
    </row>
    <row r="12" spans="2:5" ht="16.2" thickBot="1" x14ac:dyDescent="0.35">
      <c r="C12" s="4"/>
      <c r="E12" s="2"/>
    </row>
    <row r="13" spans="2:5" x14ac:dyDescent="0.25">
      <c r="B13" s="48"/>
      <c r="C13" s="33"/>
      <c r="D13" s="33"/>
      <c r="E13" s="88"/>
    </row>
    <row r="14" spans="2:5" ht="15.6" x14ac:dyDescent="0.3">
      <c r="B14" s="14"/>
      <c r="C14" s="15" t="s">
        <v>145</v>
      </c>
      <c r="D14" s="40">
        <f>D7/D8</f>
        <v>2419.3548387096776</v>
      </c>
      <c r="E14" s="92"/>
    </row>
    <row r="15" spans="2:5" ht="15.6" thickBot="1" x14ac:dyDescent="0.3">
      <c r="B15" s="16"/>
      <c r="C15" s="72"/>
      <c r="D15" s="17"/>
      <c r="E15" s="73"/>
    </row>
    <row r="16" spans="2:5" x14ac:dyDescent="0.25">
      <c r="B16" s="106"/>
      <c r="C16" s="106"/>
      <c r="D16" s="105"/>
      <c r="E16" s="106"/>
    </row>
    <row r="17" spans="2:5" x14ac:dyDescent="0.25">
      <c r="B17" s="106"/>
      <c r="C17" s="106"/>
      <c r="D17" s="105"/>
      <c r="E17" s="106"/>
    </row>
  </sheetData>
  <phoneticPr fontId="23" type="noConversion"/>
  <pageMargins left="0.75" right="0.75" top="1" bottom="1" header="0.5" footer="0.5"/>
  <pageSetup orientation="portrait" horizont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I28"/>
  <sheetViews>
    <sheetView workbookViewId="0">
      <selection activeCell="C2" sqref="C2"/>
    </sheetView>
  </sheetViews>
  <sheetFormatPr defaultRowHeight="15" x14ac:dyDescent="0.25"/>
  <cols>
    <col min="2" max="2" width="3.109375" customWidth="1"/>
    <col min="3" max="4" width="15.5546875" customWidth="1"/>
    <col min="5" max="5" width="3.109375" style="3" customWidth="1"/>
    <col min="6" max="8" width="9.109375" customWidth="1"/>
    <col min="9" max="9" width="9.109375" style="2" customWidth="1"/>
    <col min="10" max="10" width="9.109375" customWidth="1"/>
  </cols>
  <sheetData>
    <row r="1" spans="2:7" ht="17.399999999999999" x14ac:dyDescent="0.3">
      <c r="C1" s="1" t="s">
        <v>253</v>
      </c>
      <c r="D1" s="1"/>
    </row>
    <row r="2" spans="2:7" x14ac:dyDescent="0.25">
      <c r="C2" s="2" t="s">
        <v>258</v>
      </c>
      <c r="D2" s="2"/>
    </row>
    <row r="4" spans="2:7" ht="15.6" x14ac:dyDescent="0.3">
      <c r="C4" s="38" t="s">
        <v>0</v>
      </c>
      <c r="D4" s="38"/>
    </row>
    <row r="5" spans="2:7" ht="16.2" thickBot="1" x14ac:dyDescent="0.35">
      <c r="C5" s="4"/>
      <c r="D5" s="4"/>
    </row>
    <row r="6" spans="2:7" ht="15.6" x14ac:dyDescent="0.3">
      <c r="B6" s="6"/>
      <c r="C6" s="7"/>
      <c r="D6" s="7"/>
      <c r="E6" s="9"/>
    </row>
    <row r="7" spans="2:7" x14ac:dyDescent="0.25">
      <c r="B7" s="10"/>
      <c r="C7" s="11" t="s">
        <v>145</v>
      </c>
      <c r="D7" s="166">
        <v>2350</v>
      </c>
      <c r="E7" s="12"/>
    </row>
    <row r="8" spans="2:7" x14ac:dyDescent="0.25">
      <c r="B8" s="10"/>
      <c r="C8" s="11"/>
      <c r="D8" s="11"/>
      <c r="E8" s="12"/>
    </row>
    <row r="9" spans="2:7" x14ac:dyDescent="0.25">
      <c r="B9" s="10"/>
      <c r="C9" s="177" t="s">
        <v>254</v>
      </c>
      <c r="D9" s="177" t="s">
        <v>255</v>
      </c>
      <c r="E9" s="12"/>
    </row>
    <row r="10" spans="2:7" ht="15.6" x14ac:dyDescent="0.3">
      <c r="B10" s="153" t="s">
        <v>158</v>
      </c>
      <c r="C10" s="178">
        <v>9</v>
      </c>
      <c r="D10" s="180">
        <v>0.12</v>
      </c>
      <c r="E10" s="12"/>
    </row>
    <row r="11" spans="2:7" ht="15.6" x14ac:dyDescent="0.3">
      <c r="B11" s="153" t="s">
        <v>159</v>
      </c>
      <c r="C11" s="179">
        <v>5</v>
      </c>
      <c r="D11" s="86">
        <v>0.08</v>
      </c>
      <c r="E11" s="12"/>
    </row>
    <row r="12" spans="2:7" ht="15.6" x14ac:dyDescent="0.3">
      <c r="B12" s="153" t="s">
        <v>160</v>
      </c>
      <c r="C12" s="179">
        <v>17</v>
      </c>
      <c r="D12" s="86">
        <v>0.05</v>
      </c>
      <c r="E12" s="12"/>
      <c r="G12" s="31"/>
    </row>
    <row r="13" spans="2:7" ht="15.6" x14ac:dyDescent="0.3">
      <c r="B13" s="153" t="s">
        <v>261</v>
      </c>
      <c r="C13" s="179">
        <v>10</v>
      </c>
      <c r="D13" s="86">
        <v>0.09</v>
      </c>
      <c r="E13" s="12"/>
    </row>
    <row r="14" spans="2:7" ht="15.6" thickBot="1" x14ac:dyDescent="0.3">
      <c r="B14" s="27"/>
      <c r="C14" s="28"/>
      <c r="D14" s="28"/>
      <c r="E14" s="30"/>
    </row>
    <row r="15" spans="2:7" x14ac:dyDescent="0.25">
      <c r="C15" s="2"/>
      <c r="D15" s="2"/>
    </row>
    <row r="16" spans="2:7" ht="15.6" x14ac:dyDescent="0.3">
      <c r="C16" s="37" t="s">
        <v>1</v>
      </c>
      <c r="D16" s="37"/>
    </row>
    <row r="17" spans="2:5" ht="15.6" thickBot="1" x14ac:dyDescent="0.3">
      <c r="C17" s="2"/>
      <c r="D17" s="2"/>
    </row>
    <row r="18" spans="2:5" s="2" customFormat="1" x14ac:dyDescent="0.25">
      <c r="B18" s="32"/>
      <c r="C18" s="33"/>
      <c r="D18" s="33"/>
      <c r="E18" s="34"/>
    </row>
    <row r="19" spans="2:5" s="2" customFormat="1" ht="15.6" x14ac:dyDescent="0.3">
      <c r="B19" s="151" t="s">
        <v>158</v>
      </c>
      <c r="C19" s="15" t="s">
        <v>48</v>
      </c>
      <c r="D19" s="97">
        <f>FV(D10,C10,,-D7)</f>
        <v>6516.7350800079421</v>
      </c>
      <c r="E19" s="19"/>
    </row>
    <row r="20" spans="2:5" s="2" customFormat="1" ht="15.6" x14ac:dyDescent="0.3">
      <c r="B20" s="151"/>
      <c r="C20" s="15"/>
      <c r="D20" s="207"/>
      <c r="E20" s="19"/>
    </row>
    <row r="21" spans="2:5" s="2" customFormat="1" ht="15.6" x14ac:dyDescent="0.3">
      <c r="B21" s="151" t="s">
        <v>159</v>
      </c>
      <c r="C21" s="15" t="s">
        <v>48</v>
      </c>
      <c r="D21" s="97">
        <f>FV(D11,C11,,-D7)</f>
        <v>3452.9209804800007</v>
      </c>
      <c r="E21" s="19"/>
    </row>
    <row r="22" spans="2:5" s="2" customFormat="1" ht="15.6" x14ac:dyDescent="0.3">
      <c r="B22" s="151"/>
      <c r="C22" s="15"/>
      <c r="D22" s="207"/>
      <c r="E22" s="19"/>
    </row>
    <row r="23" spans="2:5" s="2" customFormat="1" ht="15.6" x14ac:dyDescent="0.3">
      <c r="B23" s="151" t="s">
        <v>160</v>
      </c>
      <c r="C23" s="15" t="s">
        <v>48</v>
      </c>
      <c r="D23" s="97">
        <f>FV(D12,C12,,-D7)</f>
        <v>5386.2430468324283</v>
      </c>
      <c r="E23" s="19"/>
    </row>
    <row r="24" spans="2:5" s="2" customFormat="1" ht="15.6" x14ac:dyDescent="0.3">
      <c r="B24" s="151"/>
      <c r="C24" s="15"/>
      <c r="D24" s="207"/>
      <c r="E24" s="19"/>
    </row>
    <row r="25" spans="2:5" s="2" customFormat="1" ht="15.6" x14ac:dyDescent="0.3">
      <c r="B25" s="151" t="s">
        <v>261</v>
      </c>
      <c r="C25" s="15" t="s">
        <v>48</v>
      </c>
      <c r="D25" s="97">
        <f>FV(D13,C13,,-D7)</f>
        <v>5563.3046352914789</v>
      </c>
      <c r="E25" s="19"/>
    </row>
    <row r="26" spans="2:5" s="2" customFormat="1" ht="15.6" thickBot="1" x14ac:dyDescent="0.3">
      <c r="B26" s="36"/>
      <c r="C26" s="17"/>
      <c r="D26" s="17"/>
      <c r="E26" s="21"/>
    </row>
    <row r="27" spans="2:5" s="2" customFormat="1" x14ac:dyDescent="0.25">
      <c r="E27" s="3"/>
    </row>
    <row r="28" spans="2:5" s="2" customFormat="1" x14ac:dyDescent="0.25">
      <c r="E28" s="3"/>
    </row>
  </sheetData>
  <phoneticPr fontId="0" type="noConversion"/>
  <pageMargins left="0.75" right="0.75" top="1" bottom="1" header="0.5" footer="0.5"/>
  <pageSetup orientation="portrait" horizont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11111111111"/>
  <dimension ref="B1:I25"/>
  <sheetViews>
    <sheetView workbookViewId="0">
      <selection activeCell="C2" sqref="C2"/>
    </sheetView>
  </sheetViews>
  <sheetFormatPr defaultRowHeight="15" x14ac:dyDescent="0.25"/>
  <cols>
    <col min="2" max="2" width="3.109375" customWidth="1"/>
    <col min="3" max="3" width="15.5546875" customWidth="1"/>
    <col min="4" max="4" width="14.6640625" style="2" customWidth="1"/>
    <col min="5" max="5" width="3.109375" style="3" customWidth="1"/>
    <col min="6" max="8" width="9.109375" customWidth="1"/>
    <col min="9" max="9" width="9.109375" style="2" customWidth="1"/>
    <col min="10" max="10" width="9.109375" customWidth="1"/>
  </cols>
  <sheetData>
    <row r="1" spans="2:5" ht="17.399999999999999" x14ac:dyDescent="0.3">
      <c r="C1" s="1" t="s">
        <v>253</v>
      </c>
    </row>
    <row r="2" spans="2:5" x14ac:dyDescent="0.25">
      <c r="C2" s="2" t="s">
        <v>259</v>
      </c>
    </row>
    <row r="4" spans="2:5" ht="15.6" x14ac:dyDescent="0.3">
      <c r="C4" s="38" t="s">
        <v>0</v>
      </c>
    </row>
    <row r="5" spans="2:5" ht="16.2" thickBot="1" x14ac:dyDescent="0.35">
      <c r="C5" s="4"/>
      <c r="D5" s="5"/>
    </row>
    <row r="6" spans="2:5" ht="15.6" x14ac:dyDescent="0.3">
      <c r="B6" s="6"/>
      <c r="C6" s="7"/>
      <c r="D6" s="8"/>
      <c r="E6" s="9"/>
    </row>
    <row r="7" spans="2:5" x14ac:dyDescent="0.25">
      <c r="B7" s="10"/>
      <c r="C7" s="11" t="s">
        <v>5</v>
      </c>
      <c r="D7" s="86">
        <v>0.1</v>
      </c>
      <c r="E7" s="12"/>
    </row>
    <row r="8" spans="2:5" x14ac:dyDescent="0.25">
      <c r="B8" s="10"/>
      <c r="C8" s="11" t="s">
        <v>5</v>
      </c>
      <c r="D8" s="86">
        <v>0.18</v>
      </c>
      <c r="E8" s="12"/>
    </row>
    <row r="9" spans="2:5" x14ac:dyDescent="0.25">
      <c r="B9" s="10"/>
      <c r="C9" s="11" t="s">
        <v>5</v>
      </c>
      <c r="D9" s="86">
        <v>0.24</v>
      </c>
      <c r="E9" s="12"/>
    </row>
    <row r="10" spans="2:5" ht="15.6" x14ac:dyDescent="0.3">
      <c r="B10" s="10"/>
      <c r="C10" s="18"/>
      <c r="D10" s="11"/>
      <c r="E10" s="12"/>
    </row>
    <row r="11" spans="2:5" x14ac:dyDescent="0.25">
      <c r="B11" s="10"/>
      <c r="C11" s="22" t="s">
        <v>3</v>
      </c>
      <c r="D11" s="23" t="s">
        <v>4</v>
      </c>
      <c r="E11" s="12"/>
    </row>
    <row r="12" spans="2:5" x14ac:dyDescent="0.25">
      <c r="B12" s="10"/>
      <c r="C12" s="11">
        <v>1</v>
      </c>
      <c r="D12" s="62">
        <v>795</v>
      </c>
      <c r="E12" s="12"/>
    </row>
    <row r="13" spans="2:5" x14ac:dyDescent="0.25">
      <c r="B13" s="10"/>
      <c r="C13" s="11">
        <v>2</v>
      </c>
      <c r="D13" s="61">
        <v>945</v>
      </c>
      <c r="E13" s="12"/>
    </row>
    <row r="14" spans="2:5" x14ac:dyDescent="0.25">
      <c r="B14" s="10"/>
      <c r="C14" s="11">
        <v>3</v>
      </c>
      <c r="D14" s="61">
        <v>1325</v>
      </c>
      <c r="E14" s="12"/>
    </row>
    <row r="15" spans="2:5" x14ac:dyDescent="0.25">
      <c r="B15" s="10"/>
      <c r="C15" s="11">
        <v>4</v>
      </c>
      <c r="D15" s="61">
        <v>1860</v>
      </c>
      <c r="E15" s="12"/>
    </row>
    <row r="16" spans="2:5" ht="15.6" thickBot="1" x14ac:dyDescent="0.3">
      <c r="B16" s="27"/>
      <c r="C16" s="28"/>
      <c r="D16" s="300"/>
      <c r="E16" s="30"/>
    </row>
    <row r="17" spans="2:5" x14ac:dyDescent="0.25">
      <c r="B17" s="106"/>
      <c r="C17" s="105"/>
      <c r="D17" s="298"/>
      <c r="E17" s="299"/>
    </row>
    <row r="18" spans="2:5" ht="15.6" x14ac:dyDescent="0.3">
      <c r="B18" s="106"/>
      <c r="C18" s="38" t="s">
        <v>1</v>
      </c>
      <c r="D18" s="298"/>
      <c r="E18" s="299"/>
    </row>
    <row r="19" spans="2:5" ht="15.6" thickBot="1" x14ac:dyDescent="0.3">
      <c r="B19" s="106"/>
      <c r="C19" s="105"/>
      <c r="D19" s="298"/>
      <c r="E19" s="299"/>
    </row>
    <row r="20" spans="2:5" x14ac:dyDescent="0.25">
      <c r="B20" s="301"/>
      <c r="C20" s="302"/>
      <c r="D20" s="303"/>
      <c r="E20" s="304"/>
    </row>
    <row r="21" spans="2:5" ht="15.6" x14ac:dyDescent="0.3">
      <c r="B21" s="14"/>
      <c r="C21" s="15" t="str">
        <f>"Value at "&amp;D7*100&amp;"%"</f>
        <v>Value at 10%</v>
      </c>
      <c r="D21" s="40">
        <f>NPV(D7,$D$12,$D$13,$D$14,$D$15)</f>
        <v>3769.6161464380843</v>
      </c>
      <c r="E21" s="19"/>
    </row>
    <row r="22" spans="2:5" ht="15.6" x14ac:dyDescent="0.3">
      <c r="B22" s="14"/>
      <c r="C22" s="15" t="str">
        <f t="shared" ref="C22:C23" si="0">"Value at "&amp;D8*100&amp;"%"</f>
        <v>Value at 18%</v>
      </c>
      <c r="D22" s="40">
        <f t="shared" ref="D22:D23" si="1">NPV(D8,$D$12,$D$13,$D$14,$D$15)</f>
        <v>3118.2163137666694</v>
      </c>
      <c r="E22" s="19"/>
    </row>
    <row r="23" spans="2:5" ht="15.6" x14ac:dyDescent="0.3">
      <c r="B23" s="14"/>
      <c r="C23" s="15" t="str">
        <f t="shared" si="0"/>
        <v>Value at 24%</v>
      </c>
      <c r="D23" s="40">
        <f t="shared" si="1"/>
        <v>2737.3997180356482</v>
      </c>
      <c r="E23" s="19"/>
    </row>
    <row r="24" spans="2:5" ht="15.6" thickBot="1" x14ac:dyDescent="0.3">
      <c r="B24" s="16"/>
      <c r="C24" s="17"/>
      <c r="D24" s="20"/>
      <c r="E24" s="21"/>
    </row>
    <row r="25" spans="2:5" x14ac:dyDescent="0.25">
      <c r="C25" s="2"/>
    </row>
  </sheetData>
  <phoneticPr fontId="0" type="noConversion"/>
  <pageMargins left="0.75" right="0.75" top="1" bottom="1" header="0.5" footer="0.5"/>
  <pageSetup orientation="portrait" horizont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111111111111"/>
  <dimension ref="B1:I29"/>
  <sheetViews>
    <sheetView workbookViewId="0">
      <selection activeCell="C2" sqref="C2"/>
    </sheetView>
  </sheetViews>
  <sheetFormatPr defaultRowHeight="15" x14ac:dyDescent="0.25"/>
  <cols>
    <col min="2" max="2" width="3.109375" customWidth="1"/>
    <col min="3" max="3" width="15.5546875" customWidth="1"/>
    <col min="4" max="4" width="14.6640625" style="2" customWidth="1"/>
    <col min="5" max="5" width="3.109375" style="3" customWidth="1"/>
    <col min="6" max="8" width="9.109375" customWidth="1"/>
    <col min="9" max="9" width="9.109375" style="2" customWidth="1"/>
    <col min="10" max="10" width="9.109375" customWidth="1"/>
  </cols>
  <sheetData>
    <row r="1" spans="2:7" ht="17.399999999999999" x14ac:dyDescent="0.3">
      <c r="C1" s="1" t="s">
        <v>253</v>
      </c>
    </row>
    <row r="2" spans="2:7" x14ac:dyDescent="0.25">
      <c r="C2" s="2" t="s">
        <v>23</v>
      </c>
    </row>
    <row r="4" spans="2:7" ht="15.6" x14ac:dyDescent="0.3">
      <c r="C4" s="38" t="s">
        <v>0</v>
      </c>
    </row>
    <row r="5" spans="2:7" ht="16.2" thickBot="1" x14ac:dyDescent="0.35">
      <c r="C5" s="4"/>
      <c r="D5" s="5"/>
    </row>
    <row r="6" spans="2:7" ht="15.6" x14ac:dyDescent="0.3">
      <c r="B6" s="6"/>
      <c r="C6" s="7"/>
      <c r="D6" s="8"/>
      <c r="E6" s="9"/>
    </row>
    <row r="7" spans="2:7" x14ac:dyDescent="0.25">
      <c r="B7" s="10"/>
      <c r="C7" s="11" t="s">
        <v>5</v>
      </c>
      <c r="D7" s="86">
        <v>0.05</v>
      </c>
      <c r="E7" s="12"/>
    </row>
    <row r="8" spans="2:7" x14ac:dyDescent="0.25">
      <c r="B8" s="10"/>
      <c r="C8" s="11" t="s">
        <v>5</v>
      </c>
      <c r="D8" s="86">
        <v>0.22</v>
      </c>
      <c r="E8" s="12"/>
    </row>
    <row r="9" spans="2:7" x14ac:dyDescent="0.25">
      <c r="B9" s="10"/>
      <c r="C9" s="11"/>
      <c r="D9" s="86"/>
      <c r="E9" s="12"/>
    </row>
    <row r="10" spans="2:7" x14ac:dyDescent="0.25">
      <c r="B10" s="10"/>
      <c r="C10" s="11" t="s">
        <v>7</v>
      </c>
      <c r="D10" s="61">
        <v>9</v>
      </c>
      <c r="E10" s="12"/>
    </row>
    <row r="11" spans="2:7" x14ac:dyDescent="0.25">
      <c r="B11" s="10"/>
      <c r="C11" s="22" t="s">
        <v>8</v>
      </c>
      <c r="D11" s="137">
        <v>5</v>
      </c>
      <c r="E11" s="12"/>
    </row>
    <row r="12" spans="2:7" x14ac:dyDescent="0.25">
      <c r="B12" s="10"/>
      <c r="C12" s="11"/>
      <c r="D12" s="62"/>
      <c r="E12" s="12"/>
    </row>
    <row r="13" spans="2:7" x14ac:dyDescent="0.25">
      <c r="B13" s="10"/>
      <c r="C13" s="11" t="s">
        <v>9</v>
      </c>
      <c r="D13" s="158">
        <v>4350</v>
      </c>
      <c r="E13" s="12"/>
      <c r="G13" s="31"/>
    </row>
    <row r="14" spans="2:7" x14ac:dyDescent="0.25">
      <c r="B14" s="10"/>
      <c r="C14" s="11" t="s">
        <v>10</v>
      </c>
      <c r="D14" s="146">
        <v>6900</v>
      </c>
      <c r="E14" s="12"/>
    </row>
    <row r="15" spans="2:7" ht="15.6" thickBot="1" x14ac:dyDescent="0.3">
      <c r="B15" s="27"/>
      <c r="C15" s="28"/>
      <c r="D15" s="29"/>
      <c r="E15" s="30"/>
    </row>
    <row r="16" spans="2:7" x14ac:dyDescent="0.25">
      <c r="C16" s="2"/>
    </row>
    <row r="17" spans="2:5" ht="15.6" x14ac:dyDescent="0.3">
      <c r="C17" s="37" t="s">
        <v>1</v>
      </c>
    </row>
    <row r="18" spans="2:5" ht="15.6" thickBot="1" x14ac:dyDescent="0.3">
      <c r="C18" s="2"/>
    </row>
    <row r="19" spans="2:5" s="2" customFormat="1" x14ac:dyDescent="0.25">
      <c r="B19" s="32"/>
      <c r="C19" s="33"/>
      <c r="D19" s="33"/>
      <c r="E19" s="34"/>
    </row>
    <row r="20" spans="2:5" s="2" customFormat="1" x14ac:dyDescent="0.25">
      <c r="B20" s="35"/>
      <c r="C20" s="15" t="s">
        <v>371</v>
      </c>
      <c r="D20" s="305"/>
      <c r="E20" s="19"/>
    </row>
    <row r="21" spans="2:5" s="2" customFormat="1" ht="15.6" x14ac:dyDescent="0.3">
      <c r="B21" s="35"/>
      <c r="C21" s="15" t="str">
        <f>"  At "&amp;D7*100&amp;"%"</f>
        <v xml:space="preserve">  At 5%</v>
      </c>
      <c r="D21" s="40">
        <f>-PV(D7,D10,D13)</f>
        <v>30919.024289051638</v>
      </c>
      <c r="E21" s="19"/>
    </row>
    <row r="22" spans="2:5" s="2" customFormat="1" ht="15.6" x14ac:dyDescent="0.3">
      <c r="B22" s="35"/>
      <c r="C22" s="15" t="str">
        <f>"  At "&amp;D8*100&amp;"%"</f>
        <v xml:space="preserve">  At 22%</v>
      </c>
      <c r="D22" s="40">
        <f>-PV(D8,D10,D13)</f>
        <v>16470.339253288221</v>
      </c>
      <c r="E22" s="19"/>
    </row>
    <row r="23" spans="2:5" s="2" customFormat="1" x14ac:dyDescent="0.25">
      <c r="B23" s="35"/>
      <c r="C23" s="15"/>
      <c r="D23" s="311"/>
      <c r="E23" s="19"/>
    </row>
    <row r="24" spans="2:5" s="2" customFormat="1" x14ac:dyDescent="0.25">
      <c r="B24" s="35"/>
      <c r="C24" s="15" t="s">
        <v>372</v>
      </c>
      <c r="D24" s="312"/>
      <c r="E24" s="19"/>
    </row>
    <row r="25" spans="2:5" s="2" customFormat="1" ht="15.6" x14ac:dyDescent="0.3">
      <c r="B25" s="35"/>
      <c r="C25" s="15" t="str">
        <f>"  At "&amp;D7*100&amp;"%"</f>
        <v xml:space="preserve">  At 5%</v>
      </c>
      <c r="D25" s="40">
        <f>-PV(D7,D11,D14)</f>
        <v>29873.389027352663</v>
      </c>
      <c r="E25" s="19"/>
    </row>
    <row r="26" spans="2:5" s="2" customFormat="1" ht="15.6" x14ac:dyDescent="0.3">
      <c r="B26" s="35"/>
      <c r="C26" s="15" t="str">
        <f>"  At "&amp;D8*100&amp;"%"</f>
        <v xml:space="preserve">  At 22%</v>
      </c>
      <c r="D26" s="40">
        <f>-PV(D8,D11,D14)</f>
        <v>19759.1143546815</v>
      </c>
      <c r="E26" s="19"/>
    </row>
    <row r="27" spans="2:5" s="2" customFormat="1" ht="15.6" thickBot="1" x14ac:dyDescent="0.3">
      <c r="B27" s="36"/>
      <c r="C27" s="17"/>
      <c r="D27" s="17"/>
      <c r="E27" s="21"/>
    </row>
    <row r="28" spans="2:5" s="2" customFormat="1" x14ac:dyDescent="0.25">
      <c r="E28" s="3"/>
    </row>
    <row r="29" spans="2:5" s="2" customFormat="1" x14ac:dyDescent="0.25">
      <c r="E29" s="3"/>
    </row>
  </sheetData>
  <phoneticPr fontId="0" type="noConversion"/>
  <pageMargins left="0.75" right="0.75" top="1" bottom="1" header="0.5" footer="0.5"/>
  <pageSetup orientation="portrait" horizont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11111111111111"/>
  <dimension ref="B1:I27"/>
  <sheetViews>
    <sheetView tabSelected="1" workbookViewId="0">
      <selection activeCell="G15" sqref="G15"/>
    </sheetView>
  </sheetViews>
  <sheetFormatPr defaultRowHeight="15" x14ac:dyDescent="0.25"/>
  <cols>
    <col min="2" max="2" width="3.109375" customWidth="1"/>
    <col min="3" max="3" width="29" customWidth="1"/>
    <col min="4" max="4" width="14.6640625" style="2" customWidth="1"/>
    <col min="5" max="5" width="3.109375" style="3" customWidth="1"/>
    <col min="6" max="8" width="9.109375" customWidth="1"/>
    <col min="9" max="9" width="9.109375" style="2" customWidth="1"/>
    <col min="10" max="10" width="9.109375" customWidth="1"/>
  </cols>
  <sheetData>
    <row r="1" spans="2:7" ht="17.399999999999999" x14ac:dyDescent="0.3">
      <c r="C1" s="1" t="s">
        <v>253</v>
      </c>
    </row>
    <row r="2" spans="2:7" x14ac:dyDescent="0.25">
      <c r="C2" s="2" t="s">
        <v>28</v>
      </c>
      <c r="F2" s="315" t="s">
        <v>473</v>
      </c>
    </row>
    <row r="4" spans="2:7" ht="15.6" x14ac:dyDescent="0.3">
      <c r="C4" s="38" t="s">
        <v>0</v>
      </c>
    </row>
    <row r="5" spans="2:7" ht="16.2" thickBot="1" x14ac:dyDescent="0.35">
      <c r="C5" s="4"/>
      <c r="D5" s="5"/>
    </row>
    <row r="6" spans="2:7" ht="15.6" x14ac:dyDescent="0.3">
      <c r="B6" s="6"/>
      <c r="C6" s="7"/>
      <c r="D6" s="8"/>
      <c r="E6" s="9"/>
    </row>
    <row r="7" spans="2:7" x14ac:dyDescent="0.25">
      <c r="B7" s="10"/>
      <c r="C7" s="11" t="s">
        <v>15</v>
      </c>
      <c r="D7" s="62">
        <v>5200</v>
      </c>
      <c r="E7" s="12"/>
      <c r="G7" s="31"/>
    </row>
    <row r="8" spans="2:7" x14ac:dyDescent="0.25">
      <c r="B8" s="10"/>
      <c r="C8" s="11" t="s">
        <v>14</v>
      </c>
      <c r="D8" s="61">
        <v>15</v>
      </c>
      <c r="E8" s="12"/>
    </row>
    <row r="9" spans="2:7" x14ac:dyDescent="0.25">
      <c r="B9" s="10"/>
      <c r="C9" s="11" t="s">
        <v>14</v>
      </c>
      <c r="D9" s="61">
        <v>40</v>
      </c>
      <c r="E9" s="12"/>
    </row>
    <row r="10" spans="2:7" x14ac:dyDescent="0.25">
      <c r="B10" s="10"/>
      <c r="C10" s="11" t="s">
        <v>14</v>
      </c>
      <c r="D10" s="61">
        <v>75</v>
      </c>
      <c r="E10" s="12"/>
    </row>
    <row r="11" spans="2:7" x14ac:dyDescent="0.25">
      <c r="B11" s="10"/>
      <c r="C11" s="11" t="s">
        <v>13</v>
      </c>
      <c r="D11" s="86">
        <v>7.0000000000000007E-2</v>
      </c>
      <c r="E11" s="12"/>
    </row>
    <row r="12" spans="2:7" ht="15.6" thickBot="1" x14ac:dyDescent="0.3">
      <c r="B12" s="27"/>
      <c r="C12" s="28"/>
      <c r="D12" s="29"/>
      <c r="E12" s="30"/>
    </row>
    <row r="13" spans="2:7" x14ac:dyDescent="0.25">
      <c r="C13" s="2"/>
    </row>
    <row r="14" spans="2:7" ht="15.6" x14ac:dyDescent="0.3">
      <c r="C14" s="37" t="s">
        <v>1</v>
      </c>
    </row>
    <row r="15" spans="2:7" ht="15.6" thickBot="1" x14ac:dyDescent="0.3">
      <c r="C15" s="2"/>
    </row>
    <row r="16" spans="2:7" s="2" customFormat="1" x14ac:dyDescent="0.25">
      <c r="B16" s="32"/>
      <c r="C16" s="33"/>
      <c r="D16" s="33"/>
      <c r="E16" s="34"/>
    </row>
    <row r="17" spans="2:5" s="2" customFormat="1" ht="15.6" x14ac:dyDescent="0.3">
      <c r="B17" s="35"/>
      <c r="C17" s="15" t="str">
        <f>"Present value for "&amp;D8&amp;" years"</f>
        <v>Present value for 15 years</v>
      </c>
      <c r="D17" s="39">
        <f>-PV(D11,D8,D7)</f>
        <v>47361.152826567566</v>
      </c>
      <c r="E17" s="19"/>
    </row>
    <row r="18" spans="2:5" s="2" customFormat="1" ht="15.6" x14ac:dyDescent="0.3">
      <c r="B18" s="35"/>
      <c r="C18" s="15" t="str">
        <f t="shared" ref="C18:C19" si="0">"Present value for "&amp;D9&amp;" years"</f>
        <v>Present value for 40 years</v>
      </c>
      <c r="D18" s="40">
        <f>-PV(D11,D9,D7)</f>
        <v>69324.885981719504</v>
      </c>
      <c r="E18" s="19"/>
    </row>
    <row r="19" spans="2:5" s="2" customFormat="1" ht="15.6" x14ac:dyDescent="0.3">
      <c r="B19" s="35"/>
      <c r="C19" s="15" t="str">
        <f t="shared" si="0"/>
        <v>Present value for 75 years</v>
      </c>
      <c r="D19" s="40">
        <f>-PV(D11,D10,D7)</f>
        <v>73821.068527037394</v>
      </c>
      <c r="E19" s="19"/>
    </row>
    <row r="20" spans="2:5" s="2" customFormat="1" ht="15.6" x14ac:dyDescent="0.3">
      <c r="B20" s="35"/>
      <c r="C20" s="15"/>
      <c r="D20" s="24"/>
      <c r="E20" s="19"/>
    </row>
    <row r="21" spans="2:5" s="2" customFormat="1" ht="15.6" x14ac:dyDescent="0.3">
      <c r="B21" s="35"/>
      <c r="C21" s="15" t="s">
        <v>166</v>
      </c>
      <c r="D21" s="39">
        <f>D7/D11</f>
        <v>74285.714285714275</v>
      </c>
      <c r="E21" s="19"/>
    </row>
    <row r="22" spans="2:5" s="2" customFormat="1" ht="15.6" thickBot="1" x14ac:dyDescent="0.3">
      <c r="B22" s="36"/>
      <c r="C22" s="17"/>
      <c r="D22" s="17"/>
      <c r="E22" s="21"/>
    </row>
    <row r="23" spans="2:5" s="2" customFormat="1" x14ac:dyDescent="0.25">
      <c r="E23" s="3"/>
    </row>
    <row r="24" spans="2:5" s="2" customFormat="1" x14ac:dyDescent="0.25">
      <c r="D24" s="206"/>
      <c r="E24" s="3"/>
    </row>
    <row r="26" spans="2:5" x14ac:dyDescent="0.25">
      <c r="D26" s="206"/>
    </row>
    <row r="27" spans="2:5" x14ac:dyDescent="0.25">
      <c r="D27" s="206"/>
    </row>
  </sheetData>
  <phoneticPr fontId="0" type="noConversion"/>
  <pageMargins left="0.75" right="0.75" top="1" bottom="1" header="0.5" footer="0.5"/>
  <pageSetup orientation="portrait" horizont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11111111111111111111"/>
  <dimension ref="B1:I21"/>
  <sheetViews>
    <sheetView workbookViewId="0">
      <selection activeCell="C2" sqref="C2"/>
    </sheetView>
  </sheetViews>
  <sheetFormatPr defaultRowHeight="15" x14ac:dyDescent="0.25"/>
  <cols>
    <col min="2" max="2" width="3.109375" customWidth="1"/>
    <col min="3" max="3" width="25" bestFit="1" customWidth="1"/>
    <col min="4" max="4" width="15.44140625" style="2" bestFit="1" customWidth="1"/>
    <col min="5" max="5" width="3.109375" style="3" customWidth="1"/>
    <col min="6" max="8" width="9.109375" customWidth="1"/>
    <col min="9" max="9" width="9.109375" style="2" customWidth="1"/>
    <col min="10" max="10" width="9.109375" customWidth="1"/>
  </cols>
  <sheetData>
    <row r="1" spans="2:7" ht="17.399999999999999" x14ac:dyDescent="0.3">
      <c r="C1" s="1" t="s">
        <v>253</v>
      </c>
    </row>
    <row r="2" spans="2:7" x14ac:dyDescent="0.25">
      <c r="C2" s="2" t="s">
        <v>31</v>
      </c>
    </row>
    <row r="4" spans="2:7" ht="15.6" x14ac:dyDescent="0.3">
      <c r="C4" s="38" t="s">
        <v>0</v>
      </c>
    </row>
    <row r="5" spans="2:7" ht="16.2" thickBot="1" x14ac:dyDescent="0.35">
      <c r="C5" s="4"/>
      <c r="D5" s="5"/>
    </row>
    <row r="6" spans="2:7" ht="15.6" x14ac:dyDescent="0.3">
      <c r="B6" s="6"/>
      <c r="C6" s="7"/>
      <c r="D6" s="8"/>
      <c r="E6" s="9"/>
    </row>
    <row r="7" spans="2:7" x14ac:dyDescent="0.25">
      <c r="B7" s="10"/>
      <c r="C7" s="11" t="s">
        <v>373</v>
      </c>
      <c r="D7" s="62">
        <v>15000</v>
      </c>
      <c r="E7" s="12"/>
      <c r="G7" s="31"/>
    </row>
    <row r="8" spans="2:7" x14ac:dyDescent="0.25">
      <c r="B8" s="10"/>
      <c r="C8" s="11" t="s">
        <v>5</v>
      </c>
      <c r="D8" s="138">
        <v>3.7999999999999999E-2</v>
      </c>
      <c r="E8" s="12"/>
    </row>
    <row r="9" spans="2:7" x14ac:dyDescent="0.25">
      <c r="B9" s="10"/>
      <c r="C9" s="11"/>
      <c r="D9" s="62"/>
      <c r="E9" s="12"/>
      <c r="G9" s="31"/>
    </row>
    <row r="10" spans="2:7" x14ac:dyDescent="0.25">
      <c r="B10" s="10"/>
      <c r="C10" s="11" t="s">
        <v>22</v>
      </c>
      <c r="D10" s="62">
        <v>325000</v>
      </c>
      <c r="E10" s="12"/>
      <c r="G10" s="31"/>
    </row>
    <row r="11" spans="2:7" ht="15.6" thickBot="1" x14ac:dyDescent="0.3">
      <c r="B11" s="27"/>
      <c r="C11" s="28"/>
      <c r="D11" s="29"/>
      <c r="E11" s="30"/>
    </row>
    <row r="12" spans="2:7" x14ac:dyDescent="0.25">
      <c r="C12" s="2"/>
    </row>
    <row r="13" spans="2:7" ht="15.6" x14ac:dyDescent="0.3">
      <c r="C13" s="37" t="s">
        <v>1</v>
      </c>
    </row>
    <row r="14" spans="2:7" ht="15.6" thickBot="1" x14ac:dyDescent="0.3">
      <c r="C14" s="2"/>
    </row>
    <row r="15" spans="2:7" s="2" customFormat="1" x14ac:dyDescent="0.25">
      <c r="B15" s="32"/>
      <c r="C15" s="33"/>
      <c r="D15" s="33"/>
      <c r="E15" s="34"/>
    </row>
    <row r="16" spans="2:7" s="2" customFormat="1" ht="15.6" x14ac:dyDescent="0.3">
      <c r="B16" s="35"/>
      <c r="C16" s="15" t="s">
        <v>165</v>
      </c>
      <c r="D16" s="40">
        <f>D7/D8</f>
        <v>394736.84210526315</v>
      </c>
      <c r="E16" s="19"/>
    </row>
    <row r="17" spans="2:5" s="2" customFormat="1" ht="15.6" x14ac:dyDescent="0.3">
      <c r="B17" s="35"/>
      <c r="C17" s="15"/>
      <c r="D17" s="41"/>
      <c r="E17" s="19"/>
    </row>
    <row r="18" spans="2:5" s="2" customFormat="1" ht="15.6" x14ac:dyDescent="0.3">
      <c r="B18" s="35"/>
      <c r="C18" s="15" t="s">
        <v>374</v>
      </c>
      <c r="D18" s="53">
        <f>D7/D10</f>
        <v>4.6153846153846156E-2</v>
      </c>
      <c r="E18" s="19"/>
    </row>
    <row r="19" spans="2:5" s="2" customFormat="1" ht="15.6" thickBot="1" x14ac:dyDescent="0.3">
      <c r="B19" s="36"/>
      <c r="C19" s="17"/>
      <c r="D19" s="17"/>
      <c r="E19" s="21"/>
    </row>
    <row r="20" spans="2:5" s="2" customFormat="1" x14ac:dyDescent="0.25">
      <c r="E20" s="3"/>
    </row>
    <row r="21" spans="2:5" s="2" customFormat="1" x14ac:dyDescent="0.25">
      <c r="E21" s="3"/>
    </row>
  </sheetData>
  <phoneticPr fontId="0" type="noConversion"/>
  <pageMargins left="0.75" right="0.75" top="1" bottom="1" header="0.5" footer="0.5"/>
  <pageSetup orientation="portrait" horizont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1111111111113"/>
  <dimension ref="B1:J14"/>
  <sheetViews>
    <sheetView workbookViewId="0">
      <selection activeCell="C2" sqref="C2"/>
    </sheetView>
  </sheetViews>
  <sheetFormatPr defaultRowHeight="15" x14ac:dyDescent="0.25"/>
  <cols>
    <col min="2" max="2" width="3.109375" customWidth="1"/>
    <col min="3" max="3" width="19" bestFit="1" customWidth="1"/>
    <col min="4" max="4" width="21.109375" style="2" bestFit="1" customWidth="1"/>
    <col min="5" max="5" width="15.6640625" style="2" bestFit="1" customWidth="1"/>
    <col min="6" max="6" width="3.109375" style="3" customWidth="1"/>
    <col min="7" max="9" width="9.109375" customWidth="1"/>
    <col min="10" max="10" width="9.109375" style="2" customWidth="1"/>
    <col min="11" max="11" width="9.109375" customWidth="1"/>
  </cols>
  <sheetData>
    <row r="1" spans="2:6" ht="17.399999999999999" x14ac:dyDescent="0.3">
      <c r="C1" s="1" t="s">
        <v>253</v>
      </c>
    </row>
    <row r="2" spans="2:6" x14ac:dyDescent="0.25">
      <c r="C2" s="2" t="s">
        <v>32</v>
      </c>
    </row>
    <row r="3" spans="2:6" ht="15.6" thickBot="1" x14ac:dyDescent="0.3"/>
    <row r="4" spans="2:6" ht="15.6" x14ac:dyDescent="0.3">
      <c r="C4" s="25" t="s">
        <v>0</v>
      </c>
    </row>
    <row r="5" spans="2:6" ht="16.2" thickBot="1" x14ac:dyDescent="0.35">
      <c r="C5" s="26" t="s">
        <v>1</v>
      </c>
    </row>
    <row r="6" spans="2:6" ht="16.2" thickBot="1" x14ac:dyDescent="0.35">
      <c r="C6" s="4"/>
      <c r="D6" s="5"/>
      <c r="E6" s="5"/>
    </row>
    <row r="7" spans="2:6" ht="15.6" x14ac:dyDescent="0.3">
      <c r="B7" s="6"/>
      <c r="C7" s="7"/>
      <c r="D7" s="8"/>
      <c r="E7" s="33"/>
      <c r="F7" s="34"/>
    </row>
    <row r="8" spans="2:6" x14ac:dyDescent="0.25">
      <c r="B8" s="10"/>
      <c r="C8" s="44" t="s">
        <v>24</v>
      </c>
      <c r="D8" s="45" t="s">
        <v>26</v>
      </c>
      <c r="E8" s="46" t="s">
        <v>25</v>
      </c>
      <c r="F8" s="19"/>
    </row>
    <row r="9" spans="2:6" ht="15.6" x14ac:dyDescent="0.3">
      <c r="B9" s="10"/>
      <c r="C9" s="60">
        <v>7.0999999999999994E-2</v>
      </c>
      <c r="D9" s="61">
        <v>4</v>
      </c>
      <c r="E9" s="47">
        <f>EFFECT(C9,D9)</f>
        <v>7.2912843701878449E-2</v>
      </c>
      <c r="F9" s="19"/>
    </row>
    <row r="10" spans="2:6" ht="15.6" x14ac:dyDescent="0.3">
      <c r="B10" s="10"/>
      <c r="C10" s="60">
        <v>0.13200000000000001</v>
      </c>
      <c r="D10" s="61">
        <v>12</v>
      </c>
      <c r="E10" s="47">
        <f>EFFECT(C10,D10)</f>
        <v>0.14028619649985408</v>
      </c>
      <c r="F10" s="19"/>
    </row>
    <row r="11" spans="2:6" ht="15.6" x14ac:dyDescent="0.3">
      <c r="B11" s="10"/>
      <c r="C11" s="60">
        <v>8.8999999999999996E-2</v>
      </c>
      <c r="D11" s="61">
        <v>365</v>
      </c>
      <c r="E11" s="47">
        <f>EFFECT(C11,D11)</f>
        <v>9.3068797644494383E-2</v>
      </c>
      <c r="F11" s="19"/>
    </row>
    <row r="12" spans="2:6" ht="15.6" x14ac:dyDescent="0.3">
      <c r="B12" s="10"/>
      <c r="C12" s="60">
        <v>8.1000000000000003E-2</v>
      </c>
      <c r="D12" s="139" t="s">
        <v>27</v>
      </c>
      <c r="E12" s="47">
        <f>EXP(C12)-1</f>
        <v>8.4370896566760445E-2</v>
      </c>
      <c r="F12" s="19"/>
    </row>
    <row r="13" spans="2:6" ht="15.6" thickBot="1" x14ac:dyDescent="0.3">
      <c r="B13" s="27"/>
      <c r="C13" s="28"/>
      <c r="D13" s="43"/>
      <c r="E13" s="20"/>
      <c r="F13" s="21"/>
    </row>
    <row r="14" spans="2:6" x14ac:dyDescent="0.25">
      <c r="C14" s="2"/>
    </row>
  </sheetData>
  <phoneticPr fontId="0" type="noConversion"/>
  <pageMargins left="0.75" right="0.75" top="1" bottom="1" header="0.5" footer="0.5"/>
  <pageSetup orientation="portrait" horizont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11111111111131"/>
  <dimension ref="B1:J14"/>
  <sheetViews>
    <sheetView workbookViewId="0">
      <selection activeCell="C2" sqref="C2"/>
    </sheetView>
  </sheetViews>
  <sheetFormatPr defaultRowHeight="15" x14ac:dyDescent="0.25"/>
  <cols>
    <col min="2" max="2" width="3.109375" customWidth="1"/>
    <col min="3" max="3" width="19" bestFit="1" customWidth="1"/>
    <col min="4" max="4" width="21.109375" style="2" bestFit="1" customWidth="1"/>
    <col min="5" max="5" width="15.6640625" style="2" bestFit="1" customWidth="1"/>
    <col min="6" max="6" width="3.109375" style="3" customWidth="1"/>
    <col min="7" max="9" width="9" customWidth="1"/>
    <col min="10" max="10" width="9" style="2" customWidth="1"/>
    <col min="11" max="13" width="9" customWidth="1"/>
  </cols>
  <sheetData>
    <row r="1" spans="2:6" ht="17.399999999999999" x14ac:dyDescent="0.3">
      <c r="C1" s="1" t="s">
        <v>253</v>
      </c>
    </row>
    <row r="2" spans="2:6" x14ac:dyDescent="0.25">
      <c r="C2" s="2" t="s">
        <v>33</v>
      </c>
    </row>
    <row r="3" spans="2:6" ht="15.6" thickBot="1" x14ac:dyDescent="0.3"/>
    <row r="4" spans="2:6" ht="15.6" x14ac:dyDescent="0.3">
      <c r="C4" s="25" t="s">
        <v>0</v>
      </c>
    </row>
    <row r="5" spans="2:6" ht="16.2" thickBot="1" x14ac:dyDescent="0.35">
      <c r="C5" s="26" t="s">
        <v>1</v>
      </c>
    </row>
    <row r="6" spans="2:6" ht="16.2" thickBot="1" x14ac:dyDescent="0.35">
      <c r="C6" s="4"/>
      <c r="D6" s="5"/>
      <c r="E6" s="5"/>
    </row>
    <row r="7" spans="2:6" ht="15.6" x14ac:dyDescent="0.3">
      <c r="B7" s="48"/>
      <c r="C7" s="49"/>
      <c r="D7" s="8"/>
      <c r="E7" s="8"/>
      <c r="F7" s="9"/>
    </row>
    <row r="8" spans="2:6" x14ac:dyDescent="0.25">
      <c r="B8" s="14"/>
      <c r="C8" s="50" t="s">
        <v>24</v>
      </c>
      <c r="D8" s="45" t="s">
        <v>26</v>
      </c>
      <c r="E8" s="45" t="s">
        <v>25</v>
      </c>
      <c r="F8" s="12"/>
    </row>
    <row r="9" spans="2:6" ht="15.6" x14ac:dyDescent="0.3">
      <c r="B9" s="14"/>
      <c r="C9" s="47">
        <f>NOMINAL(E9,D9)</f>
        <v>9.8570942331948075E-2</v>
      </c>
      <c r="D9" s="61">
        <v>2</v>
      </c>
      <c r="E9" s="138">
        <v>0.10100000000000001</v>
      </c>
      <c r="F9" s="12"/>
    </row>
    <row r="10" spans="2:6" ht="15.6" x14ac:dyDescent="0.3">
      <c r="B10" s="14"/>
      <c r="C10" s="47">
        <f>NOMINAL(E10,D10)</f>
        <v>0.16149374548341555</v>
      </c>
      <c r="D10" s="61">
        <v>12</v>
      </c>
      <c r="E10" s="138">
        <v>0.17399999999999999</v>
      </c>
      <c r="F10" s="12"/>
    </row>
    <row r="11" spans="2:6" ht="15.6" x14ac:dyDescent="0.3">
      <c r="B11" s="14"/>
      <c r="C11" s="47">
        <f>NOMINAL(E11,D11)</f>
        <v>8.256670278672118E-2</v>
      </c>
      <c r="D11" s="61">
        <v>52</v>
      </c>
      <c r="E11" s="138">
        <v>8.5999999999999993E-2</v>
      </c>
      <c r="F11" s="12"/>
    </row>
    <row r="12" spans="2:6" ht="15.6" x14ac:dyDescent="0.3">
      <c r="B12" s="14"/>
      <c r="C12" s="47">
        <f>LN(1+E12)</f>
        <v>0.10705907229340778</v>
      </c>
      <c r="D12" s="139" t="s">
        <v>27</v>
      </c>
      <c r="E12" s="138">
        <v>0.113</v>
      </c>
      <c r="F12" s="12"/>
    </row>
    <row r="13" spans="2:6" ht="15.6" thickBot="1" x14ac:dyDescent="0.3">
      <c r="B13" s="16"/>
      <c r="C13" s="17"/>
      <c r="D13" s="43"/>
      <c r="E13" s="43"/>
      <c r="F13" s="30"/>
    </row>
    <row r="14" spans="2:6" x14ac:dyDescent="0.25">
      <c r="C14" s="2"/>
    </row>
  </sheetData>
  <phoneticPr fontId="0" type="noConversion"/>
  <pageMargins left="0.75" right="0.75" top="1" bottom="1" header="0.5" footer="0.5"/>
  <pageSetup orientation="portrait" horizont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11111111111132"/>
  <dimension ref="B1:K12"/>
  <sheetViews>
    <sheetView workbookViewId="0">
      <selection activeCell="C2" sqref="C2"/>
    </sheetView>
  </sheetViews>
  <sheetFormatPr defaultRowHeight="15" x14ac:dyDescent="0.25"/>
  <cols>
    <col min="2" max="2" width="3.109375" customWidth="1"/>
    <col min="3" max="3" width="20.109375" bestFit="1" customWidth="1"/>
    <col min="4" max="4" width="19" customWidth="1"/>
    <col min="5" max="5" width="21.109375" style="2" bestFit="1" customWidth="1"/>
    <col min="6" max="6" width="15.6640625" style="2" bestFit="1" customWidth="1"/>
    <col min="7" max="7" width="3.109375" style="3" customWidth="1"/>
    <col min="8" max="10" width="9" customWidth="1"/>
    <col min="11" max="11" width="9" style="2" customWidth="1"/>
    <col min="12" max="13" width="9" customWidth="1"/>
  </cols>
  <sheetData>
    <row r="1" spans="2:7" ht="17.399999999999999" x14ac:dyDescent="0.3">
      <c r="C1" s="1" t="s">
        <v>253</v>
      </c>
      <c r="D1" s="1"/>
    </row>
    <row r="2" spans="2:7" x14ac:dyDescent="0.25">
      <c r="C2" s="2" t="s">
        <v>144</v>
      </c>
      <c r="D2" s="2"/>
    </row>
    <row r="3" spans="2:7" ht="15.6" thickBot="1" x14ac:dyDescent="0.3"/>
    <row r="4" spans="2:7" ht="15.6" x14ac:dyDescent="0.3">
      <c r="C4" s="25" t="s">
        <v>0</v>
      </c>
      <c r="D4" s="38"/>
    </row>
    <row r="5" spans="2:7" ht="16.2" thickBot="1" x14ac:dyDescent="0.35">
      <c r="C5" s="26" t="s">
        <v>1</v>
      </c>
      <c r="D5" s="38"/>
    </row>
    <row r="6" spans="2:7" ht="16.2" thickBot="1" x14ac:dyDescent="0.35">
      <c r="C6" s="4"/>
      <c r="D6" s="4"/>
      <c r="E6" s="5"/>
      <c r="F6" s="5"/>
    </row>
    <row r="7" spans="2:7" ht="15.6" x14ac:dyDescent="0.3">
      <c r="B7" s="6"/>
      <c r="C7" s="7"/>
      <c r="D7" s="7"/>
      <c r="E7" s="8"/>
      <c r="F7" s="33"/>
      <c r="G7" s="34"/>
    </row>
    <row r="8" spans="2:7" x14ac:dyDescent="0.25">
      <c r="B8" s="10"/>
      <c r="C8" s="44"/>
      <c r="D8" s="44" t="s">
        <v>24</v>
      </c>
      <c r="E8" s="45" t="s">
        <v>26</v>
      </c>
      <c r="F8" s="46" t="s">
        <v>25</v>
      </c>
      <c r="G8" s="19"/>
    </row>
    <row r="9" spans="2:7" ht="15.6" x14ac:dyDescent="0.3">
      <c r="B9" s="10"/>
      <c r="C9" s="51" t="s">
        <v>29</v>
      </c>
      <c r="D9" s="60">
        <v>0.114</v>
      </c>
      <c r="E9" s="61">
        <v>12</v>
      </c>
      <c r="F9" s="47">
        <f>EFFECT(D9,E9)</f>
        <v>0.12014921627417685</v>
      </c>
      <c r="G9" s="19"/>
    </row>
    <row r="10" spans="2:7" ht="15.6" x14ac:dyDescent="0.3">
      <c r="B10" s="10"/>
      <c r="C10" s="51" t="s">
        <v>30</v>
      </c>
      <c r="D10" s="60">
        <v>0.11600000000000001</v>
      </c>
      <c r="E10" s="61">
        <v>2</v>
      </c>
      <c r="F10" s="47">
        <f>EFFECT(D10,E10)</f>
        <v>0.11936400000000003</v>
      </c>
      <c r="G10" s="19"/>
    </row>
    <row r="11" spans="2:7" ht="15.6" thickBot="1" x14ac:dyDescent="0.3">
      <c r="B11" s="27"/>
      <c r="C11" s="28"/>
      <c r="D11" s="28"/>
      <c r="E11" s="43"/>
      <c r="F11" s="20"/>
      <c r="G11" s="21"/>
    </row>
    <row r="12" spans="2:7" x14ac:dyDescent="0.25">
      <c r="C12" s="2"/>
      <c r="D12" s="2"/>
    </row>
  </sheetData>
  <phoneticPr fontId="0" type="noConversion"/>
  <pageMargins left="0.75" right="0.75" top="1" bottom="1" header="0.5" footer="0.5"/>
  <pageSetup orientation="portrait" horizont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111111111111111112112"/>
  <dimension ref="B1:I24"/>
  <sheetViews>
    <sheetView workbookViewId="0">
      <selection activeCell="C2" sqref="C2"/>
    </sheetView>
  </sheetViews>
  <sheetFormatPr defaultRowHeight="15" x14ac:dyDescent="0.25"/>
  <cols>
    <col min="2" max="2" width="3.109375" customWidth="1"/>
    <col min="3" max="3" width="33.33203125" bestFit="1" customWidth="1"/>
    <col min="4" max="4" width="15.44140625" style="2" bestFit="1" customWidth="1"/>
    <col min="5" max="5" width="3.109375" style="3" customWidth="1"/>
    <col min="6" max="8" width="9.109375" customWidth="1"/>
    <col min="9" max="9" width="9.109375" style="2" customWidth="1"/>
    <col min="10" max="10" width="9.109375" customWidth="1"/>
  </cols>
  <sheetData>
    <row r="1" spans="2:7" ht="17.399999999999999" x14ac:dyDescent="0.3">
      <c r="C1" s="1" t="s">
        <v>253</v>
      </c>
    </row>
    <row r="2" spans="2:7" x14ac:dyDescent="0.25">
      <c r="C2" s="2" t="s">
        <v>35</v>
      </c>
    </row>
    <row r="4" spans="2:7" ht="15.6" x14ac:dyDescent="0.3">
      <c r="C4" s="38" t="s">
        <v>0</v>
      </c>
    </row>
    <row r="5" spans="2:7" ht="16.2" thickBot="1" x14ac:dyDescent="0.35">
      <c r="C5" s="4"/>
      <c r="D5" s="5"/>
    </row>
    <row r="6" spans="2:7" ht="15.6" x14ac:dyDescent="0.3">
      <c r="B6" s="6"/>
      <c r="C6" s="7"/>
      <c r="D6" s="8"/>
      <c r="E6" s="9"/>
    </row>
    <row r="7" spans="2:7" x14ac:dyDescent="0.25">
      <c r="B7" s="10"/>
      <c r="C7" s="11" t="s">
        <v>347</v>
      </c>
      <c r="D7" s="166">
        <v>10</v>
      </c>
      <c r="E7" s="12"/>
    </row>
    <row r="8" spans="2:7" x14ac:dyDescent="0.25">
      <c r="B8" s="10"/>
      <c r="C8" s="11" t="s">
        <v>350</v>
      </c>
      <c r="D8" s="86">
        <v>0.1</v>
      </c>
      <c r="E8" s="12"/>
    </row>
    <row r="9" spans="2:7" x14ac:dyDescent="0.25">
      <c r="B9" s="10"/>
      <c r="C9" s="11" t="s">
        <v>349</v>
      </c>
      <c r="D9" s="165">
        <v>12</v>
      </c>
      <c r="E9" s="12"/>
      <c r="G9" s="31"/>
    </row>
    <row r="10" spans="2:7" ht="15.6" thickBot="1" x14ac:dyDescent="0.3">
      <c r="B10" s="27"/>
      <c r="C10" s="28"/>
      <c r="D10" s="29"/>
      <c r="E10" s="30"/>
    </row>
    <row r="11" spans="2:7" x14ac:dyDescent="0.25">
      <c r="C11" s="2"/>
    </row>
    <row r="12" spans="2:7" ht="15.6" x14ac:dyDescent="0.3">
      <c r="C12" s="37" t="s">
        <v>1</v>
      </c>
    </row>
    <row r="13" spans="2:7" ht="15.6" thickBot="1" x14ac:dyDescent="0.3">
      <c r="C13" s="2"/>
      <c r="D13" s="52"/>
    </row>
    <row r="14" spans="2:7" s="2" customFormat="1" x14ac:dyDescent="0.25">
      <c r="B14" s="32"/>
      <c r="C14" s="33"/>
      <c r="D14" s="33"/>
      <c r="E14" s="34"/>
    </row>
    <row r="15" spans="2:7" s="2" customFormat="1" x14ac:dyDescent="0.25">
      <c r="B15" s="35"/>
      <c r="C15" s="15" t="s">
        <v>348</v>
      </c>
      <c r="D15" s="75">
        <f>(D9*D7)*(1-D8)</f>
        <v>108</v>
      </c>
      <c r="E15" s="19"/>
    </row>
    <row r="16" spans="2:7" s="2" customFormat="1" x14ac:dyDescent="0.25">
      <c r="B16" s="35"/>
      <c r="C16" s="15"/>
      <c r="D16" s="75"/>
      <c r="E16" s="19"/>
    </row>
    <row r="17" spans="2:5" s="2" customFormat="1" x14ac:dyDescent="0.25">
      <c r="B17" s="35"/>
      <c r="C17" s="15" t="s">
        <v>448</v>
      </c>
      <c r="D17" s="104">
        <f>RATE(D9,-D7,D15,0,1)</f>
        <v>1.9763989254615245E-2</v>
      </c>
      <c r="E17" s="19"/>
    </row>
    <row r="18" spans="2:5" s="2" customFormat="1" x14ac:dyDescent="0.25">
      <c r="B18" s="35"/>
      <c r="C18" s="15"/>
      <c r="D18" s="104"/>
      <c r="E18" s="19"/>
    </row>
    <row r="19" spans="2:5" s="2" customFormat="1" x14ac:dyDescent="0.25">
      <c r="B19" s="35"/>
      <c r="C19" s="15" t="s">
        <v>67</v>
      </c>
      <c r="D19" s="104">
        <f>D17*52</f>
        <v>1.0277274412399928</v>
      </c>
      <c r="E19" s="19"/>
    </row>
    <row r="20" spans="2:5" s="2" customFormat="1" x14ac:dyDescent="0.25">
      <c r="B20" s="35"/>
      <c r="C20" s="15"/>
      <c r="D20" s="197"/>
      <c r="E20" s="19"/>
    </row>
    <row r="21" spans="2:5" s="2" customFormat="1" ht="15.6" x14ac:dyDescent="0.3">
      <c r="B21" s="35"/>
      <c r="C21" s="15" t="s">
        <v>56</v>
      </c>
      <c r="D21" s="53">
        <f>((1+D17)^52)-1</f>
        <v>1.7668328949516967</v>
      </c>
      <c r="E21" s="19"/>
    </row>
    <row r="22" spans="2:5" s="2" customFormat="1" ht="15.6" thickBot="1" x14ac:dyDescent="0.3">
      <c r="B22" s="36"/>
      <c r="C22" s="17"/>
      <c r="D22" s="17"/>
      <c r="E22" s="21"/>
    </row>
    <row r="23" spans="2:5" s="2" customFormat="1" x14ac:dyDescent="0.25">
      <c r="E23" s="3"/>
    </row>
    <row r="24" spans="2:5" s="2" customFormat="1" x14ac:dyDescent="0.25">
      <c r="E24" s="3"/>
    </row>
  </sheetData>
  <phoneticPr fontId="0" type="noConversion"/>
  <pageMargins left="0.75" right="0.75" top="1" bottom="1" header="0.5" footer="0.5"/>
  <pageSetup orientation="portrait" horizont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2"/>
  <dimension ref="B1:E26"/>
  <sheetViews>
    <sheetView workbookViewId="0">
      <selection activeCell="C7" sqref="C7"/>
    </sheetView>
  </sheetViews>
  <sheetFormatPr defaultRowHeight="15" x14ac:dyDescent="0.25"/>
  <cols>
    <col min="2" max="2" width="3.109375" customWidth="1"/>
    <col min="3" max="3" width="21.33203125" bestFit="1" customWidth="1"/>
    <col min="4" max="4" width="14.33203125" style="2" bestFit="1" customWidth="1"/>
    <col min="5" max="5" width="3.109375" customWidth="1"/>
  </cols>
  <sheetData>
    <row r="1" spans="2:5" ht="17.399999999999999" x14ac:dyDescent="0.3">
      <c r="C1" s="1" t="s">
        <v>253</v>
      </c>
    </row>
    <row r="2" spans="2:5" x14ac:dyDescent="0.25">
      <c r="C2" s="2" t="s">
        <v>2</v>
      </c>
    </row>
    <row r="4" spans="2:5" ht="15.6" x14ac:dyDescent="0.3">
      <c r="C4" s="37" t="s">
        <v>0</v>
      </c>
      <c r="E4" s="2"/>
    </row>
    <row r="5" spans="2:5" ht="16.2" thickBot="1" x14ac:dyDescent="0.35">
      <c r="C5" s="4"/>
      <c r="D5" s="5"/>
      <c r="E5" s="2"/>
    </row>
    <row r="6" spans="2:5" ht="15.6" x14ac:dyDescent="0.3">
      <c r="B6" s="6"/>
      <c r="C6" s="7"/>
      <c r="D6" s="8"/>
      <c r="E6" s="81"/>
    </row>
    <row r="7" spans="2:5" x14ac:dyDescent="0.25">
      <c r="B7" s="10"/>
      <c r="C7" s="11" t="s">
        <v>5</v>
      </c>
      <c r="D7" s="60">
        <v>7.6999999999999999E-2</v>
      </c>
      <c r="E7" s="84"/>
    </row>
    <row r="8" spans="2:5" ht="15" customHeight="1" x14ac:dyDescent="0.25">
      <c r="B8" s="10"/>
      <c r="C8" s="11" t="s">
        <v>34</v>
      </c>
      <c r="D8" s="62">
        <v>7800</v>
      </c>
      <c r="E8" s="84"/>
    </row>
    <row r="9" spans="2:5" ht="15" customHeight="1" x14ac:dyDescent="0.25">
      <c r="B9" s="10"/>
      <c r="C9" s="11" t="s">
        <v>14</v>
      </c>
      <c r="D9" s="61">
        <v>10</v>
      </c>
      <c r="E9" s="84"/>
    </row>
    <row r="10" spans="2:5" ht="15.6" thickBot="1" x14ac:dyDescent="0.3">
      <c r="B10" s="27"/>
      <c r="C10" s="28"/>
      <c r="D10" s="28"/>
      <c r="E10" s="87"/>
    </row>
    <row r="11" spans="2:5" x14ac:dyDescent="0.25">
      <c r="C11" s="2"/>
      <c r="E11" s="2"/>
    </row>
    <row r="12" spans="2:5" ht="15.6" x14ac:dyDescent="0.3">
      <c r="C12" s="37" t="s">
        <v>1</v>
      </c>
      <c r="E12" s="2"/>
    </row>
    <row r="13" spans="2:5" ht="16.2" thickBot="1" x14ac:dyDescent="0.35">
      <c r="C13" s="4"/>
      <c r="E13" s="2"/>
    </row>
    <row r="14" spans="2:5" x14ac:dyDescent="0.25">
      <c r="B14" s="48"/>
      <c r="C14" s="33"/>
      <c r="D14" s="33"/>
      <c r="E14" s="88"/>
    </row>
    <row r="15" spans="2:5" x14ac:dyDescent="0.25">
      <c r="B15" s="14"/>
      <c r="C15" s="15" t="s">
        <v>442</v>
      </c>
      <c r="D15" s="211">
        <f>D8*D7</f>
        <v>600.6</v>
      </c>
      <c r="E15" s="92"/>
    </row>
    <row r="16" spans="2:5" x14ac:dyDescent="0.25">
      <c r="B16" s="14"/>
      <c r="C16" s="15"/>
      <c r="D16" s="15"/>
      <c r="E16" s="92"/>
    </row>
    <row r="17" spans="2:5" x14ac:dyDescent="0.25">
      <c r="B17" s="14"/>
      <c r="C17" s="15" t="s">
        <v>443</v>
      </c>
      <c r="D17" s="211">
        <f>D15*D9</f>
        <v>6006</v>
      </c>
      <c r="E17" s="92"/>
    </row>
    <row r="18" spans="2:5" x14ac:dyDescent="0.25">
      <c r="B18" s="14"/>
      <c r="C18" s="15"/>
      <c r="D18" s="15"/>
      <c r="E18" s="92"/>
    </row>
    <row r="19" spans="2:5" x14ac:dyDescent="0.25">
      <c r="B19" s="14"/>
      <c r="C19" s="15" t="s">
        <v>257</v>
      </c>
      <c r="D19" s="91">
        <f>D8+D17</f>
        <v>13806</v>
      </c>
      <c r="E19" s="68"/>
    </row>
    <row r="20" spans="2:5" x14ac:dyDescent="0.25">
      <c r="B20" s="14"/>
      <c r="C20" s="15"/>
      <c r="D20" s="15"/>
      <c r="E20" s="92"/>
    </row>
    <row r="21" spans="2:5" s="2" customFormat="1" x14ac:dyDescent="0.25">
      <c r="B21" s="35"/>
      <c r="C21" s="89" t="s">
        <v>256</v>
      </c>
      <c r="D21" s="91">
        <f>D8*(1+D7)^D9</f>
        <v>16377.651882595783</v>
      </c>
      <c r="E21" s="92"/>
    </row>
    <row r="22" spans="2:5" x14ac:dyDescent="0.25">
      <c r="B22" s="14"/>
      <c r="C22" s="15"/>
      <c r="D22" s="114"/>
      <c r="E22" s="182"/>
    </row>
    <row r="23" spans="2:5" ht="15.6" x14ac:dyDescent="0.3">
      <c r="B23" s="14"/>
      <c r="C23" s="15" t="s">
        <v>370</v>
      </c>
      <c r="D23" s="40">
        <f>D21-D19</f>
        <v>2571.6518825957828</v>
      </c>
      <c r="E23" s="92"/>
    </row>
    <row r="24" spans="2:5" ht="15.6" thickBot="1" x14ac:dyDescent="0.3">
      <c r="B24" s="16"/>
      <c r="C24" s="72"/>
      <c r="D24" s="17"/>
      <c r="E24" s="73"/>
    </row>
    <row r="25" spans="2:5" x14ac:dyDescent="0.25">
      <c r="B25" s="106"/>
      <c r="C25" s="106"/>
      <c r="D25" s="105"/>
      <c r="E25" s="106"/>
    </row>
    <row r="26" spans="2:5" x14ac:dyDescent="0.25">
      <c r="B26" s="106"/>
      <c r="C26" s="106"/>
      <c r="D26" s="105"/>
      <c r="E26" s="106"/>
    </row>
  </sheetData>
  <phoneticPr fontId="23" type="noConversion"/>
  <pageMargins left="0.75" right="0.75" top="1" bottom="1" header="0.5" footer="0.5"/>
  <pageSetup orientation="portrait" horizont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111111111111111112113"/>
  <dimension ref="B1:I18"/>
  <sheetViews>
    <sheetView workbookViewId="0">
      <selection activeCell="C2" sqref="C2"/>
    </sheetView>
  </sheetViews>
  <sheetFormatPr defaultRowHeight="15" x14ac:dyDescent="0.25"/>
  <cols>
    <col min="2" max="2" width="3.109375" customWidth="1"/>
    <col min="3" max="3" width="28.109375" customWidth="1"/>
    <col min="4" max="4" width="15.88671875" style="2" customWidth="1"/>
    <col min="5" max="5" width="3.109375" style="3" customWidth="1"/>
    <col min="6" max="8" width="9.109375" customWidth="1"/>
    <col min="9" max="9" width="9.109375" style="2" customWidth="1"/>
    <col min="10" max="10" width="9.109375" customWidth="1"/>
  </cols>
  <sheetData>
    <row r="1" spans="2:7" ht="17.399999999999999" x14ac:dyDescent="0.3">
      <c r="C1" s="1" t="s">
        <v>253</v>
      </c>
    </row>
    <row r="2" spans="2:7" x14ac:dyDescent="0.25">
      <c r="C2" s="2" t="s">
        <v>36</v>
      </c>
    </row>
    <row r="4" spans="2:7" ht="15.6" x14ac:dyDescent="0.3">
      <c r="C4" s="38" t="s">
        <v>0</v>
      </c>
    </row>
    <row r="5" spans="2:7" ht="16.2" thickBot="1" x14ac:dyDescent="0.35">
      <c r="C5" s="4"/>
      <c r="D5" s="5"/>
    </row>
    <row r="6" spans="2:7" ht="15.6" x14ac:dyDescent="0.3">
      <c r="B6" s="6"/>
      <c r="C6" s="7"/>
      <c r="D6" s="8"/>
      <c r="E6" s="9"/>
    </row>
    <row r="7" spans="2:7" x14ac:dyDescent="0.25">
      <c r="B7" s="10"/>
      <c r="C7" s="11" t="s">
        <v>40</v>
      </c>
      <c r="D7" s="61">
        <v>400</v>
      </c>
      <c r="E7" s="12"/>
      <c r="G7" s="31"/>
    </row>
    <row r="8" spans="2:7" x14ac:dyDescent="0.25">
      <c r="B8" s="10"/>
      <c r="C8" s="11" t="s">
        <v>5</v>
      </c>
      <c r="D8" s="60">
        <v>1.0999999999999999E-2</v>
      </c>
      <c r="E8" s="12"/>
    </row>
    <row r="9" spans="2:7" x14ac:dyDescent="0.25">
      <c r="B9" s="10"/>
      <c r="C9" s="11" t="s">
        <v>39</v>
      </c>
      <c r="D9" s="62">
        <v>16450</v>
      </c>
      <c r="E9" s="12"/>
      <c r="G9" s="31"/>
    </row>
    <row r="10" spans="2:7" ht="15.6" thickBot="1" x14ac:dyDescent="0.3">
      <c r="B10" s="27"/>
      <c r="C10" s="28"/>
      <c r="D10" s="29"/>
      <c r="E10" s="30"/>
    </row>
    <row r="11" spans="2:7" x14ac:dyDescent="0.25">
      <c r="C11" s="2"/>
    </row>
    <row r="12" spans="2:7" ht="15.6" x14ac:dyDescent="0.3">
      <c r="C12" s="37" t="s">
        <v>1</v>
      </c>
    </row>
    <row r="13" spans="2:7" ht="15.6" thickBot="1" x14ac:dyDescent="0.3">
      <c r="C13" s="2"/>
      <c r="D13" s="52"/>
    </row>
    <row r="14" spans="2:7" s="2" customFormat="1" x14ac:dyDescent="0.25">
      <c r="B14" s="32"/>
      <c r="C14" s="33"/>
      <c r="D14" s="33"/>
      <c r="E14" s="34"/>
    </row>
    <row r="15" spans="2:7" s="2" customFormat="1" ht="15.6" x14ac:dyDescent="0.3">
      <c r="B15" s="35"/>
      <c r="C15" s="15" t="s">
        <v>167</v>
      </c>
      <c r="D15" s="143">
        <f>LN(1/(1-((D9*D8)/D7)))/LN(1+D8)</f>
        <v>55.042763556111886</v>
      </c>
      <c r="E15" s="19"/>
    </row>
    <row r="16" spans="2:7" s="2" customFormat="1" ht="15.6" thickBot="1" x14ac:dyDescent="0.3">
      <c r="B16" s="36"/>
      <c r="C16" s="17"/>
      <c r="D16" s="17"/>
      <c r="E16" s="21"/>
    </row>
    <row r="17" spans="5:5" s="2" customFormat="1" x14ac:dyDescent="0.25">
      <c r="E17" s="3"/>
    </row>
    <row r="18" spans="5:5" s="2" customFormat="1" x14ac:dyDescent="0.25">
      <c r="E18" s="3"/>
    </row>
  </sheetData>
  <phoneticPr fontId="0" type="noConversion"/>
  <pageMargins left="0.75" right="0.75" top="1" bottom="1" header="0.5" footer="0.5"/>
  <pageSetup orientation="portrait" horizont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2"/>
  <dimension ref="B1:I21"/>
  <sheetViews>
    <sheetView workbookViewId="0">
      <selection activeCell="C3" sqref="C3"/>
    </sheetView>
  </sheetViews>
  <sheetFormatPr defaultRowHeight="15" x14ac:dyDescent="0.25"/>
  <cols>
    <col min="2" max="2" width="3.109375" customWidth="1"/>
    <col min="3" max="3" width="22.5546875" customWidth="1"/>
    <col min="4" max="4" width="18.5546875" style="2" bestFit="1" customWidth="1"/>
    <col min="5" max="5" width="3.109375" style="3" customWidth="1"/>
    <col min="6" max="8" width="9.109375" customWidth="1"/>
    <col min="9" max="9" width="9.109375" style="2" customWidth="1"/>
    <col min="10" max="10" width="9.109375" customWidth="1"/>
  </cols>
  <sheetData>
    <row r="1" spans="2:5" ht="17.399999999999999" x14ac:dyDescent="0.3">
      <c r="C1" s="1" t="s">
        <v>253</v>
      </c>
    </row>
    <row r="2" spans="2:5" x14ac:dyDescent="0.25">
      <c r="C2" s="2" t="s">
        <v>37</v>
      </c>
    </row>
    <row r="4" spans="2:5" ht="15.6" x14ac:dyDescent="0.3">
      <c r="C4" s="38" t="s">
        <v>0</v>
      </c>
    </row>
    <row r="5" spans="2:5" ht="16.2" thickBot="1" x14ac:dyDescent="0.35">
      <c r="C5" s="4"/>
      <c r="D5" s="5"/>
    </row>
    <row r="6" spans="2:5" ht="15.6" x14ac:dyDescent="0.3">
      <c r="B6" s="6"/>
      <c r="C6" s="7"/>
      <c r="D6" s="8"/>
      <c r="E6" s="9"/>
    </row>
    <row r="7" spans="2:5" x14ac:dyDescent="0.25">
      <c r="B7" s="10"/>
      <c r="C7" s="11" t="s">
        <v>145</v>
      </c>
      <c r="D7" s="166">
        <v>3</v>
      </c>
      <c r="E7" s="12"/>
    </row>
    <row r="8" spans="2:5" x14ac:dyDescent="0.25">
      <c r="B8" s="10"/>
      <c r="C8" s="11" t="s">
        <v>48</v>
      </c>
      <c r="D8" s="166">
        <v>4</v>
      </c>
      <c r="E8" s="12"/>
    </row>
    <row r="9" spans="2:5" ht="15.6" thickBot="1" x14ac:dyDescent="0.3">
      <c r="B9" s="27"/>
      <c r="C9" s="28"/>
      <c r="D9" s="29"/>
      <c r="E9" s="30"/>
    </row>
    <row r="10" spans="2:5" x14ac:dyDescent="0.25">
      <c r="C10" s="2"/>
    </row>
    <row r="11" spans="2:5" ht="15.6" x14ac:dyDescent="0.3">
      <c r="C11" s="37" t="s">
        <v>1</v>
      </c>
    </row>
    <row r="12" spans="2:5" ht="15.6" thickBot="1" x14ac:dyDescent="0.3">
      <c r="C12" s="2"/>
      <c r="D12" s="52"/>
    </row>
    <row r="13" spans="2:5" s="2" customFormat="1" x14ac:dyDescent="0.25">
      <c r="B13" s="32"/>
      <c r="C13" s="33"/>
      <c r="D13" s="33"/>
      <c r="E13" s="34"/>
    </row>
    <row r="14" spans="2:5" s="2" customFormat="1" x14ac:dyDescent="0.25">
      <c r="B14" s="35"/>
      <c r="C14" s="15" t="s">
        <v>448</v>
      </c>
      <c r="D14" s="56">
        <f>(D8/D7)-1</f>
        <v>0.33333333333333326</v>
      </c>
      <c r="E14" s="19"/>
    </row>
    <row r="15" spans="2:5" s="2" customFormat="1" ht="15.6" x14ac:dyDescent="0.3">
      <c r="B15" s="35"/>
      <c r="C15" s="15"/>
      <c r="D15" s="42"/>
      <c r="E15" s="19"/>
    </row>
    <row r="16" spans="2:5" s="2" customFormat="1" ht="15.6" x14ac:dyDescent="0.3">
      <c r="B16" s="35"/>
      <c r="C16" s="15" t="s">
        <v>67</v>
      </c>
      <c r="D16" s="53">
        <f>D14*52</f>
        <v>17.333333333333329</v>
      </c>
      <c r="E16" s="19"/>
    </row>
    <row r="17" spans="2:5" s="2" customFormat="1" ht="15.6" x14ac:dyDescent="0.3">
      <c r="B17" s="35"/>
      <c r="C17" s="15"/>
      <c r="D17" s="54"/>
      <c r="E17" s="19"/>
    </row>
    <row r="18" spans="2:5" s="2" customFormat="1" ht="15.6" x14ac:dyDescent="0.3">
      <c r="B18" s="35"/>
      <c r="C18" s="15" t="s">
        <v>168</v>
      </c>
      <c r="D18" s="53">
        <f>EFFECT(D16,52)</f>
        <v>3139165.1569049158</v>
      </c>
      <c r="E18" s="19"/>
    </row>
    <row r="19" spans="2:5" s="2" customFormat="1" ht="15.6" thickBot="1" x14ac:dyDescent="0.3">
      <c r="B19" s="36"/>
      <c r="C19" s="17"/>
      <c r="D19" s="17"/>
      <c r="E19" s="21"/>
    </row>
    <row r="20" spans="2:5" s="2" customFormat="1" x14ac:dyDescent="0.25">
      <c r="E20" s="3"/>
    </row>
    <row r="21" spans="2:5" s="2" customFormat="1" x14ac:dyDescent="0.25">
      <c r="E21" s="3"/>
    </row>
  </sheetData>
  <phoneticPr fontId="0" type="noConversion"/>
  <pageMargins left="0.75" right="0.75" top="1" bottom="1" header="0.5" footer="0.5"/>
  <pageSetup orientation="portrait" horizont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I29"/>
  <sheetViews>
    <sheetView workbookViewId="0">
      <selection activeCell="C2" sqref="C2"/>
    </sheetView>
  </sheetViews>
  <sheetFormatPr defaultRowHeight="15" x14ac:dyDescent="0.25"/>
  <cols>
    <col min="2" max="2" width="3.109375" customWidth="1"/>
    <col min="3" max="3" width="15.5546875" customWidth="1"/>
    <col min="4" max="4" width="26.88671875" bestFit="1" customWidth="1"/>
    <col min="5" max="5" width="3.109375" style="3" customWidth="1"/>
    <col min="6" max="8" width="9.109375" customWidth="1"/>
    <col min="9" max="9" width="9.109375" style="2" customWidth="1"/>
    <col min="10" max="10" width="9.109375" customWidth="1"/>
  </cols>
  <sheetData>
    <row r="1" spans="2:7" ht="17.399999999999999" x14ac:dyDescent="0.3">
      <c r="C1" s="1" t="s">
        <v>253</v>
      </c>
      <c r="D1" s="1"/>
    </row>
    <row r="2" spans="2:7" x14ac:dyDescent="0.25">
      <c r="C2" s="2" t="s">
        <v>38</v>
      </c>
      <c r="D2" s="2"/>
    </row>
    <row r="4" spans="2:7" ht="15.6" x14ac:dyDescent="0.3">
      <c r="C4" s="38" t="s">
        <v>0</v>
      </c>
      <c r="D4" s="38"/>
    </row>
    <row r="5" spans="2:7" ht="16.2" thickBot="1" x14ac:dyDescent="0.35">
      <c r="C5" s="4"/>
      <c r="D5" s="4"/>
    </row>
    <row r="6" spans="2:7" ht="15.6" x14ac:dyDescent="0.3">
      <c r="B6" s="6"/>
      <c r="C6" s="7"/>
      <c r="D6" s="7"/>
      <c r="E6" s="9"/>
    </row>
    <row r="7" spans="2:7" x14ac:dyDescent="0.25">
      <c r="B7" s="10"/>
      <c r="C7" s="11" t="s">
        <v>254</v>
      </c>
      <c r="D7" s="141">
        <v>11</v>
      </c>
      <c r="E7" s="12"/>
    </row>
    <row r="8" spans="2:7" x14ac:dyDescent="0.25">
      <c r="B8" s="10"/>
      <c r="C8" s="11" t="s">
        <v>145</v>
      </c>
      <c r="D8" s="166">
        <v>1000</v>
      </c>
      <c r="E8" s="12"/>
    </row>
    <row r="9" spans="2:7" x14ac:dyDescent="0.25">
      <c r="B9" s="10"/>
      <c r="C9" s="11" t="s">
        <v>255</v>
      </c>
      <c r="D9" s="60">
        <v>8.8999999999999996E-2</v>
      </c>
      <c r="E9" s="12"/>
    </row>
    <row r="10" spans="2:7" x14ac:dyDescent="0.25">
      <c r="B10" s="10"/>
      <c r="C10" s="11"/>
      <c r="D10" s="189" t="s">
        <v>262</v>
      </c>
      <c r="E10" s="12"/>
    </row>
    <row r="11" spans="2:7" ht="15.6" x14ac:dyDescent="0.3">
      <c r="B11" s="153" t="s">
        <v>158</v>
      </c>
      <c r="C11" s="121" t="s">
        <v>263</v>
      </c>
      <c r="D11" s="190">
        <v>1</v>
      </c>
      <c r="E11" s="12"/>
    </row>
    <row r="12" spans="2:7" ht="15.6" x14ac:dyDescent="0.3">
      <c r="B12" s="153" t="s">
        <v>159</v>
      </c>
      <c r="C12" s="11" t="s">
        <v>453</v>
      </c>
      <c r="D12" s="141">
        <v>2</v>
      </c>
      <c r="E12" s="12"/>
    </row>
    <row r="13" spans="2:7" ht="15.6" x14ac:dyDescent="0.3">
      <c r="B13" s="153" t="s">
        <v>160</v>
      </c>
      <c r="C13" s="11" t="s">
        <v>264</v>
      </c>
      <c r="D13" s="141">
        <v>12</v>
      </c>
      <c r="E13" s="12"/>
      <c r="G13" s="31"/>
    </row>
    <row r="14" spans="2:7" ht="15.6" x14ac:dyDescent="0.3">
      <c r="B14" s="153" t="s">
        <v>261</v>
      </c>
      <c r="C14" s="11" t="s">
        <v>265</v>
      </c>
      <c r="D14" s="191" t="s">
        <v>27</v>
      </c>
      <c r="E14" s="12"/>
    </row>
    <row r="15" spans="2:7" ht="15.6" thickBot="1" x14ac:dyDescent="0.3">
      <c r="B15" s="27"/>
      <c r="C15" s="28"/>
      <c r="D15" s="28"/>
      <c r="E15" s="30"/>
    </row>
    <row r="16" spans="2:7" x14ac:dyDescent="0.25">
      <c r="C16" s="2"/>
      <c r="D16" s="2"/>
    </row>
    <row r="17" spans="2:5" ht="15.6" x14ac:dyDescent="0.3">
      <c r="C17" s="37" t="s">
        <v>1</v>
      </c>
      <c r="D17" s="37"/>
    </row>
    <row r="18" spans="2:5" ht="15.6" thickBot="1" x14ac:dyDescent="0.3">
      <c r="C18" s="2"/>
      <c r="D18" s="2"/>
    </row>
    <row r="19" spans="2:5" s="2" customFormat="1" x14ac:dyDescent="0.25">
      <c r="B19" s="32"/>
      <c r="C19" s="33"/>
      <c r="D19" s="33"/>
      <c r="E19" s="34"/>
    </row>
    <row r="20" spans="2:5" s="2" customFormat="1" ht="15.6" x14ac:dyDescent="0.3">
      <c r="B20" s="151" t="s">
        <v>158</v>
      </c>
      <c r="C20" s="15" t="s">
        <v>48</v>
      </c>
      <c r="D20" s="97">
        <f>FV(D9,D11*D7,0,-D8)</f>
        <v>2554.5045308449066</v>
      </c>
      <c r="E20" s="19"/>
    </row>
    <row r="21" spans="2:5" s="2" customFormat="1" ht="15.6" x14ac:dyDescent="0.3">
      <c r="B21" s="151"/>
      <c r="C21" s="15"/>
      <c r="D21" s="207"/>
      <c r="E21" s="19"/>
    </row>
    <row r="22" spans="2:5" s="2" customFormat="1" ht="15.6" x14ac:dyDescent="0.3">
      <c r="B22" s="151" t="s">
        <v>159</v>
      </c>
      <c r="C22" s="15" t="s">
        <v>48</v>
      </c>
      <c r="D22" s="97">
        <f>FV(D9/D12,D12*D7,0,-D8)</f>
        <v>2606.0681884873393</v>
      </c>
      <c r="E22" s="19"/>
    </row>
    <row r="23" spans="2:5" s="2" customFormat="1" ht="15.6" x14ac:dyDescent="0.3">
      <c r="B23" s="151"/>
      <c r="C23" s="15"/>
      <c r="D23" s="207"/>
      <c r="E23" s="19"/>
    </row>
    <row r="24" spans="2:5" s="2" customFormat="1" ht="15.6" x14ac:dyDescent="0.3">
      <c r="B24" s="151" t="s">
        <v>160</v>
      </c>
      <c r="C24" s="15" t="s">
        <v>48</v>
      </c>
      <c r="D24" s="97">
        <f>FV(D9/D13,D13*D7,0,-D8)</f>
        <v>2652.1944535751363</v>
      </c>
      <c r="E24" s="19"/>
    </row>
    <row r="25" spans="2:5" s="2" customFormat="1" ht="15.6" x14ac:dyDescent="0.3">
      <c r="B25" s="151"/>
      <c r="C25" s="15"/>
      <c r="D25" s="207"/>
      <c r="E25" s="19"/>
    </row>
    <row r="26" spans="2:5" s="2" customFormat="1" ht="15.6" x14ac:dyDescent="0.3">
      <c r="B26" s="151" t="s">
        <v>261</v>
      </c>
      <c r="C26" s="15" t="s">
        <v>48</v>
      </c>
      <c r="D26" s="97">
        <f>D8*EXP(D9*D7)</f>
        <v>2661.7931174716432</v>
      </c>
      <c r="E26" s="19"/>
    </row>
    <row r="27" spans="2:5" s="2" customFormat="1" ht="15.6" thickBot="1" x14ac:dyDescent="0.3">
      <c r="B27" s="36"/>
      <c r="C27" s="17"/>
      <c r="D27" s="17"/>
      <c r="E27" s="21"/>
    </row>
    <row r="28" spans="2:5" s="2" customFormat="1" x14ac:dyDescent="0.25">
      <c r="E28" s="3"/>
    </row>
    <row r="29" spans="2:5" s="2" customFormat="1" x14ac:dyDescent="0.25">
      <c r="E29" s="3"/>
    </row>
  </sheetData>
  <phoneticPr fontId="0" type="noConversion"/>
  <pageMargins left="0.75" right="0.75" top="1" bottom="1" header="0.5" footer="0.5"/>
  <pageSetup orientation="portrait" horizont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111111111111111111212111"/>
  <dimension ref="B1:I17"/>
  <sheetViews>
    <sheetView workbookViewId="0">
      <selection activeCell="C2" sqref="C2"/>
    </sheetView>
  </sheetViews>
  <sheetFormatPr defaultRowHeight="15" x14ac:dyDescent="0.25"/>
  <cols>
    <col min="2" max="2" width="3.109375" customWidth="1"/>
    <col min="3" max="3" width="35.6640625" customWidth="1"/>
    <col min="4" max="4" width="10" style="2" customWidth="1"/>
    <col min="5" max="5" width="3.109375" style="3" customWidth="1"/>
    <col min="6" max="8" width="9.109375" customWidth="1"/>
    <col min="9" max="9" width="9.109375" style="2" customWidth="1"/>
    <col min="10" max="10" width="9.109375" customWidth="1"/>
  </cols>
  <sheetData>
    <row r="1" spans="2:5" ht="17.399999999999999" x14ac:dyDescent="0.3">
      <c r="C1" s="1" t="s">
        <v>253</v>
      </c>
    </row>
    <row r="2" spans="2:5" x14ac:dyDescent="0.25">
      <c r="C2" s="2" t="s">
        <v>41</v>
      </c>
    </row>
    <row r="4" spans="2:5" ht="15.6" x14ac:dyDescent="0.3">
      <c r="C4" s="38" t="s">
        <v>0</v>
      </c>
    </row>
    <row r="5" spans="2:5" ht="16.2" thickBot="1" x14ac:dyDescent="0.35">
      <c r="C5" s="4"/>
      <c r="D5" s="5"/>
    </row>
    <row r="6" spans="2:5" ht="15.6" x14ac:dyDescent="0.3">
      <c r="B6" s="6"/>
      <c r="C6" s="7"/>
      <c r="D6" s="8"/>
      <c r="E6" s="9"/>
    </row>
    <row r="7" spans="2:5" x14ac:dyDescent="0.25">
      <c r="B7" s="10"/>
      <c r="C7" s="11" t="s">
        <v>449</v>
      </c>
      <c r="D7" s="60">
        <v>5.2999999999999999E-2</v>
      </c>
      <c r="E7" s="12"/>
    </row>
    <row r="8" spans="2:5" x14ac:dyDescent="0.25">
      <c r="B8" s="10"/>
      <c r="C8" s="11" t="s">
        <v>14</v>
      </c>
      <c r="D8" s="61">
        <v>10</v>
      </c>
      <c r="E8" s="12"/>
    </row>
    <row r="9" spans="2:5" ht="15.6" thickBot="1" x14ac:dyDescent="0.3">
      <c r="B9" s="27"/>
      <c r="C9" s="28"/>
      <c r="D9" s="29"/>
      <c r="E9" s="30"/>
    </row>
    <row r="10" spans="2:5" x14ac:dyDescent="0.25">
      <c r="C10" s="2"/>
    </row>
    <row r="11" spans="2:5" ht="15.6" x14ac:dyDescent="0.3">
      <c r="C11" s="37" t="s">
        <v>1</v>
      </c>
    </row>
    <row r="12" spans="2:5" ht="15.6" thickBot="1" x14ac:dyDescent="0.3">
      <c r="C12" s="2"/>
      <c r="D12" s="52"/>
    </row>
    <row r="13" spans="2:5" s="2" customFormat="1" x14ac:dyDescent="0.25">
      <c r="B13" s="32"/>
      <c r="C13" s="33"/>
      <c r="D13" s="33"/>
      <c r="E13" s="34"/>
    </row>
    <row r="14" spans="2:5" s="2" customFormat="1" ht="15.6" x14ac:dyDescent="0.3">
      <c r="B14" s="35"/>
      <c r="C14" s="15" t="s">
        <v>375</v>
      </c>
      <c r="D14" s="53">
        <f>((D7*D8)+1)^(1/D8)-1</f>
        <v>4.3443992689628841E-2</v>
      </c>
      <c r="E14" s="19"/>
    </row>
    <row r="15" spans="2:5" s="2" customFormat="1" ht="15.6" thickBot="1" x14ac:dyDescent="0.3">
      <c r="B15" s="36"/>
      <c r="C15" s="17"/>
      <c r="D15" s="17"/>
      <c r="E15" s="21"/>
    </row>
    <row r="16" spans="2:5" s="2" customFormat="1" x14ac:dyDescent="0.25">
      <c r="E16" s="3"/>
    </row>
    <row r="17" spans="5:5" s="2" customFormat="1" x14ac:dyDescent="0.25">
      <c r="E17" s="3"/>
    </row>
  </sheetData>
  <phoneticPr fontId="0" type="noConversion"/>
  <pageMargins left="0.75" right="0.75" top="1" bottom="1" header="0.5" footer="0.5"/>
  <pageSetup orientation="portrait" horizont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11111111111111111121211111"/>
  <dimension ref="B1:I30"/>
  <sheetViews>
    <sheetView workbookViewId="0">
      <selection activeCell="C2" sqref="C2"/>
    </sheetView>
  </sheetViews>
  <sheetFormatPr defaultRowHeight="15" x14ac:dyDescent="0.25"/>
  <cols>
    <col min="2" max="2" width="3.109375" customWidth="1"/>
    <col min="3" max="3" width="26.33203125" bestFit="1" customWidth="1"/>
    <col min="4" max="4" width="17.5546875" style="2" bestFit="1" customWidth="1"/>
    <col min="5" max="5" width="3.109375" style="3" customWidth="1"/>
    <col min="6" max="8" width="9.109375" customWidth="1"/>
    <col min="9" max="9" width="9.109375" style="2" customWidth="1"/>
    <col min="10" max="10" width="9.109375" customWidth="1"/>
  </cols>
  <sheetData>
    <row r="1" spans="2:5" ht="17.399999999999999" x14ac:dyDescent="0.3">
      <c r="C1" s="1" t="s">
        <v>253</v>
      </c>
    </row>
    <row r="2" spans="2:5" x14ac:dyDescent="0.25">
      <c r="C2" s="2" t="s">
        <v>42</v>
      </c>
    </row>
    <row r="4" spans="2:5" ht="15.6" x14ac:dyDescent="0.3">
      <c r="C4" s="38" t="s">
        <v>0</v>
      </c>
    </row>
    <row r="5" spans="2:5" ht="16.2" thickBot="1" x14ac:dyDescent="0.35">
      <c r="C5" s="4"/>
      <c r="D5" s="5"/>
    </row>
    <row r="6" spans="2:5" ht="15.6" x14ac:dyDescent="0.3">
      <c r="B6" s="6"/>
      <c r="C6" s="7"/>
      <c r="D6" s="8"/>
      <c r="E6" s="9"/>
    </row>
    <row r="7" spans="2:5" x14ac:dyDescent="0.25">
      <c r="B7" s="10"/>
      <c r="C7" s="11" t="s">
        <v>184</v>
      </c>
      <c r="D7" s="62">
        <v>850</v>
      </c>
      <c r="E7" s="12"/>
    </row>
    <row r="8" spans="2:5" x14ac:dyDescent="0.25">
      <c r="B8" s="10"/>
      <c r="C8" s="11" t="s">
        <v>185</v>
      </c>
      <c r="D8" s="158">
        <v>350</v>
      </c>
      <c r="E8" s="12"/>
    </row>
    <row r="9" spans="2:5" x14ac:dyDescent="0.25">
      <c r="B9" s="10"/>
      <c r="C9" s="11" t="s">
        <v>181</v>
      </c>
      <c r="D9" s="86">
        <v>0.1</v>
      </c>
      <c r="E9" s="12"/>
    </row>
    <row r="10" spans="2:5" x14ac:dyDescent="0.25">
      <c r="B10" s="10"/>
      <c r="C10" s="11" t="s">
        <v>182</v>
      </c>
      <c r="D10" s="86">
        <v>0.06</v>
      </c>
      <c r="E10" s="12"/>
    </row>
    <row r="11" spans="2:5" x14ac:dyDescent="0.25">
      <c r="B11" s="10"/>
      <c r="C11" s="11" t="s">
        <v>183</v>
      </c>
      <c r="D11" s="141">
        <v>30</v>
      </c>
      <c r="E11" s="12"/>
    </row>
    <row r="12" spans="2:5" x14ac:dyDescent="0.25">
      <c r="B12" s="10"/>
      <c r="C12" s="11" t="s">
        <v>186</v>
      </c>
      <c r="D12" s="86">
        <v>7.0000000000000007E-2</v>
      </c>
      <c r="E12" s="12"/>
    </row>
    <row r="13" spans="2:5" x14ac:dyDescent="0.25">
      <c r="B13" s="10"/>
      <c r="C13" s="11" t="s">
        <v>187</v>
      </c>
      <c r="D13" s="141">
        <v>25</v>
      </c>
      <c r="E13" s="12"/>
    </row>
    <row r="14" spans="2:5" ht="15.6" thickBot="1" x14ac:dyDescent="0.3">
      <c r="B14" s="27"/>
      <c r="C14" s="28"/>
      <c r="D14" s="29"/>
      <c r="E14" s="30"/>
    </row>
    <row r="15" spans="2:5" x14ac:dyDescent="0.25">
      <c r="C15" s="2"/>
    </row>
    <row r="16" spans="2:5" ht="15.6" x14ac:dyDescent="0.3">
      <c r="C16" s="37" t="s">
        <v>1</v>
      </c>
    </row>
    <row r="17" spans="2:5" ht="15.6" thickBot="1" x14ac:dyDescent="0.3">
      <c r="C17" s="2"/>
      <c r="D17" s="52"/>
    </row>
    <row r="18" spans="2:5" s="2" customFormat="1" x14ac:dyDescent="0.25">
      <c r="B18" s="32"/>
      <c r="C18" s="33"/>
      <c r="D18" s="33"/>
      <c r="E18" s="34"/>
    </row>
    <row r="19" spans="2:5" s="2" customFormat="1" x14ac:dyDescent="0.25">
      <c r="B19" s="35"/>
      <c r="C19" s="15" t="s">
        <v>188</v>
      </c>
      <c r="D19" s="107">
        <f>FV(D9/12,D11*12,-D7)</f>
        <v>1921414.7360766451</v>
      </c>
      <c r="E19" s="19"/>
    </row>
    <row r="20" spans="2:5" s="2" customFormat="1" x14ac:dyDescent="0.25">
      <c r="B20" s="35"/>
      <c r="C20" s="15" t="s">
        <v>189</v>
      </c>
      <c r="D20" s="107">
        <f>FV(D10/12,D11*12,-D8)</f>
        <v>351580.26485840214</v>
      </c>
      <c r="E20" s="19"/>
    </row>
    <row r="21" spans="2:5" s="2" customFormat="1" x14ac:dyDescent="0.25">
      <c r="B21" s="35"/>
      <c r="C21" s="15" t="s">
        <v>190</v>
      </c>
      <c r="D21" s="107">
        <f>D19+D20</f>
        <v>2272995.0009350474</v>
      </c>
      <c r="E21" s="19"/>
    </row>
    <row r="22" spans="2:5" s="2" customFormat="1" ht="15.6" x14ac:dyDescent="0.3">
      <c r="B22" s="35"/>
      <c r="C22" s="15"/>
      <c r="D22" s="160"/>
      <c r="E22" s="19"/>
    </row>
    <row r="23" spans="2:5" s="2" customFormat="1" ht="15.6" x14ac:dyDescent="0.3">
      <c r="B23" s="35"/>
      <c r="C23" s="15" t="s">
        <v>191</v>
      </c>
      <c r="D23" s="40">
        <f>PMT(D12/12,D13*12,-D21)</f>
        <v>16065.055821711692</v>
      </c>
      <c r="E23" s="19"/>
    </row>
    <row r="24" spans="2:5" s="2" customFormat="1" ht="15.6" thickBot="1" x14ac:dyDescent="0.3">
      <c r="B24" s="36"/>
      <c r="C24" s="17"/>
      <c r="D24" s="17"/>
      <c r="E24" s="21"/>
    </row>
    <row r="25" spans="2:5" s="2" customFormat="1" x14ac:dyDescent="0.25">
      <c r="E25" s="3"/>
    </row>
    <row r="26" spans="2:5" s="2" customFormat="1" x14ac:dyDescent="0.25">
      <c r="E26" s="3"/>
    </row>
    <row r="30" spans="2:5" x14ac:dyDescent="0.25">
      <c r="D30" s="313"/>
    </row>
  </sheetData>
  <phoneticPr fontId="0" type="noConversion"/>
  <pageMargins left="0.75" right="0.75" top="1" bottom="1" header="0.5" footer="0.5"/>
  <pageSetup orientation="portrait" horizont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1:E20"/>
  <sheetViews>
    <sheetView workbookViewId="0">
      <selection activeCell="C2" sqref="C2"/>
    </sheetView>
  </sheetViews>
  <sheetFormatPr defaultRowHeight="15" x14ac:dyDescent="0.25"/>
  <cols>
    <col min="2" max="2" width="3.109375" customWidth="1"/>
    <col min="3" max="3" width="28.33203125" customWidth="1"/>
    <col min="4" max="4" width="11.109375" style="2" customWidth="1"/>
    <col min="5" max="5" width="3.109375" style="3" customWidth="1"/>
  </cols>
  <sheetData>
    <row r="1" spans="2:5" ht="17.399999999999999" x14ac:dyDescent="0.3">
      <c r="C1" s="1" t="s">
        <v>253</v>
      </c>
    </row>
    <row r="2" spans="2:5" x14ac:dyDescent="0.25">
      <c r="C2" s="2" t="s">
        <v>43</v>
      </c>
    </row>
    <row r="4" spans="2:5" ht="15.6" x14ac:dyDescent="0.3">
      <c r="C4" s="37" t="s">
        <v>0</v>
      </c>
    </row>
    <row r="5" spans="2:5" ht="16.2" thickBot="1" x14ac:dyDescent="0.35">
      <c r="C5" s="4"/>
      <c r="D5" s="5"/>
    </row>
    <row r="6" spans="2:5" ht="15.6" x14ac:dyDescent="0.3">
      <c r="B6" s="6"/>
      <c r="C6" s="7"/>
      <c r="D6" s="8"/>
      <c r="E6" s="9"/>
    </row>
    <row r="7" spans="2:5" x14ac:dyDescent="0.25">
      <c r="B7" s="10"/>
      <c r="C7" s="11" t="s">
        <v>145</v>
      </c>
      <c r="D7" s="62">
        <v>1</v>
      </c>
      <c r="E7" s="12"/>
    </row>
    <row r="8" spans="2:5" x14ac:dyDescent="0.25">
      <c r="B8" s="10"/>
      <c r="C8" s="11" t="s">
        <v>48</v>
      </c>
      <c r="D8" s="62">
        <v>4</v>
      </c>
      <c r="E8" s="12"/>
    </row>
    <row r="9" spans="2:5" x14ac:dyDescent="0.25">
      <c r="B9" s="10"/>
      <c r="C9" s="11" t="s">
        <v>147</v>
      </c>
      <c r="D9" s="144">
        <v>1</v>
      </c>
      <c r="E9" s="12"/>
    </row>
    <row r="10" spans="2:5" ht="15.6" thickBot="1" x14ac:dyDescent="0.3">
      <c r="B10" s="27"/>
      <c r="C10" s="28"/>
      <c r="D10" s="43"/>
      <c r="E10" s="30"/>
    </row>
    <row r="11" spans="2:5" x14ac:dyDescent="0.25">
      <c r="C11" s="2"/>
    </row>
    <row r="12" spans="2:5" ht="15.6" x14ac:dyDescent="0.3">
      <c r="C12" s="37" t="s">
        <v>1</v>
      </c>
    </row>
    <row r="13" spans="2:5" ht="16.2" thickBot="1" x14ac:dyDescent="0.35">
      <c r="C13" s="4"/>
    </row>
    <row r="14" spans="2:5" x14ac:dyDescent="0.25">
      <c r="B14" s="48"/>
      <c r="C14" s="33"/>
      <c r="D14" s="33"/>
      <c r="E14" s="34"/>
    </row>
    <row r="15" spans="2:5" x14ac:dyDescent="0.25">
      <c r="B15" s="14"/>
      <c r="C15" s="15" t="s">
        <v>146</v>
      </c>
      <c r="D15" s="78">
        <f>RATE(D9,0,D7,-D8)</f>
        <v>3.0000000000000004</v>
      </c>
      <c r="E15" s="19"/>
    </row>
    <row r="16" spans="2:5" x14ac:dyDescent="0.25">
      <c r="B16" s="14"/>
      <c r="C16" s="15"/>
      <c r="D16" s="145"/>
      <c r="E16" s="19"/>
    </row>
    <row r="17" spans="2:5" x14ac:dyDescent="0.25">
      <c r="B17" s="14"/>
      <c r="C17" s="15" t="s">
        <v>149</v>
      </c>
      <c r="D17" s="78">
        <f>NOMINAL(D15,4)</f>
        <v>1.6568542494923797</v>
      </c>
      <c r="E17" s="19"/>
    </row>
    <row r="18" spans="2:5" x14ac:dyDescent="0.25">
      <c r="B18" s="14"/>
      <c r="C18" s="15"/>
      <c r="D18" s="15"/>
      <c r="E18" s="19"/>
    </row>
    <row r="19" spans="2:5" ht="15.6" x14ac:dyDescent="0.3">
      <c r="B19" s="14"/>
      <c r="C19" s="15" t="s">
        <v>148</v>
      </c>
      <c r="D19" s="53">
        <f>D17/4</f>
        <v>0.41421356237309492</v>
      </c>
      <c r="E19" s="19"/>
    </row>
    <row r="20" spans="2:5" ht="15.6" thickBot="1" x14ac:dyDescent="0.3">
      <c r="B20" s="16"/>
      <c r="C20" s="17"/>
      <c r="D20" s="70"/>
      <c r="E20" s="21"/>
    </row>
  </sheetData>
  <phoneticPr fontId="0" type="noConversion"/>
  <pageMargins left="0.75" right="0.75" top="1" bottom="1" header="0.5" footer="0.5"/>
  <pageSetup orientation="portrait" horizont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E22"/>
  <sheetViews>
    <sheetView workbookViewId="0">
      <selection activeCell="C2" sqref="C2"/>
    </sheetView>
  </sheetViews>
  <sheetFormatPr defaultRowHeight="15" x14ac:dyDescent="0.25"/>
  <cols>
    <col min="2" max="2" width="3.109375" customWidth="1"/>
    <col min="3" max="3" width="28" customWidth="1"/>
    <col min="4" max="4" width="14.6640625" style="2" customWidth="1"/>
    <col min="5" max="5" width="3.109375" style="3" customWidth="1"/>
  </cols>
  <sheetData>
    <row r="1" spans="2:5" ht="17.399999999999999" x14ac:dyDescent="0.3">
      <c r="C1" s="1" t="s">
        <v>253</v>
      </c>
    </row>
    <row r="2" spans="2:5" x14ac:dyDescent="0.25">
      <c r="C2" s="2" t="s">
        <v>44</v>
      </c>
    </row>
    <row r="4" spans="2:5" ht="15.6" x14ac:dyDescent="0.3">
      <c r="C4" s="37" t="s">
        <v>0</v>
      </c>
    </row>
    <row r="5" spans="2:5" ht="16.2" thickBot="1" x14ac:dyDescent="0.35">
      <c r="C5" s="4"/>
      <c r="D5" s="5"/>
    </row>
    <row r="6" spans="2:5" ht="15.6" x14ac:dyDescent="0.3">
      <c r="B6" s="6"/>
      <c r="C6" s="7"/>
      <c r="D6" s="8"/>
      <c r="E6" s="9"/>
    </row>
    <row r="7" spans="2:5" x14ac:dyDescent="0.25">
      <c r="B7" s="10"/>
      <c r="C7" s="11" t="s">
        <v>58</v>
      </c>
      <c r="D7" s="62">
        <v>65000</v>
      </c>
      <c r="E7" s="12"/>
    </row>
    <row r="8" spans="2:5" x14ac:dyDescent="0.25">
      <c r="B8" s="10"/>
      <c r="C8" s="11"/>
      <c r="D8" s="62"/>
      <c r="E8" s="12"/>
    </row>
    <row r="9" spans="2:5" x14ac:dyDescent="0.25">
      <c r="B9" s="10"/>
      <c r="C9" s="11" t="s">
        <v>59</v>
      </c>
      <c r="D9" s="62">
        <v>125000</v>
      </c>
      <c r="E9" s="12"/>
    </row>
    <row r="10" spans="2:5" x14ac:dyDescent="0.25">
      <c r="B10" s="10"/>
      <c r="C10" s="11" t="s">
        <v>14</v>
      </c>
      <c r="D10" s="61">
        <v>6</v>
      </c>
      <c r="E10" s="12"/>
    </row>
    <row r="11" spans="2:5" x14ac:dyDescent="0.25">
      <c r="B11" s="10"/>
      <c r="C11" s="11"/>
      <c r="D11" s="61"/>
      <c r="E11" s="12"/>
    </row>
    <row r="12" spans="2:5" x14ac:dyDescent="0.25">
      <c r="B12" s="10"/>
      <c r="C12" s="11" t="s">
        <v>60</v>
      </c>
      <c r="D12" s="62">
        <v>205000</v>
      </c>
      <c r="E12" s="12"/>
    </row>
    <row r="13" spans="2:5" x14ac:dyDescent="0.25">
      <c r="B13" s="10"/>
      <c r="C13" s="11" t="s">
        <v>14</v>
      </c>
      <c r="D13" s="61">
        <v>10</v>
      </c>
      <c r="E13" s="12"/>
    </row>
    <row r="14" spans="2:5" ht="15.6" thickBot="1" x14ac:dyDescent="0.3">
      <c r="B14" s="27"/>
      <c r="C14" s="28"/>
      <c r="D14" s="43"/>
      <c r="E14" s="30"/>
    </row>
    <row r="15" spans="2:5" x14ac:dyDescent="0.25">
      <c r="C15" s="2"/>
    </row>
    <row r="16" spans="2:5" ht="15.6" x14ac:dyDescent="0.3">
      <c r="C16" s="37" t="s">
        <v>1</v>
      </c>
    </row>
    <row r="17" spans="2:5" ht="16.2" thickBot="1" x14ac:dyDescent="0.35">
      <c r="C17" s="4"/>
    </row>
    <row r="18" spans="2:5" x14ac:dyDescent="0.25">
      <c r="B18" s="48"/>
      <c r="C18" s="33"/>
      <c r="D18" s="33"/>
      <c r="E18" s="34"/>
    </row>
    <row r="19" spans="2:5" ht="15.6" x14ac:dyDescent="0.3">
      <c r="B19" s="14"/>
      <c r="C19" s="15" t="s">
        <v>169</v>
      </c>
      <c r="D19" s="74">
        <f>(D9/D7)^(1/D10)-1</f>
        <v>0.11514868362859176</v>
      </c>
      <c r="E19" s="19"/>
    </row>
    <row r="20" spans="2:5" x14ac:dyDescent="0.25">
      <c r="B20" s="14"/>
      <c r="C20" s="15"/>
      <c r="D20" s="15"/>
      <c r="E20" s="19"/>
    </row>
    <row r="21" spans="2:5" ht="15.6" x14ac:dyDescent="0.3">
      <c r="B21" s="14"/>
      <c r="C21" s="15" t="s">
        <v>60</v>
      </c>
      <c r="D21" s="53">
        <f>(D12/D7)^(1/D13)-1</f>
        <v>0.12171893362039099</v>
      </c>
      <c r="E21" s="19"/>
    </row>
    <row r="22" spans="2:5" ht="15.6" thickBot="1" x14ac:dyDescent="0.3">
      <c r="B22" s="16"/>
      <c r="C22" s="17"/>
      <c r="D22" s="70"/>
      <c r="E22" s="21"/>
    </row>
  </sheetData>
  <phoneticPr fontId="0" type="noConversion"/>
  <pageMargins left="0.75" right="0.75" top="1" bottom="1" header="0.5" footer="0.5"/>
  <pageSetup orientation="portrait" horizont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E20"/>
  <sheetViews>
    <sheetView workbookViewId="0">
      <selection activeCell="C2" sqref="C2"/>
    </sheetView>
  </sheetViews>
  <sheetFormatPr defaultRowHeight="15" x14ac:dyDescent="0.25"/>
  <cols>
    <col min="2" max="2" width="3.109375" customWidth="1"/>
    <col min="3" max="3" width="28" customWidth="1"/>
    <col min="4" max="4" width="17.5546875" style="2" bestFit="1" customWidth="1"/>
    <col min="5" max="5" width="3.109375" style="3" customWidth="1"/>
  </cols>
  <sheetData>
    <row r="1" spans="2:5" ht="17.399999999999999" x14ac:dyDescent="0.3">
      <c r="C1" s="1" t="s">
        <v>253</v>
      </c>
    </row>
    <row r="2" spans="2:5" x14ac:dyDescent="0.25">
      <c r="C2" s="2" t="s">
        <v>45</v>
      </c>
    </row>
    <row r="4" spans="2:5" ht="15.6" x14ac:dyDescent="0.3">
      <c r="C4" s="37" t="s">
        <v>0</v>
      </c>
    </row>
    <row r="5" spans="2:5" ht="16.2" thickBot="1" x14ac:dyDescent="0.35">
      <c r="C5" s="4"/>
      <c r="D5" s="5"/>
    </row>
    <row r="6" spans="2:5" ht="15.6" x14ac:dyDescent="0.3">
      <c r="B6" s="6"/>
      <c r="C6" s="7"/>
      <c r="D6" s="8"/>
      <c r="E6" s="9"/>
    </row>
    <row r="7" spans="2:5" x14ac:dyDescent="0.25">
      <c r="B7" s="10"/>
      <c r="C7" s="11" t="s">
        <v>266</v>
      </c>
      <c r="D7" s="62">
        <v>175000</v>
      </c>
      <c r="E7" s="12"/>
    </row>
    <row r="8" spans="2:5" x14ac:dyDescent="0.25">
      <c r="B8" s="10"/>
      <c r="C8" s="11" t="s">
        <v>267</v>
      </c>
      <c r="D8" s="165">
        <v>2</v>
      </c>
      <c r="E8" s="12"/>
    </row>
    <row r="9" spans="2:5" x14ac:dyDescent="0.25">
      <c r="B9" s="10"/>
      <c r="C9" s="11" t="s">
        <v>268</v>
      </c>
      <c r="D9" s="60">
        <v>3.7999999999999999E-2</v>
      </c>
      <c r="E9" s="12"/>
    </row>
    <row r="10" spans="2:5" x14ac:dyDescent="0.25">
      <c r="B10" s="10"/>
      <c r="C10" s="11" t="s">
        <v>5</v>
      </c>
      <c r="D10" s="60">
        <v>9.7000000000000003E-2</v>
      </c>
      <c r="E10" s="12"/>
    </row>
    <row r="11" spans="2:5" ht="15.6" thickBot="1" x14ac:dyDescent="0.3">
      <c r="B11" s="27"/>
      <c r="C11" s="28"/>
      <c r="D11" s="43"/>
      <c r="E11" s="30"/>
    </row>
    <row r="12" spans="2:5" x14ac:dyDescent="0.25">
      <c r="C12" s="2"/>
    </row>
    <row r="13" spans="2:5" ht="15.6" x14ac:dyDescent="0.3">
      <c r="C13" s="37" t="s">
        <v>1</v>
      </c>
    </row>
    <row r="14" spans="2:5" ht="16.2" thickBot="1" x14ac:dyDescent="0.35">
      <c r="C14" s="4"/>
    </row>
    <row r="15" spans="2:5" x14ac:dyDescent="0.25">
      <c r="B15" s="48"/>
      <c r="C15" s="33"/>
      <c r="D15" s="33"/>
      <c r="E15" s="34"/>
    </row>
    <row r="16" spans="2:5" ht="15.6" x14ac:dyDescent="0.3">
      <c r="B16" s="14"/>
      <c r="C16" s="15" t="s">
        <v>269</v>
      </c>
      <c r="D16" s="152"/>
      <c r="E16" s="19"/>
    </row>
    <row r="17" spans="2:5" x14ac:dyDescent="0.25">
      <c r="B17" s="14"/>
      <c r="C17" s="15" t="s">
        <v>270</v>
      </c>
      <c r="D17" s="107">
        <f>D7/(D10-D9)</f>
        <v>2966101.6949152541</v>
      </c>
      <c r="E17" s="19"/>
    </row>
    <row r="18" spans="2:5" x14ac:dyDescent="0.25">
      <c r="B18" s="14"/>
      <c r="C18" s="15"/>
      <c r="D18" s="159"/>
      <c r="E18" s="19"/>
    </row>
    <row r="19" spans="2:5" ht="15.6" x14ac:dyDescent="0.3">
      <c r="B19" s="14"/>
      <c r="C19" s="15" t="s">
        <v>273</v>
      </c>
      <c r="D19" s="110">
        <f>PV(D10,D8-1,0,-D17)</f>
        <v>2703830.168564498</v>
      </c>
      <c r="E19" s="19"/>
    </row>
    <row r="20" spans="2:5" ht="15.6" thickBot="1" x14ac:dyDescent="0.3">
      <c r="B20" s="16"/>
      <c r="C20" s="17"/>
      <c r="D20" s="70"/>
      <c r="E20" s="21"/>
    </row>
  </sheetData>
  <phoneticPr fontId="0" type="noConversion"/>
  <pageMargins left="0.75" right="0.75" top="1" bottom="1" header="0.5" footer="0.5"/>
  <pageSetup orientation="portrait" horizont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1:E15"/>
  <sheetViews>
    <sheetView workbookViewId="0">
      <selection activeCell="C2" sqref="C2"/>
    </sheetView>
  </sheetViews>
  <sheetFormatPr defaultRowHeight="15" x14ac:dyDescent="0.25"/>
  <cols>
    <col min="2" max="2" width="3.109375" customWidth="1"/>
    <col min="3" max="3" width="28" customWidth="1"/>
    <col min="4" max="4" width="17.5546875" style="2" bestFit="1" customWidth="1"/>
    <col min="5" max="5" width="3.109375" style="3" customWidth="1"/>
  </cols>
  <sheetData>
    <row r="1" spans="2:5" ht="17.399999999999999" x14ac:dyDescent="0.3">
      <c r="C1" s="1" t="s">
        <v>253</v>
      </c>
    </row>
    <row r="2" spans="2:5" x14ac:dyDescent="0.25">
      <c r="C2" s="2" t="s">
        <v>46</v>
      </c>
    </row>
    <row r="4" spans="2:5" ht="15.6" x14ac:dyDescent="0.3">
      <c r="C4" s="37" t="s">
        <v>0</v>
      </c>
    </row>
    <row r="5" spans="2:5" ht="16.2" thickBot="1" x14ac:dyDescent="0.35">
      <c r="C5" s="4"/>
      <c r="D5" s="5"/>
    </row>
    <row r="6" spans="2:5" ht="15.6" x14ac:dyDescent="0.3">
      <c r="B6" s="6"/>
      <c r="C6" s="7"/>
      <c r="D6" s="8"/>
      <c r="E6" s="9"/>
    </row>
    <row r="7" spans="2:5" x14ac:dyDescent="0.25">
      <c r="B7" s="10"/>
      <c r="C7" s="11" t="s">
        <v>271</v>
      </c>
      <c r="D7" s="142">
        <v>2.25</v>
      </c>
      <c r="E7" s="12"/>
    </row>
    <row r="8" spans="2:5" x14ac:dyDescent="0.25">
      <c r="B8" s="10"/>
      <c r="C8" s="11" t="s">
        <v>272</v>
      </c>
      <c r="D8" s="60">
        <v>3.7999999999999999E-2</v>
      </c>
      <c r="E8" s="12"/>
    </row>
    <row r="9" spans="2:5" ht="15.6" thickBot="1" x14ac:dyDescent="0.3">
      <c r="B9" s="27"/>
      <c r="C9" s="28"/>
      <c r="D9" s="43"/>
      <c r="E9" s="30"/>
    </row>
    <row r="10" spans="2:5" x14ac:dyDescent="0.25">
      <c r="C10" s="2"/>
    </row>
    <row r="11" spans="2:5" ht="15.6" x14ac:dyDescent="0.3">
      <c r="C11" s="37" t="s">
        <v>1</v>
      </c>
    </row>
    <row r="12" spans="2:5" ht="16.2" thickBot="1" x14ac:dyDescent="0.35">
      <c r="C12" s="4"/>
    </row>
    <row r="13" spans="2:5" x14ac:dyDescent="0.25">
      <c r="B13" s="48"/>
      <c r="C13" s="33"/>
      <c r="D13" s="33"/>
      <c r="E13" s="34"/>
    </row>
    <row r="14" spans="2:5" ht="15.6" x14ac:dyDescent="0.3">
      <c r="B14" s="14"/>
      <c r="C14" s="15" t="s">
        <v>273</v>
      </c>
      <c r="D14" s="110">
        <f>D7/(D8/4)</f>
        <v>236.84210526315789</v>
      </c>
      <c r="E14" s="19"/>
    </row>
    <row r="15" spans="2:5" ht="15.6" thickBot="1" x14ac:dyDescent="0.3">
      <c r="B15" s="16"/>
      <c r="C15" s="17"/>
      <c r="D15" s="70"/>
      <c r="E15" s="21"/>
    </row>
  </sheetData>
  <phoneticPr fontId="0" type="noConversion"/>
  <pageMargins left="0.75" right="0.75" top="1" bottom="1" header="0.5" footer="0.5"/>
  <pageSetup orientation="portrait" horizont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B1:E19"/>
  <sheetViews>
    <sheetView workbookViewId="0">
      <selection activeCell="C2" sqref="C2"/>
    </sheetView>
  </sheetViews>
  <sheetFormatPr defaultRowHeight="15" x14ac:dyDescent="0.25"/>
  <cols>
    <col min="2" max="2" width="3.109375" customWidth="1"/>
    <col min="3" max="3" width="28" customWidth="1"/>
    <col min="4" max="4" width="17.5546875" style="2" bestFit="1" customWidth="1"/>
    <col min="5" max="5" width="3.109375" style="3" customWidth="1"/>
  </cols>
  <sheetData>
    <row r="1" spans="2:5" ht="17.399999999999999" x14ac:dyDescent="0.3">
      <c r="C1" s="1" t="s">
        <v>253</v>
      </c>
    </row>
    <row r="2" spans="2:5" x14ac:dyDescent="0.25">
      <c r="C2" s="2" t="s">
        <v>433</v>
      </c>
    </row>
    <row r="4" spans="2:5" ht="15.6" x14ac:dyDescent="0.3">
      <c r="C4" s="37" t="s">
        <v>0</v>
      </c>
    </row>
    <row r="5" spans="2:5" ht="16.2" thickBot="1" x14ac:dyDescent="0.35">
      <c r="C5" s="4"/>
      <c r="D5" s="5"/>
    </row>
    <row r="6" spans="2:5" ht="15.6" x14ac:dyDescent="0.3">
      <c r="B6" s="6"/>
      <c r="C6" s="7"/>
      <c r="D6" s="8"/>
      <c r="E6" s="9"/>
    </row>
    <row r="7" spans="2:5" x14ac:dyDescent="0.25">
      <c r="B7" s="10"/>
      <c r="C7" s="11" t="s">
        <v>274</v>
      </c>
      <c r="D7" s="62">
        <v>7300</v>
      </c>
      <c r="E7" s="12"/>
    </row>
    <row r="8" spans="2:5" x14ac:dyDescent="0.25">
      <c r="B8" s="10"/>
      <c r="C8" s="11" t="s">
        <v>276</v>
      </c>
      <c r="D8" s="165">
        <v>3</v>
      </c>
      <c r="E8" s="12"/>
    </row>
    <row r="9" spans="2:5" x14ac:dyDescent="0.25">
      <c r="B9" s="10"/>
      <c r="C9" s="11" t="s">
        <v>275</v>
      </c>
      <c r="D9" s="141">
        <v>30</v>
      </c>
      <c r="E9" s="12"/>
    </row>
    <row r="10" spans="2:5" x14ac:dyDescent="0.25">
      <c r="B10" s="10"/>
      <c r="C10" s="11" t="s">
        <v>5</v>
      </c>
      <c r="D10" s="86">
        <v>7.0000000000000007E-2</v>
      </c>
      <c r="E10" s="12"/>
    </row>
    <row r="11" spans="2:5" ht="15.6" thickBot="1" x14ac:dyDescent="0.3">
      <c r="B11" s="27"/>
      <c r="C11" s="28"/>
      <c r="D11" s="43"/>
      <c r="E11" s="30"/>
    </row>
    <row r="12" spans="2:5" x14ac:dyDescent="0.25">
      <c r="C12" s="2"/>
    </row>
    <row r="13" spans="2:5" ht="15.6" x14ac:dyDescent="0.3">
      <c r="C13" s="37" t="s">
        <v>1</v>
      </c>
    </row>
    <row r="14" spans="2:5" ht="16.2" thickBot="1" x14ac:dyDescent="0.35">
      <c r="C14" s="4"/>
    </row>
    <row r="15" spans="2:5" x14ac:dyDescent="0.25">
      <c r="B15" s="48"/>
      <c r="C15" s="33"/>
      <c r="D15" s="33"/>
      <c r="E15" s="34"/>
    </row>
    <row r="16" spans="2:5" x14ac:dyDescent="0.25">
      <c r="B16" s="14"/>
      <c r="C16" s="15" t="str">
        <f>"Value at Year "&amp;D8-1</f>
        <v>Value at Year 2</v>
      </c>
      <c r="D16" s="192">
        <f>PV(D10,D9-D8+1,-D7)</f>
        <v>88600.912132269761</v>
      </c>
      <c r="E16" s="19"/>
    </row>
    <row r="17" spans="2:5" x14ac:dyDescent="0.25">
      <c r="B17" s="14"/>
      <c r="C17" s="15"/>
      <c r="D17" s="15"/>
      <c r="E17" s="19"/>
    </row>
    <row r="18" spans="2:5" ht="15.6" x14ac:dyDescent="0.3">
      <c r="B18" s="14"/>
      <c r="C18" s="15" t="s">
        <v>273</v>
      </c>
      <c r="D18" s="110">
        <f>PV(D10,D8-1,0,-D16)</f>
        <v>77387.468016656261</v>
      </c>
      <c r="E18" s="19"/>
    </row>
    <row r="19" spans="2:5" ht="15.6" thickBot="1" x14ac:dyDescent="0.3">
      <c r="B19" s="16"/>
      <c r="C19" s="17"/>
      <c r="D19" s="70"/>
      <c r="E19" s="21"/>
    </row>
  </sheetData>
  <phoneticPr fontId="0" type="noConversion"/>
  <pageMargins left="0.75" right="0.75" top="1" bottom="1" header="0.5" footer="0.5"/>
  <pageSetup orientation="portrait" horizont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25"/>
  <sheetViews>
    <sheetView workbookViewId="0">
      <selection activeCell="C2" sqref="C2"/>
    </sheetView>
  </sheetViews>
  <sheetFormatPr defaultRowHeight="15" x14ac:dyDescent="0.25"/>
  <cols>
    <col min="2" max="2" width="3.109375" customWidth="1"/>
    <col min="3" max="4" width="15.5546875" customWidth="1"/>
    <col min="5" max="5" width="3.109375" style="3" customWidth="1"/>
    <col min="6" max="8" width="9.109375" customWidth="1"/>
    <col min="9" max="9" width="9.109375" style="2" customWidth="1"/>
    <col min="10" max="10" width="9.109375" customWidth="1"/>
  </cols>
  <sheetData>
    <row r="1" spans="2:7" ht="17.399999999999999" x14ac:dyDescent="0.3">
      <c r="C1" s="1" t="s">
        <v>253</v>
      </c>
      <c r="D1" s="1"/>
    </row>
    <row r="2" spans="2:7" x14ac:dyDescent="0.25">
      <c r="C2" s="2" t="s">
        <v>6</v>
      </c>
      <c r="D2" s="2"/>
    </row>
    <row r="4" spans="2:7" ht="15.6" x14ac:dyDescent="0.3">
      <c r="C4" s="38" t="s">
        <v>0</v>
      </c>
      <c r="D4" s="38"/>
    </row>
    <row r="5" spans="2:7" ht="16.2" thickBot="1" x14ac:dyDescent="0.35">
      <c r="C5" s="4"/>
      <c r="D5" s="4"/>
    </row>
    <row r="6" spans="2:7" ht="15.6" x14ac:dyDescent="0.3">
      <c r="B6" s="6"/>
      <c r="C6" s="7"/>
      <c r="D6" s="7"/>
      <c r="E6" s="9"/>
    </row>
    <row r="7" spans="2:7" x14ac:dyDescent="0.25">
      <c r="B7" s="10"/>
      <c r="C7" s="11" t="s">
        <v>145</v>
      </c>
      <c r="D7" s="166">
        <v>1250</v>
      </c>
      <c r="E7" s="12"/>
    </row>
    <row r="8" spans="2:7" x14ac:dyDescent="0.25">
      <c r="B8" s="10"/>
      <c r="C8" s="11"/>
      <c r="D8" s="11"/>
      <c r="E8" s="12"/>
    </row>
    <row r="9" spans="2:7" x14ac:dyDescent="0.25">
      <c r="B9" s="10"/>
      <c r="C9" s="177" t="s">
        <v>254</v>
      </c>
      <c r="D9" s="177" t="s">
        <v>255</v>
      </c>
      <c r="E9" s="12"/>
    </row>
    <row r="10" spans="2:7" ht="15.6" x14ac:dyDescent="0.3">
      <c r="B10" s="153" t="s">
        <v>158</v>
      </c>
      <c r="C10" s="178">
        <v>10</v>
      </c>
      <c r="D10" s="180">
        <v>0.05</v>
      </c>
      <c r="E10" s="12"/>
    </row>
    <row r="11" spans="2:7" ht="15.6" x14ac:dyDescent="0.3">
      <c r="B11" s="153" t="s">
        <v>159</v>
      </c>
      <c r="C11" s="179">
        <v>10</v>
      </c>
      <c r="D11" s="86">
        <v>0.1</v>
      </c>
      <c r="E11" s="12"/>
    </row>
    <row r="12" spans="2:7" ht="15.6" x14ac:dyDescent="0.3">
      <c r="B12" s="153" t="s">
        <v>160</v>
      </c>
      <c r="C12" s="179">
        <v>20</v>
      </c>
      <c r="D12" s="86">
        <v>0.05</v>
      </c>
      <c r="E12" s="12"/>
      <c r="G12" s="31"/>
    </row>
    <row r="13" spans="2:7" ht="15.6" thickBot="1" x14ac:dyDescent="0.3">
      <c r="B13" s="27"/>
      <c r="C13" s="28"/>
      <c r="D13" s="28"/>
      <c r="E13" s="30"/>
    </row>
    <row r="14" spans="2:7" x14ac:dyDescent="0.25">
      <c r="C14" s="2"/>
      <c r="D14" s="2"/>
    </row>
    <row r="15" spans="2:7" ht="15.6" x14ac:dyDescent="0.3">
      <c r="C15" s="37" t="s">
        <v>1</v>
      </c>
      <c r="D15" s="37"/>
    </row>
    <row r="16" spans="2:7" ht="15.6" thickBot="1" x14ac:dyDescent="0.3">
      <c r="C16" s="2"/>
      <c r="D16" s="2"/>
    </row>
    <row r="17" spans="2:5" s="2" customFormat="1" x14ac:dyDescent="0.25">
      <c r="B17" s="32"/>
      <c r="C17" s="33"/>
      <c r="D17" s="33"/>
      <c r="E17" s="34"/>
    </row>
    <row r="18" spans="2:5" s="2" customFormat="1" ht="15.6" x14ac:dyDescent="0.3">
      <c r="B18" s="151" t="s">
        <v>158</v>
      </c>
      <c r="C18" s="15" t="s">
        <v>48</v>
      </c>
      <c r="D18" s="123">
        <f>FV(D10,C10,0,-D7)</f>
        <v>2036.118283471802</v>
      </c>
      <c r="E18" s="19"/>
    </row>
    <row r="19" spans="2:5" s="2" customFormat="1" ht="15.6" x14ac:dyDescent="0.3">
      <c r="B19" s="151"/>
      <c r="C19" s="15"/>
      <c r="D19" s="181"/>
      <c r="E19" s="19"/>
    </row>
    <row r="20" spans="2:5" s="2" customFormat="1" ht="15.6" x14ac:dyDescent="0.3">
      <c r="B20" s="151" t="s">
        <v>159</v>
      </c>
      <c r="C20" s="15" t="s">
        <v>48</v>
      </c>
      <c r="D20" s="123">
        <f>FV(D11,C11,0,-D7)</f>
        <v>3242.1780751250021</v>
      </c>
      <c r="E20" s="19"/>
    </row>
    <row r="21" spans="2:5" s="2" customFormat="1" ht="15.6" x14ac:dyDescent="0.3">
      <c r="B21" s="151"/>
      <c r="C21" s="15"/>
      <c r="D21" s="181"/>
      <c r="E21" s="19"/>
    </row>
    <row r="22" spans="2:5" s="2" customFormat="1" ht="15.6" x14ac:dyDescent="0.3">
      <c r="B22" s="151" t="s">
        <v>160</v>
      </c>
      <c r="C22" s="15" t="s">
        <v>48</v>
      </c>
      <c r="D22" s="123">
        <f>FV(D12,C12,0,-D7)</f>
        <v>3316.6221314305262</v>
      </c>
      <c r="E22" s="19"/>
    </row>
    <row r="23" spans="2:5" s="2" customFormat="1" ht="15.6" thickBot="1" x14ac:dyDescent="0.3">
      <c r="B23" s="36"/>
      <c r="C23" s="17"/>
      <c r="D23" s="17"/>
      <c r="E23" s="21"/>
    </row>
    <row r="24" spans="2:5" s="2" customFormat="1" x14ac:dyDescent="0.25">
      <c r="E24" s="3"/>
    </row>
    <row r="25" spans="2:5" s="2" customFormat="1" x14ac:dyDescent="0.25">
      <c r="E25" s="3"/>
    </row>
  </sheetData>
  <phoneticPr fontId="0" type="noConversion"/>
  <pageMargins left="0.75" right="0.75" top="1" bottom="1" header="0.5" footer="0.5"/>
  <pageSetup orientation="portrait" horizont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B1:E20"/>
  <sheetViews>
    <sheetView workbookViewId="0">
      <selection activeCell="C2" sqref="C2"/>
    </sheetView>
  </sheetViews>
  <sheetFormatPr defaultRowHeight="15" x14ac:dyDescent="0.25"/>
  <cols>
    <col min="2" max="2" width="3.109375" customWidth="1"/>
    <col min="3" max="3" width="28" customWidth="1"/>
    <col min="4" max="4" width="17.5546875" style="2" bestFit="1" customWidth="1"/>
    <col min="5" max="5" width="3.109375" style="3" customWidth="1"/>
  </cols>
  <sheetData>
    <row r="1" spans="2:5" ht="17.399999999999999" x14ac:dyDescent="0.3">
      <c r="C1" s="1" t="s">
        <v>253</v>
      </c>
    </row>
    <row r="2" spans="2:5" x14ac:dyDescent="0.25">
      <c r="C2" s="2" t="s">
        <v>47</v>
      </c>
    </row>
    <row r="4" spans="2:5" ht="15.6" x14ac:dyDescent="0.3">
      <c r="C4" s="37" t="s">
        <v>0</v>
      </c>
    </row>
    <row r="5" spans="2:5" ht="16.2" thickBot="1" x14ac:dyDescent="0.35">
      <c r="C5" s="4"/>
      <c r="D5" s="5"/>
    </row>
    <row r="6" spans="2:5" ht="15.6" x14ac:dyDescent="0.3">
      <c r="B6" s="6"/>
      <c r="C6" s="7"/>
      <c r="D6" s="8"/>
      <c r="E6" s="9"/>
    </row>
    <row r="7" spans="2:5" x14ac:dyDescent="0.25">
      <c r="B7" s="10"/>
      <c r="C7" s="11" t="s">
        <v>277</v>
      </c>
      <c r="D7" s="165">
        <v>15</v>
      </c>
      <c r="E7" s="12"/>
    </row>
    <row r="8" spans="2:5" x14ac:dyDescent="0.25">
      <c r="B8" s="10"/>
      <c r="C8" s="11" t="s">
        <v>274</v>
      </c>
      <c r="D8" s="62">
        <v>750</v>
      </c>
      <c r="E8" s="12"/>
    </row>
    <row r="9" spans="2:5" x14ac:dyDescent="0.25">
      <c r="B9" s="10"/>
      <c r="C9" s="11" t="s">
        <v>267</v>
      </c>
      <c r="D9" s="165">
        <v>6</v>
      </c>
      <c r="E9" s="12"/>
    </row>
    <row r="10" spans="2:5" x14ac:dyDescent="0.25">
      <c r="B10" s="10"/>
      <c r="C10" s="11" t="s">
        <v>278</v>
      </c>
      <c r="D10" s="86">
        <v>0.08</v>
      </c>
      <c r="E10" s="12"/>
    </row>
    <row r="11" spans="2:5" x14ac:dyDescent="0.25">
      <c r="B11" s="10"/>
      <c r="C11" s="11" t="s">
        <v>279</v>
      </c>
      <c r="D11" s="86">
        <v>0.11</v>
      </c>
      <c r="E11" s="12"/>
    </row>
    <row r="12" spans="2:5" ht="15.6" thickBot="1" x14ac:dyDescent="0.3">
      <c r="B12" s="27"/>
      <c r="C12" s="28"/>
      <c r="D12" s="43"/>
      <c r="E12" s="30"/>
    </row>
    <row r="13" spans="2:5" x14ac:dyDescent="0.25">
      <c r="C13" s="2"/>
    </row>
    <row r="14" spans="2:5" ht="15.6" x14ac:dyDescent="0.3">
      <c r="C14" s="37" t="s">
        <v>1</v>
      </c>
    </row>
    <row r="15" spans="2:5" ht="16.2" thickBot="1" x14ac:dyDescent="0.35">
      <c r="C15" s="4"/>
    </row>
    <row r="16" spans="2:5" x14ac:dyDescent="0.25">
      <c r="B16" s="48"/>
      <c r="C16" s="33"/>
      <c r="D16" s="33"/>
      <c r="E16" s="34"/>
    </row>
    <row r="17" spans="2:5" x14ac:dyDescent="0.25">
      <c r="B17" s="14"/>
      <c r="C17" s="15" t="str">
        <f>"Value at Year "&amp;D9-1</f>
        <v>Value at Year 5</v>
      </c>
      <c r="D17" s="192">
        <f>PV(D11,D7,-D8)</f>
        <v>5393.1521819296458</v>
      </c>
      <c r="E17" s="19"/>
    </row>
    <row r="18" spans="2:5" x14ac:dyDescent="0.25">
      <c r="B18" s="14"/>
      <c r="C18" s="15"/>
      <c r="D18" s="15"/>
      <c r="E18" s="19"/>
    </row>
    <row r="19" spans="2:5" ht="15.6" x14ac:dyDescent="0.3">
      <c r="B19" s="14"/>
      <c r="C19" s="15" t="s">
        <v>273</v>
      </c>
      <c r="D19" s="110">
        <f>PV(D10,D9-1,0,-D17)</f>
        <v>3670.4887540672389</v>
      </c>
      <c r="E19" s="19"/>
    </row>
    <row r="20" spans="2:5" ht="15.6" thickBot="1" x14ac:dyDescent="0.3">
      <c r="B20" s="16"/>
      <c r="C20" s="17"/>
      <c r="D20" s="70"/>
      <c r="E20" s="21"/>
    </row>
  </sheetData>
  <phoneticPr fontId="0" type="noConversion"/>
  <pageMargins left="0.75" right="0.75" top="1" bottom="1" header="0.5" footer="0.5"/>
  <pageSetup orientation="portrait" horizont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111112112123"/>
  <dimension ref="B1:E21"/>
  <sheetViews>
    <sheetView workbookViewId="0">
      <selection activeCell="C2" sqref="C2"/>
    </sheetView>
  </sheetViews>
  <sheetFormatPr defaultRowHeight="13.2" x14ac:dyDescent="0.25"/>
  <cols>
    <col min="2" max="2" width="3.109375" customWidth="1"/>
    <col min="3" max="3" width="42" customWidth="1"/>
    <col min="4" max="4" width="16.109375" bestFit="1" customWidth="1"/>
    <col min="5" max="5" width="3.109375" customWidth="1"/>
  </cols>
  <sheetData>
    <row r="1" spans="2:5" ht="17.399999999999999" x14ac:dyDescent="0.3">
      <c r="C1" s="1" t="s">
        <v>253</v>
      </c>
    </row>
    <row r="2" spans="2:5" ht="15" x14ac:dyDescent="0.25">
      <c r="C2" s="2" t="s">
        <v>280</v>
      </c>
    </row>
    <row r="4" spans="2:5" ht="15.6" x14ac:dyDescent="0.3">
      <c r="C4" s="37" t="s">
        <v>0</v>
      </c>
      <c r="D4" s="2"/>
      <c r="E4" s="2"/>
    </row>
    <row r="5" spans="2:5" ht="16.2" thickBot="1" x14ac:dyDescent="0.35">
      <c r="C5" s="4"/>
      <c r="D5" s="2"/>
      <c r="E5" s="2"/>
    </row>
    <row r="6" spans="2:5" ht="15.6" x14ac:dyDescent="0.3">
      <c r="B6" s="6"/>
      <c r="C6" s="7"/>
      <c r="D6" s="8"/>
      <c r="E6" s="81"/>
    </row>
    <row r="7" spans="2:5" ht="15" x14ac:dyDescent="0.25">
      <c r="B7" s="10"/>
      <c r="C7" s="11" t="s">
        <v>150</v>
      </c>
      <c r="D7" s="62">
        <v>725000</v>
      </c>
      <c r="E7" s="84"/>
    </row>
    <row r="8" spans="2:5" ht="15" x14ac:dyDescent="0.25">
      <c r="B8" s="10"/>
      <c r="C8" s="11" t="s">
        <v>281</v>
      </c>
      <c r="D8" s="86">
        <v>0.2</v>
      </c>
      <c r="E8" s="84"/>
    </row>
    <row r="9" spans="2:5" ht="15" x14ac:dyDescent="0.25">
      <c r="B9" s="10"/>
      <c r="C9" s="11" t="s">
        <v>67</v>
      </c>
      <c r="D9" s="60">
        <v>5.3999999999999999E-2</v>
      </c>
      <c r="E9" s="84"/>
    </row>
    <row r="10" spans="2:5" ht="15" x14ac:dyDescent="0.25">
      <c r="B10" s="10"/>
      <c r="C10" s="11" t="s">
        <v>376</v>
      </c>
      <c r="D10" s="61">
        <v>30</v>
      </c>
      <c r="E10" s="84"/>
    </row>
    <row r="11" spans="2:5" ht="15" x14ac:dyDescent="0.25">
      <c r="B11" s="10"/>
      <c r="C11" s="11" t="s">
        <v>377</v>
      </c>
      <c r="D11" s="61">
        <v>8</v>
      </c>
      <c r="E11" s="84"/>
    </row>
    <row r="12" spans="2:5" ht="15.6" thickBot="1" x14ac:dyDescent="0.3">
      <c r="B12" s="27"/>
      <c r="C12" s="28"/>
      <c r="D12" s="28"/>
      <c r="E12" s="87"/>
    </row>
    <row r="13" spans="2:5" ht="15" x14ac:dyDescent="0.25">
      <c r="C13" s="2"/>
      <c r="D13" s="2"/>
      <c r="E13" s="2"/>
    </row>
    <row r="14" spans="2:5" ht="15.6" x14ac:dyDescent="0.3">
      <c r="C14" s="37" t="s">
        <v>1</v>
      </c>
      <c r="D14" s="2"/>
      <c r="E14" s="2"/>
    </row>
    <row r="15" spans="2:5" ht="16.2" thickBot="1" x14ac:dyDescent="0.35">
      <c r="C15" s="4"/>
      <c r="D15" s="2"/>
      <c r="E15" s="2"/>
    </row>
    <row r="16" spans="2:5" s="2" customFormat="1" ht="15" x14ac:dyDescent="0.25">
      <c r="B16" s="32"/>
      <c r="C16" s="33"/>
      <c r="D16" s="33"/>
      <c r="E16" s="88"/>
    </row>
    <row r="17" spans="2:5" s="2" customFormat="1" ht="15" x14ac:dyDescent="0.25">
      <c r="B17" s="35"/>
      <c r="C17" s="15" t="s">
        <v>87</v>
      </c>
      <c r="D17" s="148">
        <f>D7*(1-D8)</f>
        <v>580000</v>
      </c>
      <c r="E17" s="92"/>
    </row>
    <row r="18" spans="2:5" s="2" customFormat="1" ht="15" x14ac:dyDescent="0.25">
      <c r="B18" s="35"/>
      <c r="C18" s="89" t="s">
        <v>289</v>
      </c>
      <c r="D18" s="208">
        <f>-PMT(D9/12,D10*12,D17)</f>
        <v>3256.8785928437633</v>
      </c>
      <c r="E18" s="92"/>
    </row>
    <row r="19" spans="2:5" s="2" customFormat="1" ht="15.6" x14ac:dyDescent="0.3">
      <c r="B19" s="35"/>
      <c r="C19" s="89"/>
      <c r="D19" s="41"/>
      <c r="E19" s="92"/>
    </row>
    <row r="20" spans="2:5" s="2" customFormat="1" ht="15.6" x14ac:dyDescent="0.3">
      <c r="B20" s="35"/>
      <c r="C20" s="89" t="s">
        <v>378</v>
      </c>
      <c r="D20" s="40">
        <f>PV(D9/12,(D10-D11)*12,-D18)</f>
        <v>502540.8728629062</v>
      </c>
      <c r="E20" s="92"/>
    </row>
    <row r="21" spans="2:5" s="2" customFormat="1" ht="15.6" thickBot="1" x14ac:dyDescent="0.3">
      <c r="B21" s="36"/>
      <c r="C21" s="17"/>
      <c r="D21" s="17"/>
      <c r="E21" s="98"/>
    </row>
  </sheetData>
  <phoneticPr fontId="0" type="noConversion"/>
  <pageMargins left="0.75" right="0.75" top="1" bottom="1" header="0.5" footer="0.5"/>
  <pageSetup orientation="portrait" horizont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B1:I23"/>
  <sheetViews>
    <sheetView workbookViewId="0">
      <selection activeCell="C2" sqref="C2"/>
    </sheetView>
  </sheetViews>
  <sheetFormatPr defaultRowHeight="15" x14ac:dyDescent="0.25"/>
  <cols>
    <col min="2" max="2" width="3.109375" customWidth="1"/>
    <col min="3" max="3" width="32.44140625" bestFit="1" customWidth="1"/>
    <col min="4" max="4" width="14.5546875" style="2" customWidth="1"/>
    <col min="5" max="5" width="3.109375" style="3" customWidth="1"/>
    <col min="6" max="8" width="9.109375" customWidth="1"/>
    <col min="9" max="9" width="9.109375" style="2" customWidth="1"/>
    <col min="10" max="10" width="9.109375" customWidth="1"/>
  </cols>
  <sheetData>
    <row r="1" spans="2:5" ht="17.399999999999999" x14ac:dyDescent="0.3">
      <c r="C1" s="1" t="s">
        <v>253</v>
      </c>
    </row>
    <row r="2" spans="2:5" x14ac:dyDescent="0.25">
      <c r="C2" s="2" t="s">
        <v>282</v>
      </c>
    </row>
    <row r="4" spans="2:5" ht="15.6" x14ac:dyDescent="0.3">
      <c r="C4" s="38" t="s">
        <v>0</v>
      </c>
    </row>
    <row r="5" spans="2:5" ht="16.2" thickBot="1" x14ac:dyDescent="0.35">
      <c r="C5" s="4"/>
      <c r="D5" s="5"/>
    </row>
    <row r="6" spans="2:5" ht="15.6" x14ac:dyDescent="0.3">
      <c r="B6" s="6"/>
      <c r="C6" s="7"/>
      <c r="D6" s="8"/>
      <c r="E6" s="9"/>
    </row>
    <row r="7" spans="2:5" x14ac:dyDescent="0.25">
      <c r="B7" s="10"/>
      <c r="C7" s="11" t="s">
        <v>380</v>
      </c>
      <c r="D7" s="138">
        <v>1.9900000000000001E-2</v>
      </c>
      <c r="E7" s="12"/>
    </row>
    <row r="8" spans="2:5" x14ac:dyDescent="0.25">
      <c r="B8" s="10"/>
      <c r="C8" s="11" t="s">
        <v>382</v>
      </c>
      <c r="D8" s="141">
        <v>6</v>
      </c>
      <c r="E8" s="12"/>
    </row>
    <row r="9" spans="2:5" x14ac:dyDescent="0.25">
      <c r="B9" s="10"/>
      <c r="C9" s="11" t="s">
        <v>283</v>
      </c>
      <c r="D9" s="99">
        <v>0.18</v>
      </c>
      <c r="E9" s="12"/>
    </row>
    <row r="10" spans="2:5" x14ac:dyDescent="0.25">
      <c r="B10" s="10"/>
      <c r="C10" s="11" t="s">
        <v>381</v>
      </c>
      <c r="D10" s="61">
        <v>6</v>
      </c>
      <c r="E10" s="12"/>
    </row>
    <row r="11" spans="2:5" x14ac:dyDescent="0.25">
      <c r="B11" s="10"/>
      <c r="C11" s="11" t="s">
        <v>284</v>
      </c>
      <c r="D11" s="62">
        <v>12400</v>
      </c>
      <c r="E11" s="12"/>
    </row>
    <row r="12" spans="2:5" ht="15.6" thickBot="1" x14ac:dyDescent="0.3">
      <c r="B12" s="27"/>
      <c r="C12" s="28"/>
      <c r="D12" s="29"/>
      <c r="E12" s="30"/>
    </row>
    <row r="13" spans="2:5" x14ac:dyDescent="0.25">
      <c r="C13" s="2"/>
    </row>
    <row r="14" spans="2:5" ht="15.6" x14ac:dyDescent="0.3">
      <c r="C14" s="37" t="s">
        <v>1</v>
      </c>
    </row>
    <row r="15" spans="2:5" ht="15.6" thickBot="1" x14ac:dyDescent="0.3">
      <c r="C15" s="2"/>
      <c r="D15" s="52"/>
    </row>
    <row r="16" spans="2:5" s="2" customFormat="1" x14ac:dyDescent="0.25">
      <c r="B16" s="32"/>
      <c r="C16" s="33"/>
      <c r="D16" s="33"/>
      <c r="E16" s="34"/>
    </row>
    <row r="17" spans="2:5" s="2" customFormat="1" x14ac:dyDescent="0.25">
      <c r="B17" s="35"/>
      <c r="C17" s="15" t="s">
        <v>454</v>
      </c>
      <c r="D17" s="211">
        <f>FV(D7/12,D8,,-D11)</f>
        <v>12523.892645336187</v>
      </c>
      <c r="E17" s="19"/>
    </row>
    <row r="18" spans="2:5" s="2" customFormat="1" x14ac:dyDescent="0.25">
      <c r="B18" s="35"/>
      <c r="C18" s="15" t="s">
        <v>455</v>
      </c>
      <c r="D18" s="211">
        <f>FV(D9/12,D10,,-D17)</f>
        <v>13694.166051383621</v>
      </c>
      <c r="E18" s="19"/>
    </row>
    <row r="19" spans="2:5" s="2" customFormat="1" x14ac:dyDescent="0.25">
      <c r="B19" s="35"/>
      <c r="C19" s="15"/>
      <c r="D19" s="159"/>
      <c r="E19" s="19"/>
    </row>
    <row r="20" spans="2:5" s="2" customFormat="1" ht="15.6" x14ac:dyDescent="0.3">
      <c r="B20" s="35"/>
      <c r="C20" s="15" t="s">
        <v>379</v>
      </c>
      <c r="D20" s="40">
        <f>D18-D11</f>
        <v>1294.1660513836214</v>
      </c>
      <c r="E20" s="19"/>
    </row>
    <row r="21" spans="2:5" s="2" customFormat="1" ht="15.6" thickBot="1" x14ac:dyDescent="0.3">
      <c r="B21" s="36"/>
      <c r="C21" s="17"/>
      <c r="D21" s="17"/>
      <c r="E21" s="21"/>
    </row>
    <row r="22" spans="2:5" s="2" customFormat="1" x14ac:dyDescent="0.25">
      <c r="E22" s="3"/>
    </row>
    <row r="23" spans="2:5" s="2" customFormat="1" x14ac:dyDescent="0.25">
      <c r="E23" s="3"/>
    </row>
  </sheetData>
  <phoneticPr fontId="0" type="noConversion"/>
  <pageMargins left="0.75" right="0.75" top="1" bottom="1" header="0.5" footer="0.5"/>
  <pageSetup orientation="portrait" horizontalDpi="3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B1:I17"/>
  <sheetViews>
    <sheetView workbookViewId="0">
      <selection activeCell="C2" sqref="C2"/>
    </sheetView>
  </sheetViews>
  <sheetFormatPr defaultRowHeight="15" x14ac:dyDescent="0.25"/>
  <cols>
    <col min="2" max="2" width="3.109375" customWidth="1"/>
    <col min="3" max="3" width="28" bestFit="1" customWidth="1"/>
    <col min="4" max="4" width="15.5546875" style="2" bestFit="1" customWidth="1"/>
    <col min="5" max="5" width="3.109375" style="3" customWidth="1"/>
    <col min="6" max="8" width="9.109375" customWidth="1"/>
    <col min="9" max="9" width="9.109375" style="2" customWidth="1"/>
    <col min="10" max="10" width="9.109375" customWidth="1"/>
  </cols>
  <sheetData>
    <row r="1" spans="2:5" ht="17.399999999999999" x14ac:dyDescent="0.3">
      <c r="C1" s="1" t="s">
        <v>253</v>
      </c>
    </row>
    <row r="2" spans="2:5" x14ac:dyDescent="0.25">
      <c r="C2" s="2" t="s">
        <v>285</v>
      </c>
    </row>
    <row r="4" spans="2:5" ht="15.6" x14ac:dyDescent="0.3">
      <c r="C4" s="38" t="s">
        <v>0</v>
      </c>
    </row>
    <row r="5" spans="2:5" ht="16.2" thickBot="1" x14ac:dyDescent="0.35">
      <c r="C5" s="4"/>
      <c r="D5" s="5"/>
    </row>
    <row r="6" spans="2:5" ht="15.6" x14ac:dyDescent="0.3">
      <c r="B6" s="6"/>
      <c r="C6" s="7"/>
      <c r="D6" s="8"/>
      <c r="E6" s="9"/>
    </row>
    <row r="7" spans="2:5" x14ac:dyDescent="0.25">
      <c r="B7" s="10"/>
      <c r="C7" s="11" t="s">
        <v>286</v>
      </c>
      <c r="D7" s="146">
        <v>2750000</v>
      </c>
      <c r="E7" s="12"/>
    </row>
    <row r="8" spans="2:5" x14ac:dyDescent="0.25">
      <c r="B8" s="10"/>
      <c r="C8" s="11" t="s">
        <v>287</v>
      </c>
      <c r="D8" s="62">
        <v>273000</v>
      </c>
      <c r="E8" s="12"/>
    </row>
    <row r="9" spans="2:5" ht="15.6" thickBot="1" x14ac:dyDescent="0.3">
      <c r="B9" s="27"/>
      <c r="C9" s="28"/>
      <c r="D9" s="29"/>
      <c r="E9" s="30"/>
    </row>
    <row r="10" spans="2:5" x14ac:dyDescent="0.25">
      <c r="C10" s="2"/>
    </row>
    <row r="11" spans="2:5" ht="15.6" x14ac:dyDescent="0.3">
      <c r="C11" s="37" t="s">
        <v>1</v>
      </c>
    </row>
    <row r="12" spans="2:5" ht="15.6" thickBot="1" x14ac:dyDescent="0.3">
      <c r="C12" s="2"/>
      <c r="D12" s="52"/>
    </row>
    <row r="13" spans="2:5" s="2" customFormat="1" x14ac:dyDescent="0.25">
      <c r="B13" s="32"/>
      <c r="C13" s="33"/>
      <c r="D13" s="33"/>
      <c r="E13" s="34"/>
    </row>
    <row r="14" spans="2:5" s="2" customFormat="1" ht="15.6" x14ac:dyDescent="0.3">
      <c r="B14" s="35"/>
      <c r="C14" s="15" t="s">
        <v>5</v>
      </c>
      <c r="D14" s="53">
        <f>D8/D7</f>
        <v>9.9272727272727276E-2</v>
      </c>
      <c r="E14" s="19"/>
    </row>
    <row r="15" spans="2:5" s="2" customFormat="1" ht="15.6" thickBot="1" x14ac:dyDescent="0.3">
      <c r="B15" s="36"/>
      <c r="C15" s="17"/>
      <c r="D15" s="17"/>
      <c r="E15" s="21"/>
    </row>
    <row r="16" spans="2:5" s="2" customFormat="1" x14ac:dyDescent="0.25">
      <c r="E16" s="3"/>
    </row>
    <row r="17" spans="5:5" s="2" customFormat="1" x14ac:dyDescent="0.25">
      <c r="E17" s="3"/>
    </row>
  </sheetData>
  <phoneticPr fontId="0" type="noConversion"/>
  <pageMargins left="0.75" right="0.75" top="1" bottom="1" header="0.5" footer="0.5"/>
  <pageSetup orientation="portrait" horizont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111112112124"/>
  <dimension ref="B1:E20"/>
  <sheetViews>
    <sheetView workbookViewId="0">
      <selection activeCell="C2" sqref="C2"/>
    </sheetView>
  </sheetViews>
  <sheetFormatPr defaultRowHeight="13.2" x14ac:dyDescent="0.25"/>
  <cols>
    <col min="2" max="2" width="3.109375" customWidth="1"/>
    <col min="3" max="3" width="30.109375" customWidth="1"/>
    <col min="4" max="4" width="20.88671875" bestFit="1" customWidth="1"/>
    <col min="5" max="5" width="3.109375" customWidth="1"/>
  </cols>
  <sheetData>
    <row r="1" spans="2:5" ht="17.399999999999999" x14ac:dyDescent="0.3">
      <c r="C1" s="1" t="s">
        <v>253</v>
      </c>
    </row>
    <row r="2" spans="2:5" ht="15" x14ac:dyDescent="0.25">
      <c r="C2" s="2" t="s">
        <v>288</v>
      </c>
    </row>
    <row r="4" spans="2:5" ht="15.6" x14ac:dyDescent="0.3">
      <c r="C4" s="37" t="s">
        <v>0</v>
      </c>
      <c r="D4" s="2"/>
      <c r="E4" s="2"/>
    </row>
    <row r="5" spans="2:5" ht="16.2" thickBot="1" x14ac:dyDescent="0.35">
      <c r="C5" s="4"/>
      <c r="D5" s="2"/>
      <c r="E5" s="2"/>
    </row>
    <row r="6" spans="2:5" ht="15.6" x14ac:dyDescent="0.3">
      <c r="B6" s="6"/>
      <c r="C6" s="7"/>
      <c r="D6" s="8"/>
      <c r="E6" s="81"/>
    </row>
    <row r="7" spans="2:5" ht="15" x14ac:dyDescent="0.25">
      <c r="B7" s="10"/>
      <c r="C7" s="11" t="s">
        <v>290</v>
      </c>
      <c r="D7" s="62">
        <v>153000</v>
      </c>
      <c r="E7" s="84"/>
    </row>
    <row r="8" spans="2:5" ht="15" x14ac:dyDescent="0.25">
      <c r="B8" s="10"/>
      <c r="C8" s="11" t="s">
        <v>291</v>
      </c>
      <c r="D8" s="166">
        <v>41000</v>
      </c>
      <c r="E8" s="84"/>
    </row>
    <row r="9" spans="2:5" ht="15" x14ac:dyDescent="0.25">
      <c r="B9" s="10"/>
      <c r="C9" s="11" t="s">
        <v>292</v>
      </c>
      <c r="D9" s="141">
        <v>5</v>
      </c>
      <c r="E9" s="84"/>
    </row>
    <row r="10" spans="2:5" ht="15" x14ac:dyDescent="0.25">
      <c r="B10" s="10"/>
      <c r="C10" s="11" t="s">
        <v>294</v>
      </c>
      <c r="D10" s="86">
        <v>0.04</v>
      </c>
      <c r="E10" s="84"/>
    </row>
    <row r="11" spans="2:5" ht="15" x14ac:dyDescent="0.25">
      <c r="B11" s="10"/>
      <c r="C11" s="11" t="s">
        <v>5</v>
      </c>
      <c r="D11" s="86">
        <v>0.1</v>
      </c>
      <c r="E11" s="84"/>
    </row>
    <row r="12" spans="2:5" ht="15.6" thickBot="1" x14ac:dyDescent="0.3">
      <c r="B12" s="27"/>
      <c r="C12" s="28"/>
      <c r="D12" s="28"/>
      <c r="E12" s="87"/>
    </row>
    <row r="13" spans="2:5" ht="15" x14ac:dyDescent="0.25">
      <c r="C13" s="2"/>
      <c r="D13" s="2"/>
      <c r="E13" s="2"/>
    </row>
    <row r="14" spans="2:5" ht="15.6" x14ac:dyDescent="0.3">
      <c r="C14" s="37" t="s">
        <v>1</v>
      </c>
      <c r="D14" s="2"/>
      <c r="E14" s="2"/>
    </row>
    <row r="15" spans="2:5" ht="16.2" thickBot="1" x14ac:dyDescent="0.35">
      <c r="C15" s="4"/>
      <c r="D15" s="2"/>
      <c r="E15" s="2"/>
    </row>
    <row r="16" spans="2:5" s="2" customFormat="1" ht="15" x14ac:dyDescent="0.25">
      <c r="B16" s="32"/>
      <c r="C16" s="33"/>
      <c r="D16" s="33"/>
      <c r="E16" s="88"/>
    </row>
    <row r="17" spans="2:5" s="2" customFormat="1" ht="15.6" x14ac:dyDescent="0.3">
      <c r="B17" s="35"/>
      <c r="C17" s="15" t="s">
        <v>293</v>
      </c>
      <c r="D17" s="193">
        <f>D8*((1/(D11-D10))-((1/(D11-D10))*((1+D10)/(1+D11))^D9))</f>
        <v>167112.08459432106</v>
      </c>
      <c r="E17" s="92"/>
    </row>
    <row r="18" spans="2:5" s="2" customFormat="1" ht="15" x14ac:dyDescent="0.25">
      <c r="B18" s="35"/>
      <c r="C18" s="15"/>
      <c r="D18" s="15"/>
      <c r="E18" s="92"/>
    </row>
    <row r="19" spans="2:5" s="2" customFormat="1" ht="15.6" x14ac:dyDescent="0.3">
      <c r="B19" s="35"/>
      <c r="C19" s="314" t="str">
        <f>IF(D17&gt;D7,"The company should do the revision.","The company should not do the revision.")</f>
        <v>The company should do the revision.</v>
      </c>
      <c r="D19" s="314"/>
      <c r="E19" s="92"/>
    </row>
    <row r="20" spans="2:5" s="2" customFormat="1" ht="15.6" thickBot="1" x14ac:dyDescent="0.3">
      <c r="B20" s="36"/>
      <c r="C20" s="17"/>
      <c r="D20" s="17"/>
      <c r="E20" s="98"/>
    </row>
  </sheetData>
  <mergeCells count="1">
    <mergeCell ref="C19:D19"/>
  </mergeCells>
  <phoneticPr fontId="0" type="noConversion"/>
  <pageMargins left="0.75" right="0.75" top="1" bottom="1" header="0.5" footer="0.5"/>
  <pageSetup orientation="portrait" horizont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111112112125"/>
  <dimension ref="B1:E24"/>
  <sheetViews>
    <sheetView workbookViewId="0">
      <selection activeCell="C2" sqref="C2"/>
    </sheetView>
  </sheetViews>
  <sheetFormatPr defaultRowHeight="13.2" x14ac:dyDescent="0.25"/>
  <cols>
    <col min="2" max="2" width="3.109375" customWidth="1"/>
    <col min="3" max="3" width="30.109375" customWidth="1"/>
    <col min="4" max="4" width="20.88671875" bestFit="1" customWidth="1"/>
    <col min="5" max="5" width="3.109375" customWidth="1"/>
  </cols>
  <sheetData>
    <row r="1" spans="2:5" ht="17.399999999999999" x14ac:dyDescent="0.3">
      <c r="C1" s="1" t="s">
        <v>253</v>
      </c>
    </row>
    <row r="2" spans="2:5" ht="15" x14ac:dyDescent="0.25">
      <c r="C2" s="2" t="s">
        <v>295</v>
      </c>
    </row>
    <row r="4" spans="2:5" ht="15.6" x14ac:dyDescent="0.3">
      <c r="C4" s="37" t="s">
        <v>0</v>
      </c>
      <c r="D4" s="2"/>
      <c r="E4" s="2"/>
    </row>
    <row r="5" spans="2:5" ht="16.2" thickBot="1" x14ac:dyDescent="0.35">
      <c r="C5" s="4"/>
      <c r="D5" s="2"/>
      <c r="E5" s="2"/>
    </row>
    <row r="6" spans="2:5" ht="15.6" x14ac:dyDescent="0.3">
      <c r="B6" s="6"/>
      <c r="C6" s="7"/>
      <c r="D6" s="8"/>
      <c r="E6" s="81"/>
    </row>
    <row r="7" spans="2:5" ht="15" x14ac:dyDescent="0.25">
      <c r="B7" s="10"/>
      <c r="C7" s="11" t="s">
        <v>296</v>
      </c>
      <c r="D7" s="62">
        <v>74500</v>
      </c>
      <c r="E7" s="84"/>
    </row>
    <row r="8" spans="2:5" ht="15" x14ac:dyDescent="0.25">
      <c r="B8" s="10"/>
      <c r="C8" s="11" t="s">
        <v>383</v>
      </c>
      <c r="D8" s="86">
        <v>0.05</v>
      </c>
      <c r="E8" s="84"/>
    </row>
    <row r="9" spans="2:5" ht="15" x14ac:dyDescent="0.25">
      <c r="B9" s="10"/>
      <c r="C9" s="11" t="s">
        <v>298</v>
      </c>
      <c r="D9" s="60">
        <v>9.4E-2</v>
      </c>
      <c r="E9" s="84"/>
    </row>
    <row r="10" spans="2:5" ht="15" x14ac:dyDescent="0.25">
      <c r="B10" s="10"/>
      <c r="C10" s="11" t="s">
        <v>299</v>
      </c>
      <c r="D10" s="60">
        <v>3.6999999999999998E-2</v>
      </c>
      <c r="E10" s="84"/>
    </row>
    <row r="11" spans="2:5" ht="15" x14ac:dyDescent="0.25">
      <c r="B11" s="10"/>
      <c r="C11" s="11" t="s">
        <v>300</v>
      </c>
      <c r="D11" s="141">
        <v>40</v>
      </c>
      <c r="E11" s="84"/>
    </row>
    <row r="12" spans="2:5" ht="15.6" thickBot="1" x14ac:dyDescent="0.3">
      <c r="B12" s="27"/>
      <c r="C12" s="28"/>
      <c r="D12" s="28"/>
      <c r="E12" s="87"/>
    </row>
    <row r="13" spans="2:5" ht="15" x14ac:dyDescent="0.25">
      <c r="C13" s="2"/>
      <c r="D13" s="2"/>
      <c r="E13" s="2"/>
    </row>
    <row r="14" spans="2:5" ht="15.6" x14ac:dyDescent="0.3">
      <c r="C14" s="37" t="s">
        <v>1</v>
      </c>
      <c r="D14" s="2"/>
      <c r="E14" s="2"/>
    </row>
    <row r="15" spans="2:5" ht="16.2" thickBot="1" x14ac:dyDescent="0.35">
      <c r="C15" s="4"/>
      <c r="D15" s="2"/>
      <c r="E15" s="2"/>
    </row>
    <row r="16" spans="2:5" s="2" customFormat="1" ht="15" x14ac:dyDescent="0.25">
      <c r="B16" s="32"/>
      <c r="C16" s="33"/>
      <c r="D16" s="33"/>
      <c r="E16" s="88"/>
    </row>
    <row r="17" spans="2:5" s="2" customFormat="1" ht="15" x14ac:dyDescent="0.25">
      <c r="B17" s="35"/>
      <c r="C17" s="15" t="s">
        <v>301</v>
      </c>
      <c r="D17" s="192">
        <f>D7*(1+D10)</f>
        <v>77256.5</v>
      </c>
      <c r="E17" s="92"/>
    </row>
    <row r="18" spans="2:5" s="2" customFormat="1" ht="15" x14ac:dyDescent="0.25">
      <c r="B18" s="35"/>
      <c r="C18" s="15"/>
      <c r="D18" s="192"/>
      <c r="E18" s="92"/>
    </row>
    <row r="19" spans="2:5" s="2" customFormat="1" ht="15" x14ac:dyDescent="0.25">
      <c r="B19" s="35"/>
      <c r="C19" s="15" t="s">
        <v>303</v>
      </c>
      <c r="D19" s="192">
        <f>D17*D8</f>
        <v>3862.8250000000003</v>
      </c>
      <c r="E19" s="92"/>
    </row>
    <row r="20" spans="2:5" s="2" customFormat="1" ht="15" x14ac:dyDescent="0.25">
      <c r="B20" s="35"/>
      <c r="C20" s="15"/>
      <c r="D20" s="15"/>
      <c r="E20" s="92"/>
    </row>
    <row r="21" spans="2:5" s="2" customFormat="1" ht="15" x14ac:dyDescent="0.25">
      <c r="B21" s="35"/>
      <c r="C21" s="15" t="s">
        <v>302</v>
      </c>
      <c r="D21" s="192">
        <f>D19*((1/(D9-D10))-((1/(D9-D10))*((1+D10)/(1+D9))^D11))</f>
        <v>59798.323175720783</v>
      </c>
      <c r="E21" s="92"/>
    </row>
    <row r="22" spans="2:5" s="2" customFormat="1" ht="15" x14ac:dyDescent="0.25">
      <c r="B22" s="35"/>
      <c r="C22" s="15"/>
      <c r="D22" s="192"/>
      <c r="E22" s="92"/>
    </row>
    <row r="23" spans="2:5" s="2" customFormat="1" ht="15.6" x14ac:dyDescent="0.3">
      <c r="B23" s="35"/>
      <c r="C23" s="15" t="s">
        <v>304</v>
      </c>
      <c r="D23" s="97">
        <f>FV(D9,D11,0,-D21)</f>
        <v>2174612.5288887168</v>
      </c>
      <c r="E23" s="92"/>
    </row>
    <row r="24" spans="2:5" s="2" customFormat="1" ht="15.6" thickBot="1" x14ac:dyDescent="0.3">
      <c r="B24" s="36"/>
      <c r="C24" s="17"/>
      <c r="D24" s="17"/>
      <c r="E24" s="98"/>
    </row>
  </sheetData>
  <phoneticPr fontId="0" type="noConversion"/>
  <pageMargins left="0.75" right="0.75" top="1" bottom="1" header="0.5" footer="0.5"/>
  <pageSetup orientation="portrait" horizontalDpi="3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B1:G23"/>
  <sheetViews>
    <sheetView workbookViewId="0">
      <selection activeCell="C2" sqref="C2"/>
    </sheetView>
  </sheetViews>
  <sheetFormatPr defaultRowHeight="15" x14ac:dyDescent="0.25"/>
  <cols>
    <col min="2" max="2" width="3.109375" customWidth="1"/>
    <col min="3" max="3" width="28.5546875" customWidth="1"/>
    <col min="4" max="4" width="14.6640625" style="2" customWidth="1"/>
    <col min="5" max="5" width="3.109375" style="3" customWidth="1"/>
    <col min="6" max="6" width="14.6640625" customWidth="1"/>
    <col min="7" max="7" width="3.109375" customWidth="1"/>
  </cols>
  <sheetData>
    <row r="1" spans="2:7" ht="17.399999999999999" x14ac:dyDescent="0.3">
      <c r="C1" s="1" t="s">
        <v>253</v>
      </c>
    </row>
    <row r="2" spans="2:7" x14ac:dyDescent="0.25">
      <c r="C2" s="2" t="s">
        <v>53</v>
      </c>
    </row>
    <row r="4" spans="2:7" ht="15.6" x14ac:dyDescent="0.3">
      <c r="C4" s="37" t="s">
        <v>0</v>
      </c>
    </row>
    <row r="5" spans="2:7" ht="16.2" thickBot="1" x14ac:dyDescent="0.35">
      <c r="C5" s="4"/>
      <c r="D5" s="5"/>
    </row>
    <row r="6" spans="2:7" ht="15.6" x14ac:dyDescent="0.3">
      <c r="B6" s="6"/>
      <c r="C6" s="7"/>
      <c r="D6" s="8"/>
      <c r="E6" s="9"/>
    </row>
    <row r="7" spans="2:7" x14ac:dyDescent="0.25">
      <c r="B7" s="10"/>
      <c r="C7" s="11" t="s">
        <v>14</v>
      </c>
      <c r="D7" s="61">
        <v>20</v>
      </c>
      <c r="E7" s="12"/>
    </row>
    <row r="8" spans="2:7" x14ac:dyDescent="0.25">
      <c r="B8" s="10"/>
      <c r="C8" s="11" t="s">
        <v>50</v>
      </c>
      <c r="D8" s="62">
        <v>4700</v>
      </c>
      <c r="E8" s="12"/>
    </row>
    <row r="9" spans="2:7" x14ac:dyDescent="0.25">
      <c r="B9" s="10"/>
      <c r="C9" s="11" t="s">
        <v>5</v>
      </c>
      <c r="D9" s="86">
        <v>0.1</v>
      </c>
      <c r="E9" s="12"/>
    </row>
    <row r="10" spans="2:7" x14ac:dyDescent="0.25">
      <c r="B10" s="10"/>
      <c r="C10" s="11" t="s">
        <v>5</v>
      </c>
      <c r="D10" s="86">
        <v>0.05</v>
      </c>
      <c r="E10" s="12"/>
    </row>
    <row r="11" spans="2:7" x14ac:dyDescent="0.25">
      <c r="B11" s="10"/>
      <c r="C11" s="11" t="s">
        <v>5</v>
      </c>
      <c r="D11" s="86">
        <v>0.15</v>
      </c>
      <c r="E11" s="12"/>
    </row>
    <row r="12" spans="2:7" ht="15.6" thickBot="1" x14ac:dyDescent="0.3">
      <c r="B12" s="27"/>
      <c r="C12" s="28"/>
      <c r="D12" s="43"/>
      <c r="E12" s="30"/>
    </row>
    <row r="13" spans="2:7" x14ac:dyDescent="0.25">
      <c r="C13" s="2"/>
    </row>
    <row r="14" spans="2:7" ht="15.6" x14ac:dyDescent="0.3">
      <c r="C14" s="37" t="s">
        <v>1</v>
      </c>
    </row>
    <row r="15" spans="2:7" ht="16.2" thickBot="1" x14ac:dyDescent="0.35">
      <c r="C15" s="4"/>
    </row>
    <row r="16" spans="2:7" x14ac:dyDescent="0.25">
      <c r="B16" s="48"/>
      <c r="C16" s="33"/>
      <c r="D16" s="33"/>
      <c r="E16" s="63"/>
      <c r="F16" s="64"/>
      <c r="G16" s="65"/>
    </row>
    <row r="17" spans="2:7" ht="15.6" x14ac:dyDescent="0.3">
      <c r="B17" s="14"/>
      <c r="C17" s="15" t="str">
        <f>"Value of investment at "&amp;D9*100&amp;"%"</f>
        <v>Value of investment at 10%</v>
      </c>
      <c r="D17" s="40">
        <f>-PV(D9,D7,D8)</f>
        <v>40013.749482865256</v>
      </c>
      <c r="E17" s="66"/>
      <c r="F17" s="67"/>
      <c r="G17" s="68"/>
    </row>
    <row r="18" spans="2:7" ht="15.6" x14ac:dyDescent="0.3">
      <c r="B18" s="14"/>
      <c r="C18" s="15" t="str">
        <f t="shared" ref="C18:C19" si="0">"Value of investment at "&amp;D10*100&amp;"%"</f>
        <v>Value of investment at 5%</v>
      </c>
      <c r="D18" s="40">
        <f>-PV(D10,D7,D8)</f>
        <v>58572.388609937931</v>
      </c>
      <c r="E18" s="66"/>
      <c r="F18" s="67"/>
      <c r="G18" s="68"/>
    </row>
    <row r="19" spans="2:7" ht="15.6" x14ac:dyDescent="0.3">
      <c r="B19" s="14"/>
      <c r="C19" s="15" t="str">
        <f t="shared" si="0"/>
        <v>Value of investment at 15%</v>
      </c>
      <c r="D19" s="40">
        <f>-PV(D11,D7,D8)</f>
        <v>29418.857926529334</v>
      </c>
      <c r="E19" s="66"/>
      <c r="F19" s="67"/>
      <c r="G19" s="68"/>
    </row>
    <row r="20" spans="2:7" ht="15.6" x14ac:dyDescent="0.3">
      <c r="B20" s="14"/>
      <c r="C20" s="15"/>
      <c r="D20" s="69"/>
      <c r="E20" s="66"/>
      <c r="F20" s="67"/>
      <c r="G20" s="68"/>
    </row>
    <row r="21" spans="2:7" ht="15.6" x14ac:dyDescent="0.3">
      <c r="B21" s="14"/>
      <c r="C21" s="15" t="s">
        <v>51</v>
      </c>
      <c r="D21" s="69"/>
      <c r="E21" s="66"/>
      <c r="F21" s="67"/>
      <c r="G21" s="68"/>
    </row>
    <row r="22" spans="2:7" ht="15.6" x14ac:dyDescent="0.3">
      <c r="B22" s="14"/>
      <c r="C22" s="15" t="s">
        <v>52</v>
      </c>
      <c r="D22" s="69"/>
      <c r="E22" s="66"/>
      <c r="F22" s="67"/>
      <c r="G22" s="68"/>
    </row>
    <row r="23" spans="2:7" ht="15.6" thickBot="1" x14ac:dyDescent="0.3">
      <c r="B23" s="16"/>
      <c r="C23" s="17"/>
      <c r="D23" s="70"/>
      <c r="E23" s="71"/>
      <c r="F23" s="72"/>
      <c r="G23" s="73"/>
    </row>
  </sheetData>
  <phoneticPr fontId="0" type="noConversion"/>
  <pageMargins left="0.75" right="0.75" top="1" bottom="1" header="0.5" footer="0.5"/>
  <pageSetup orientation="portrait" horizontalDpi="300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B1:E16"/>
  <sheetViews>
    <sheetView workbookViewId="0">
      <selection activeCell="C2" sqref="C2"/>
    </sheetView>
  </sheetViews>
  <sheetFormatPr defaultRowHeight="15" x14ac:dyDescent="0.25"/>
  <cols>
    <col min="2" max="2" width="3.109375" customWidth="1"/>
    <col min="3" max="3" width="28" customWidth="1"/>
    <col min="4" max="4" width="12.6640625" style="2" customWidth="1"/>
    <col min="5" max="5" width="3.109375" style="3" customWidth="1"/>
  </cols>
  <sheetData>
    <row r="1" spans="2:5" ht="17.399999999999999" x14ac:dyDescent="0.3">
      <c r="C1" s="1" t="s">
        <v>253</v>
      </c>
    </row>
    <row r="2" spans="2:5" x14ac:dyDescent="0.25">
      <c r="C2" s="2" t="s">
        <v>54</v>
      </c>
    </row>
    <row r="4" spans="2:5" ht="15.6" x14ac:dyDescent="0.3">
      <c r="C4" s="37" t="s">
        <v>0</v>
      </c>
    </row>
    <row r="5" spans="2:5" ht="16.2" thickBot="1" x14ac:dyDescent="0.35">
      <c r="C5" s="4"/>
      <c r="D5" s="5"/>
    </row>
    <row r="6" spans="2:5" ht="15.6" x14ac:dyDescent="0.3">
      <c r="B6" s="6"/>
      <c r="C6" s="7"/>
      <c r="D6" s="8"/>
      <c r="E6" s="9"/>
    </row>
    <row r="7" spans="2:5" x14ac:dyDescent="0.25">
      <c r="B7" s="10"/>
      <c r="C7" s="11" t="s">
        <v>40</v>
      </c>
      <c r="D7" s="62">
        <v>350</v>
      </c>
      <c r="E7" s="12"/>
    </row>
    <row r="8" spans="2:5" x14ac:dyDescent="0.25">
      <c r="B8" s="10"/>
      <c r="C8" s="11" t="s">
        <v>5</v>
      </c>
      <c r="D8" s="86">
        <v>0.1</v>
      </c>
      <c r="E8" s="12"/>
    </row>
    <row r="9" spans="2:5" x14ac:dyDescent="0.25">
      <c r="B9" s="10"/>
      <c r="C9" s="11" t="s">
        <v>62</v>
      </c>
      <c r="D9" s="146">
        <v>40000</v>
      </c>
      <c r="E9" s="12"/>
    </row>
    <row r="10" spans="2:5" ht="15.6" thickBot="1" x14ac:dyDescent="0.3">
      <c r="B10" s="27"/>
      <c r="C10" s="28"/>
      <c r="D10" s="43"/>
      <c r="E10" s="30"/>
    </row>
    <row r="11" spans="2:5" x14ac:dyDescent="0.25">
      <c r="C11" s="2"/>
    </row>
    <row r="12" spans="2:5" ht="15.6" x14ac:dyDescent="0.3">
      <c r="C12" s="37" t="s">
        <v>1</v>
      </c>
    </row>
    <row r="13" spans="2:5" ht="16.2" thickBot="1" x14ac:dyDescent="0.35">
      <c r="C13" s="4"/>
    </row>
    <row r="14" spans="2:5" x14ac:dyDescent="0.25">
      <c r="B14" s="48"/>
      <c r="C14" s="33"/>
      <c r="D14" s="33"/>
      <c r="E14" s="34"/>
    </row>
    <row r="15" spans="2:5" ht="15.6" x14ac:dyDescent="0.3">
      <c r="B15" s="14"/>
      <c r="C15" s="15" t="s">
        <v>170</v>
      </c>
      <c r="D15" s="143">
        <f>LN((D9/D7)*(D8/12)+1)/LN(1+(D8/12))</f>
        <v>80.620017600149339</v>
      </c>
      <c r="E15" s="19"/>
    </row>
    <row r="16" spans="2:5" ht="15.6" thickBot="1" x14ac:dyDescent="0.3">
      <c r="B16" s="16"/>
      <c r="C16" s="17"/>
      <c r="D16" s="70"/>
      <c r="E16" s="21"/>
    </row>
  </sheetData>
  <phoneticPr fontId="0" type="noConversion"/>
  <pageMargins left="0.75" right="0.75" top="1" bottom="1" header="0.5" footer="0.5"/>
  <pageSetup orientation="portrait" horizontalDpi="300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B1:E18"/>
  <sheetViews>
    <sheetView workbookViewId="0">
      <selection activeCell="C2" sqref="C2"/>
    </sheetView>
  </sheetViews>
  <sheetFormatPr defaultRowHeight="15" x14ac:dyDescent="0.25"/>
  <cols>
    <col min="2" max="2" width="3.109375" customWidth="1"/>
    <col min="3" max="3" width="28" customWidth="1"/>
    <col min="4" max="4" width="16.33203125" style="2" customWidth="1"/>
    <col min="5" max="5" width="3.109375" style="3" customWidth="1"/>
  </cols>
  <sheetData>
    <row r="1" spans="2:5" ht="17.399999999999999" x14ac:dyDescent="0.3">
      <c r="C1" s="1" t="s">
        <v>253</v>
      </c>
    </row>
    <row r="2" spans="2:5" x14ac:dyDescent="0.25">
      <c r="C2" s="2" t="s">
        <v>55</v>
      </c>
    </row>
    <row r="4" spans="2:5" ht="15.6" x14ac:dyDescent="0.3">
      <c r="C4" s="37" t="s">
        <v>0</v>
      </c>
    </row>
    <row r="5" spans="2:5" ht="16.2" thickBot="1" x14ac:dyDescent="0.35">
      <c r="C5" s="4"/>
      <c r="D5" s="5"/>
    </row>
    <row r="6" spans="2:5" ht="15.6" x14ac:dyDescent="0.3">
      <c r="B6" s="6"/>
      <c r="C6" s="7"/>
      <c r="D6" s="8"/>
      <c r="E6" s="9"/>
    </row>
    <row r="7" spans="2:5" x14ac:dyDescent="0.25">
      <c r="B7" s="10"/>
      <c r="C7" s="11" t="s">
        <v>64</v>
      </c>
      <c r="D7" s="146">
        <v>88000</v>
      </c>
      <c r="E7" s="12"/>
    </row>
    <row r="8" spans="2:5" x14ac:dyDescent="0.25">
      <c r="B8" s="10"/>
      <c r="C8" s="11" t="s">
        <v>40</v>
      </c>
      <c r="D8" s="62">
        <v>1725</v>
      </c>
      <c r="E8" s="12"/>
    </row>
    <row r="9" spans="2:5" x14ac:dyDescent="0.25">
      <c r="B9" s="10"/>
      <c r="C9" s="11" t="s">
        <v>65</v>
      </c>
      <c r="D9" s="61">
        <v>60</v>
      </c>
      <c r="E9" s="12"/>
    </row>
    <row r="10" spans="2:5" ht="15.6" thickBot="1" x14ac:dyDescent="0.3">
      <c r="B10" s="27"/>
      <c r="C10" s="28"/>
      <c r="D10" s="43"/>
      <c r="E10" s="30"/>
    </row>
    <row r="11" spans="2:5" x14ac:dyDescent="0.25">
      <c r="C11" s="2"/>
    </row>
    <row r="12" spans="2:5" ht="15.6" x14ac:dyDescent="0.3">
      <c r="C12" s="37" t="s">
        <v>1</v>
      </c>
    </row>
    <row r="13" spans="2:5" ht="16.2" thickBot="1" x14ac:dyDescent="0.35">
      <c r="C13" s="4"/>
    </row>
    <row r="14" spans="2:5" x14ac:dyDescent="0.25">
      <c r="B14" s="48"/>
      <c r="C14" s="33"/>
      <c r="D14" s="33"/>
      <c r="E14" s="34"/>
    </row>
    <row r="15" spans="2:5" x14ac:dyDescent="0.25">
      <c r="B15" s="14"/>
      <c r="C15" s="15" t="s">
        <v>384</v>
      </c>
      <c r="D15" s="212">
        <f>RATE(D9,-D8,D7)</f>
        <v>5.4809002270808102E-3</v>
      </c>
      <c r="E15" s="19"/>
    </row>
    <row r="16" spans="2:5" x14ac:dyDescent="0.25">
      <c r="B16" s="14"/>
      <c r="C16" s="15"/>
      <c r="D16" s="15"/>
      <c r="E16" s="19"/>
    </row>
    <row r="17" spans="2:5" ht="15.6" x14ac:dyDescent="0.3">
      <c r="B17" s="14"/>
      <c r="C17" s="15" t="s">
        <v>456</v>
      </c>
      <c r="D17" s="53">
        <f>12*D15</f>
        <v>6.5770802724969726E-2</v>
      </c>
      <c r="E17" s="19"/>
    </row>
    <row r="18" spans="2:5" ht="15.6" thickBot="1" x14ac:dyDescent="0.3">
      <c r="B18" s="16"/>
      <c r="C18" s="17"/>
      <c r="D18" s="70"/>
      <c r="E18" s="21"/>
    </row>
  </sheetData>
  <phoneticPr fontId="0" type="noConversion"/>
  <pageMargins left="0.75" right="0.75" top="1" bottom="1" header="0.5" footer="0.5"/>
  <pageSetup orientation="portrait" horizontalDpi="300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B1:E20"/>
  <sheetViews>
    <sheetView workbookViewId="0">
      <selection activeCell="C2" sqref="C2"/>
    </sheetView>
  </sheetViews>
  <sheetFormatPr defaultRowHeight="15" x14ac:dyDescent="0.25"/>
  <cols>
    <col min="2" max="2" width="3.109375" customWidth="1"/>
    <col min="3" max="3" width="29.5546875" customWidth="1"/>
    <col min="4" max="4" width="15.5546875" style="2" bestFit="1" customWidth="1"/>
    <col min="5" max="5" width="3.109375" style="3" customWidth="1"/>
  </cols>
  <sheetData>
    <row r="1" spans="2:5" ht="17.399999999999999" x14ac:dyDescent="0.3">
      <c r="C1" s="1" t="s">
        <v>253</v>
      </c>
    </row>
    <row r="2" spans="2:5" x14ac:dyDescent="0.25">
      <c r="C2" s="2" t="s">
        <v>57</v>
      </c>
    </row>
    <row r="4" spans="2:5" ht="15.6" x14ac:dyDescent="0.3">
      <c r="C4" s="37" t="s">
        <v>0</v>
      </c>
    </row>
    <row r="5" spans="2:5" ht="16.2" thickBot="1" x14ac:dyDescent="0.35">
      <c r="C5" s="4"/>
      <c r="D5" s="5"/>
    </row>
    <row r="6" spans="2:5" ht="15.6" x14ac:dyDescent="0.3">
      <c r="B6" s="6"/>
      <c r="C6" s="7"/>
      <c r="D6" s="8"/>
      <c r="E6" s="9"/>
    </row>
    <row r="7" spans="2:5" x14ac:dyDescent="0.25">
      <c r="B7" s="10"/>
      <c r="C7" s="11" t="s">
        <v>65</v>
      </c>
      <c r="D7" s="61">
        <v>360</v>
      </c>
      <c r="E7" s="12"/>
    </row>
    <row r="8" spans="2:5" x14ac:dyDescent="0.25">
      <c r="B8" s="10"/>
      <c r="C8" s="11" t="s">
        <v>150</v>
      </c>
      <c r="D8" s="146">
        <v>275000</v>
      </c>
      <c r="E8" s="12"/>
    </row>
    <row r="9" spans="2:5" x14ac:dyDescent="0.25">
      <c r="B9" s="10"/>
      <c r="C9" s="11" t="s">
        <v>67</v>
      </c>
      <c r="D9" s="60">
        <v>4.8000000000000001E-2</v>
      </c>
      <c r="E9" s="12"/>
    </row>
    <row r="10" spans="2:5" x14ac:dyDescent="0.25">
      <c r="B10" s="10"/>
      <c r="C10" s="11" t="s">
        <v>40</v>
      </c>
      <c r="D10" s="62">
        <v>1025</v>
      </c>
      <c r="E10" s="12"/>
    </row>
    <row r="11" spans="2:5" ht="15.6" thickBot="1" x14ac:dyDescent="0.3">
      <c r="B11" s="27"/>
      <c r="C11" s="28"/>
      <c r="D11" s="43"/>
      <c r="E11" s="30"/>
    </row>
    <row r="12" spans="2:5" x14ac:dyDescent="0.25">
      <c r="C12" s="2"/>
    </row>
    <row r="13" spans="2:5" ht="15.6" x14ac:dyDescent="0.3">
      <c r="C13" s="37" t="s">
        <v>1</v>
      </c>
    </row>
    <row r="14" spans="2:5" ht="16.2" thickBot="1" x14ac:dyDescent="0.35">
      <c r="C14" s="4"/>
    </row>
    <row r="15" spans="2:5" x14ac:dyDescent="0.25">
      <c r="B15" s="48"/>
      <c r="C15" s="33"/>
      <c r="D15" s="33"/>
      <c r="E15" s="34"/>
    </row>
    <row r="16" spans="2:5" x14ac:dyDescent="0.25">
      <c r="B16" s="14"/>
      <c r="C16" s="15" t="s">
        <v>171</v>
      </c>
      <c r="D16" s="75">
        <f>-PV(D9/12,D7,D10)</f>
        <v>195362.62334050785</v>
      </c>
      <c r="E16" s="19"/>
    </row>
    <row r="17" spans="2:5" x14ac:dyDescent="0.25">
      <c r="B17" s="14"/>
      <c r="C17" s="15" t="s">
        <v>385</v>
      </c>
      <c r="D17" s="75">
        <f>D8-D16</f>
        <v>79637.376659492147</v>
      </c>
      <c r="E17" s="19"/>
    </row>
    <row r="18" spans="2:5" ht="15.6" x14ac:dyDescent="0.3">
      <c r="B18" s="14"/>
      <c r="C18" s="15"/>
      <c r="D18" s="54"/>
      <c r="E18" s="19"/>
    </row>
    <row r="19" spans="2:5" ht="15.6" x14ac:dyDescent="0.3">
      <c r="B19" s="14"/>
      <c r="C19" s="15" t="s">
        <v>172</v>
      </c>
      <c r="D19" s="39">
        <f>(D8-D16)*((1+D9/12)^D7)</f>
        <v>335161.06110335205</v>
      </c>
      <c r="E19" s="19"/>
    </row>
    <row r="20" spans="2:5" ht="15.6" thickBot="1" x14ac:dyDescent="0.3">
      <c r="B20" s="16"/>
      <c r="C20" s="17"/>
      <c r="D20" s="70"/>
      <c r="E20" s="21"/>
    </row>
  </sheetData>
  <phoneticPr fontId="0" type="noConversion"/>
  <pageMargins left="0.75" right="0.75" top="1" bottom="1" header="0.5" footer="0.5"/>
  <pageSetup orientation="portrait" horizont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112"/>
  <dimension ref="B1:G13"/>
  <sheetViews>
    <sheetView workbookViewId="0">
      <selection activeCell="E7" sqref="E7"/>
    </sheetView>
  </sheetViews>
  <sheetFormatPr defaultRowHeight="15" x14ac:dyDescent="0.25"/>
  <cols>
    <col min="2" max="2" width="3.109375" customWidth="1"/>
    <col min="3" max="3" width="19.88671875" customWidth="1"/>
    <col min="4" max="4" width="10.88671875" style="2" customWidth="1"/>
    <col min="5" max="5" width="12.88671875" bestFit="1" customWidth="1"/>
    <col min="6" max="6" width="15.44140625" bestFit="1" customWidth="1"/>
    <col min="7" max="7" width="3.109375" customWidth="1"/>
  </cols>
  <sheetData>
    <row r="1" spans="2:7" ht="17.399999999999999" x14ac:dyDescent="0.3">
      <c r="C1" s="1" t="s">
        <v>253</v>
      </c>
    </row>
    <row r="2" spans="2:7" x14ac:dyDescent="0.25">
      <c r="C2" s="2" t="s">
        <v>11</v>
      </c>
    </row>
    <row r="4" spans="2:7" ht="15.6" x14ac:dyDescent="0.3">
      <c r="C4" s="37" t="s">
        <v>1</v>
      </c>
      <c r="D4" s="37" t="s">
        <v>0</v>
      </c>
      <c r="E4" s="2"/>
    </row>
    <row r="5" spans="2:7" ht="16.2" thickBot="1" x14ac:dyDescent="0.35">
      <c r="C5" s="4"/>
      <c r="D5" s="5"/>
      <c r="E5" s="2"/>
    </row>
    <row r="6" spans="2:7" s="2" customFormat="1" ht="15.6" x14ac:dyDescent="0.3">
      <c r="B6" s="32"/>
      <c r="C6" s="49"/>
      <c r="D6" s="8"/>
      <c r="E6" s="8"/>
      <c r="F6" s="8"/>
      <c r="G6" s="81"/>
    </row>
    <row r="7" spans="2:7" s="2" customFormat="1" x14ac:dyDescent="0.25">
      <c r="B7" s="35"/>
      <c r="C7" s="184" t="s">
        <v>145</v>
      </c>
      <c r="D7" s="183" t="s">
        <v>254</v>
      </c>
      <c r="E7" s="119" t="s">
        <v>20</v>
      </c>
      <c r="F7" s="119" t="s">
        <v>48</v>
      </c>
      <c r="G7" s="84"/>
    </row>
    <row r="8" spans="2:7" s="2" customFormat="1" ht="15" customHeight="1" x14ac:dyDescent="0.3">
      <c r="B8" s="35"/>
      <c r="C8" s="41">
        <f>F8/(1+E8)^D8</f>
        <v>9213.5139287109196</v>
      </c>
      <c r="D8" s="61">
        <v>6</v>
      </c>
      <c r="E8" s="86">
        <v>7.0000000000000007E-2</v>
      </c>
      <c r="F8" s="62">
        <v>13827</v>
      </c>
      <c r="G8" s="84"/>
    </row>
    <row r="9" spans="2:7" s="2" customFormat="1" ht="15" customHeight="1" x14ac:dyDescent="0.3">
      <c r="B9" s="35"/>
      <c r="C9" s="41">
        <f>F9/(1+E9)^D9</f>
        <v>9425.6902024835326</v>
      </c>
      <c r="D9" s="61">
        <v>11</v>
      </c>
      <c r="E9" s="86">
        <v>0.15</v>
      </c>
      <c r="F9" s="61">
        <v>43852</v>
      </c>
      <c r="G9" s="84"/>
    </row>
    <row r="10" spans="2:7" s="2" customFormat="1" ht="15.6" x14ac:dyDescent="0.3">
      <c r="B10" s="35"/>
      <c r="C10" s="41">
        <f>F10/(1+E10)^D10</f>
        <v>99868.604232400598</v>
      </c>
      <c r="D10" s="61">
        <v>19</v>
      </c>
      <c r="E10" s="86">
        <v>0.11</v>
      </c>
      <c r="F10" s="61">
        <v>725380</v>
      </c>
      <c r="G10" s="84"/>
    </row>
    <row r="11" spans="2:7" s="2" customFormat="1" ht="15.6" x14ac:dyDescent="0.3">
      <c r="B11" s="35"/>
      <c r="C11" s="41">
        <f>F11/(1+E11)^D11</f>
        <v>4861.7890496580567</v>
      </c>
      <c r="D11" s="61">
        <v>29</v>
      </c>
      <c r="E11" s="86">
        <v>0.18</v>
      </c>
      <c r="F11" s="61">
        <v>590710</v>
      </c>
      <c r="G11" s="84"/>
    </row>
    <row r="12" spans="2:7" ht="15.6" thickBot="1" x14ac:dyDescent="0.3">
      <c r="B12" s="16"/>
      <c r="C12" s="72"/>
      <c r="D12" s="28"/>
      <c r="E12" s="185"/>
      <c r="F12" s="185"/>
      <c r="G12" s="186"/>
    </row>
    <row r="13" spans="2:7" x14ac:dyDescent="0.25">
      <c r="B13" s="106"/>
      <c r="C13" s="106"/>
      <c r="D13" s="105"/>
      <c r="E13" s="106"/>
    </row>
  </sheetData>
  <phoneticPr fontId="23" type="noConversion"/>
  <pageMargins left="0.75" right="0.75" top="1" bottom="1" header="0.5" footer="0.5"/>
  <pageSetup orientation="portrait" horizont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B1:F30"/>
  <sheetViews>
    <sheetView workbookViewId="0">
      <selection activeCell="C2" sqref="C2"/>
    </sheetView>
  </sheetViews>
  <sheetFormatPr defaultRowHeight="15" x14ac:dyDescent="0.25"/>
  <cols>
    <col min="2" max="2" width="3.109375" customWidth="1"/>
    <col min="3" max="3" width="21.88671875" style="2" bestFit="1" customWidth="1"/>
    <col min="4" max="4" width="18.5546875" style="2" customWidth="1"/>
    <col min="5" max="5" width="3.109375" style="3" customWidth="1"/>
    <col min="6" max="6" width="9.109375" customWidth="1"/>
  </cols>
  <sheetData>
    <row r="1" spans="2:5" ht="17.399999999999999" x14ac:dyDescent="0.3">
      <c r="C1" s="1" t="s">
        <v>253</v>
      </c>
    </row>
    <row r="2" spans="2:5" x14ac:dyDescent="0.25">
      <c r="C2" s="2" t="s">
        <v>49</v>
      </c>
    </row>
    <row r="4" spans="2:5" ht="15.6" x14ac:dyDescent="0.3">
      <c r="C4" s="37" t="s">
        <v>0</v>
      </c>
    </row>
    <row r="5" spans="2:5" ht="16.2" thickBot="1" x14ac:dyDescent="0.35">
      <c r="C5" s="4"/>
      <c r="D5" s="5"/>
    </row>
    <row r="6" spans="2:5" ht="15.6" x14ac:dyDescent="0.3">
      <c r="B6" s="6"/>
      <c r="C6" s="7"/>
      <c r="D6" s="8"/>
      <c r="E6" s="9"/>
    </row>
    <row r="7" spans="2:5" x14ac:dyDescent="0.25">
      <c r="B7" s="10"/>
      <c r="C7" s="11" t="s">
        <v>193</v>
      </c>
      <c r="D7" s="83">
        <v>6700</v>
      </c>
      <c r="E7" s="12"/>
    </row>
    <row r="8" spans="2:5" x14ac:dyDescent="0.25">
      <c r="B8" s="10"/>
      <c r="C8" s="102" t="s">
        <v>3</v>
      </c>
      <c r="D8" s="102" t="s">
        <v>4</v>
      </c>
      <c r="E8" s="12"/>
    </row>
    <row r="9" spans="2:5" x14ac:dyDescent="0.25">
      <c r="B9" s="10"/>
      <c r="C9" s="102">
        <v>1</v>
      </c>
      <c r="D9" s="83">
        <v>1400</v>
      </c>
      <c r="E9" s="12"/>
    </row>
    <row r="10" spans="2:5" x14ac:dyDescent="0.25">
      <c r="B10" s="10"/>
      <c r="C10" s="102">
        <v>2</v>
      </c>
      <c r="D10" s="83">
        <v>0</v>
      </c>
      <c r="E10" s="12"/>
    </row>
    <row r="11" spans="2:5" x14ac:dyDescent="0.25">
      <c r="B11" s="10"/>
      <c r="C11" s="102">
        <v>3</v>
      </c>
      <c r="D11" s="83">
        <v>2300</v>
      </c>
      <c r="E11" s="12"/>
    </row>
    <row r="12" spans="2:5" x14ac:dyDescent="0.25">
      <c r="B12" s="10"/>
      <c r="C12" s="102">
        <v>4</v>
      </c>
      <c r="D12" s="146">
        <v>2700</v>
      </c>
      <c r="E12" s="12"/>
    </row>
    <row r="13" spans="2:5" x14ac:dyDescent="0.25">
      <c r="B13" s="10"/>
      <c r="C13" s="11"/>
      <c r="D13" s="61"/>
      <c r="E13" s="12"/>
    </row>
    <row r="14" spans="2:5" x14ac:dyDescent="0.25">
      <c r="B14" s="10"/>
      <c r="C14" s="11" t="s">
        <v>5</v>
      </c>
      <c r="D14" s="60">
        <v>7.0999999999999994E-2</v>
      </c>
      <c r="E14" s="12"/>
    </row>
    <row r="15" spans="2:5" ht="15.6" thickBot="1" x14ac:dyDescent="0.3">
      <c r="B15" s="27"/>
      <c r="C15" s="28"/>
      <c r="D15" s="43"/>
      <c r="E15" s="30"/>
    </row>
    <row r="17" spans="2:6" ht="15.6" x14ac:dyDescent="0.3">
      <c r="C17" s="37" t="s">
        <v>1</v>
      </c>
    </row>
    <row r="18" spans="2:6" ht="16.2" thickBot="1" x14ac:dyDescent="0.35">
      <c r="C18" s="4"/>
    </row>
    <row r="19" spans="2:6" x14ac:dyDescent="0.25">
      <c r="B19" s="48"/>
      <c r="C19" s="33"/>
      <c r="D19" s="33"/>
      <c r="E19" s="34"/>
      <c r="F19" s="76"/>
    </row>
    <row r="20" spans="2:6" x14ac:dyDescent="0.25">
      <c r="B20" s="14"/>
      <c r="C20" s="50" t="s">
        <v>3</v>
      </c>
      <c r="D20" s="161" t="s">
        <v>192</v>
      </c>
      <c r="E20" s="19"/>
      <c r="F20" s="76"/>
    </row>
    <row r="21" spans="2:6" x14ac:dyDescent="0.25">
      <c r="B21" s="14"/>
      <c r="C21" s="15">
        <v>1</v>
      </c>
      <c r="D21" s="91">
        <f>PV($D$14,C21,,-D9)</f>
        <v>1307.1895424836603</v>
      </c>
      <c r="E21" s="19"/>
      <c r="F21" s="76"/>
    </row>
    <row r="22" spans="2:6" x14ac:dyDescent="0.25">
      <c r="B22" s="14"/>
      <c r="C22" s="15">
        <v>2</v>
      </c>
      <c r="D22" s="91">
        <f>PV($D$14,C22,,-D10)</f>
        <v>0</v>
      </c>
      <c r="E22" s="19"/>
      <c r="F22" s="76"/>
    </row>
    <row r="23" spans="2:6" x14ac:dyDescent="0.25">
      <c r="B23" s="14"/>
      <c r="C23" s="15">
        <v>3</v>
      </c>
      <c r="D23" s="91">
        <f>PV($D$14,C23,,-D11)</f>
        <v>1872.2309637906944</v>
      </c>
      <c r="E23" s="19"/>
    </row>
    <row r="24" spans="2:6" x14ac:dyDescent="0.25">
      <c r="B24" s="14"/>
      <c r="C24" s="15">
        <v>4</v>
      </c>
      <c r="D24" s="162">
        <f>PV($D$14,C24,,-D12)</f>
        <v>2052.1347794563694</v>
      </c>
      <c r="E24" s="19"/>
    </row>
    <row r="25" spans="2:6" x14ac:dyDescent="0.25">
      <c r="B25" s="14"/>
      <c r="C25" s="57" t="s">
        <v>195</v>
      </c>
      <c r="D25" s="91">
        <f>SUM(D21,D22,D23,D24)</f>
        <v>5231.5552857307248</v>
      </c>
      <c r="E25" s="19"/>
    </row>
    <row r="26" spans="2:6" ht="15.6" x14ac:dyDescent="0.3">
      <c r="B26" s="14"/>
      <c r="C26" s="15"/>
      <c r="D26" s="41"/>
      <c r="E26" s="19"/>
    </row>
    <row r="27" spans="2:6" x14ac:dyDescent="0.25">
      <c r="B27" s="14"/>
      <c r="C27" s="15" t="s">
        <v>194</v>
      </c>
      <c r="D27" s="91">
        <f>D7-D25</f>
        <v>1468.4447142692752</v>
      </c>
      <c r="E27" s="19"/>
    </row>
    <row r="28" spans="2:6" ht="15.6" x14ac:dyDescent="0.3">
      <c r="B28" s="14"/>
      <c r="C28" s="15"/>
      <c r="D28" s="58"/>
      <c r="E28" s="19"/>
    </row>
    <row r="29" spans="2:6" ht="15.6" x14ac:dyDescent="0.3">
      <c r="B29" s="14"/>
      <c r="C29" s="15" t="s">
        <v>196</v>
      </c>
      <c r="D29" s="40">
        <f>FV(D14,C22,,-D27)</f>
        <v>1684.3662935001437</v>
      </c>
      <c r="E29" s="19"/>
    </row>
    <row r="30" spans="2:6" ht="15.6" thickBot="1" x14ac:dyDescent="0.3">
      <c r="B30" s="16"/>
      <c r="C30" s="17"/>
      <c r="D30" s="17"/>
      <c r="E30" s="21"/>
    </row>
  </sheetData>
  <phoneticPr fontId="0" type="noConversion"/>
  <pageMargins left="0.75" right="0.75" top="1" bottom="1" header="0.5" footer="0.5"/>
  <pageSetup orientation="portrait" horizontalDpi="300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B1:G29"/>
  <sheetViews>
    <sheetView workbookViewId="0">
      <selection activeCell="C2" sqref="C2"/>
    </sheetView>
  </sheetViews>
  <sheetFormatPr defaultRowHeight="15" x14ac:dyDescent="0.25"/>
  <cols>
    <col min="2" max="2" width="3.109375" customWidth="1"/>
    <col min="3" max="3" width="16.6640625" style="2" customWidth="1"/>
    <col min="4" max="5" width="18.5546875" style="2" customWidth="1"/>
    <col min="6" max="6" width="3.109375" style="3" customWidth="1"/>
    <col min="7" max="7" width="9.109375" customWidth="1"/>
    <col min="9" max="9" width="9.109375" customWidth="1"/>
  </cols>
  <sheetData>
    <row r="1" spans="2:7" ht="17.399999999999999" x14ac:dyDescent="0.3">
      <c r="C1" s="1" t="s">
        <v>253</v>
      </c>
    </row>
    <row r="2" spans="2:7" x14ac:dyDescent="0.25">
      <c r="C2" s="2" t="s">
        <v>61</v>
      </c>
    </row>
    <row r="4" spans="2:7" ht="15.6" x14ac:dyDescent="0.3">
      <c r="C4" s="37" t="s">
        <v>0</v>
      </c>
    </row>
    <row r="5" spans="2:7" ht="16.2" thickBot="1" x14ac:dyDescent="0.35">
      <c r="C5" s="4"/>
      <c r="D5" s="5"/>
      <c r="E5" s="5"/>
    </row>
    <row r="6" spans="2:7" ht="15.6" x14ac:dyDescent="0.3">
      <c r="B6" s="6"/>
      <c r="C6" s="7"/>
      <c r="D6" s="8"/>
      <c r="E6" s="8"/>
      <c r="F6" s="9"/>
    </row>
    <row r="7" spans="2:7" x14ac:dyDescent="0.25">
      <c r="B7" s="10"/>
      <c r="C7" s="11" t="s">
        <v>199</v>
      </c>
      <c r="D7" s="146">
        <v>1000000</v>
      </c>
      <c r="E7" s="146"/>
      <c r="F7" s="12"/>
    </row>
    <row r="8" spans="2:7" x14ac:dyDescent="0.25">
      <c r="B8" s="10"/>
      <c r="C8" s="11" t="s">
        <v>200</v>
      </c>
      <c r="D8" s="146">
        <v>335000</v>
      </c>
      <c r="E8" s="61"/>
      <c r="F8" s="12"/>
    </row>
    <row r="9" spans="2:7" x14ac:dyDescent="0.25">
      <c r="B9" s="10"/>
      <c r="C9" s="11"/>
      <c r="D9" s="61"/>
      <c r="E9" s="61"/>
      <c r="F9" s="12"/>
    </row>
    <row r="10" spans="2:7" x14ac:dyDescent="0.25">
      <c r="B10" s="10"/>
      <c r="C10" s="11" t="s">
        <v>5</v>
      </c>
      <c r="D10" s="60">
        <v>5.8000000000000003E-2</v>
      </c>
      <c r="E10" s="99"/>
      <c r="F10" s="12"/>
    </row>
    <row r="11" spans="2:7" ht="15.6" thickBot="1" x14ac:dyDescent="0.3">
      <c r="B11" s="27"/>
      <c r="C11" s="28"/>
      <c r="D11" s="43"/>
      <c r="E11" s="43"/>
      <c r="F11" s="30"/>
    </row>
    <row r="13" spans="2:7" ht="15.6" x14ac:dyDescent="0.3">
      <c r="C13" s="37" t="s">
        <v>1</v>
      </c>
    </row>
    <row r="14" spans="2:7" ht="16.2" thickBot="1" x14ac:dyDescent="0.35">
      <c r="C14" s="4"/>
    </row>
    <row r="15" spans="2:7" x14ac:dyDescent="0.25">
      <c r="B15" s="48"/>
      <c r="C15" s="33"/>
      <c r="D15" s="33"/>
      <c r="E15" s="33"/>
      <c r="F15" s="34"/>
      <c r="G15" s="76"/>
    </row>
    <row r="16" spans="2:7" x14ac:dyDescent="0.25">
      <c r="B16" s="14"/>
      <c r="C16" s="57" t="s">
        <v>3</v>
      </c>
      <c r="D16" s="163" t="s">
        <v>197</v>
      </c>
      <c r="E16" s="163" t="s">
        <v>198</v>
      </c>
      <c r="F16" s="19"/>
      <c r="G16" s="76"/>
    </row>
    <row r="17" spans="2:7" x14ac:dyDescent="0.25">
      <c r="B17" s="14"/>
      <c r="C17" s="15">
        <v>0</v>
      </c>
      <c r="D17" s="213">
        <f>D7</f>
        <v>1000000</v>
      </c>
      <c r="E17" s="91">
        <f>PV($D$10,C17,,-D17)</f>
        <v>1000000</v>
      </c>
      <c r="F17" s="19"/>
      <c r="G17" s="76"/>
    </row>
    <row r="18" spans="2:7" x14ac:dyDescent="0.25">
      <c r="B18" s="14"/>
      <c r="C18" s="15">
        <v>1</v>
      </c>
      <c r="D18" s="77">
        <f t="shared" ref="D18:D22" si="0">D17+$D$8</f>
        <v>1335000</v>
      </c>
      <c r="E18" s="91">
        <f t="shared" ref="E18:E27" si="1">PV($D$10,C18,,-D18)</f>
        <v>1261814.7448015122</v>
      </c>
      <c r="F18" s="19"/>
      <c r="G18" s="76"/>
    </row>
    <row r="19" spans="2:7" x14ac:dyDescent="0.25">
      <c r="B19" s="14"/>
      <c r="C19" s="15">
        <v>2</v>
      </c>
      <c r="D19" s="77">
        <f t="shared" si="0"/>
        <v>1670000</v>
      </c>
      <c r="E19" s="91">
        <f t="shared" si="1"/>
        <v>1491918.6252193209</v>
      </c>
      <c r="F19" s="19"/>
    </row>
    <row r="20" spans="2:7" x14ac:dyDescent="0.25">
      <c r="B20" s="14"/>
      <c r="C20" s="15">
        <v>3</v>
      </c>
      <c r="D20" s="77">
        <f t="shared" si="0"/>
        <v>2005000</v>
      </c>
      <c r="E20" s="91">
        <f t="shared" si="1"/>
        <v>1693001.6207083405</v>
      </c>
      <c r="F20" s="19"/>
    </row>
    <row r="21" spans="2:7" x14ac:dyDescent="0.25">
      <c r="B21" s="14"/>
      <c r="C21" s="15">
        <v>4</v>
      </c>
      <c r="D21" s="77">
        <f t="shared" si="0"/>
        <v>2340000</v>
      </c>
      <c r="E21" s="91">
        <f t="shared" si="1"/>
        <v>1867554.0791016396</v>
      </c>
      <c r="F21" s="19"/>
    </row>
    <row r="22" spans="2:7" x14ac:dyDescent="0.25">
      <c r="B22" s="14"/>
      <c r="C22" s="15">
        <v>5</v>
      </c>
      <c r="D22" s="77">
        <f t="shared" si="0"/>
        <v>2675000</v>
      </c>
      <c r="E22" s="91">
        <f t="shared" si="1"/>
        <v>2017880.5202514362</v>
      </c>
      <c r="F22" s="19"/>
    </row>
    <row r="23" spans="2:7" x14ac:dyDescent="0.25">
      <c r="B23" s="14"/>
      <c r="C23" s="15">
        <v>6</v>
      </c>
      <c r="D23" s="77">
        <f>D22+$D$8</f>
        <v>3010000</v>
      </c>
      <c r="E23" s="91">
        <f t="shared" si="1"/>
        <v>2146112.5261759348</v>
      </c>
      <c r="F23" s="19"/>
    </row>
    <row r="24" spans="2:7" x14ac:dyDescent="0.25">
      <c r="B24" s="14"/>
      <c r="C24" s="15">
        <v>7</v>
      </c>
      <c r="D24" s="77">
        <f>D23+$D$8</f>
        <v>3345000</v>
      </c>
      <c r="E24" s="91">
        <f t="shared" si="1"/>
        <v>2254220.776384485</v>
      </c>
      <c r="F24" s="19"/>
    </row>
    <row r="25" spans="2:7" x14ac:dyDescent="0.25">
      <c r="B25" s="14"/>
      <c r="C25" s="15">
        <v>8</v>
      </c>
      <c r="D25" s="77">
        <f>D24+$D$8</f>
        <v>3680000</v>
      </c>
      <c r="E25" s="91">
        <f t="shared" si="1"/>
        <v>2344026.2833659425</v>
      </c>
      <c r="F25" s="19"/>
    </row>
    <row r="26" spans="2:7" x14ac:dyDescent="0.25">
      <c r="B26" s="14"/>
      <c r="C26" s="15">
        <v>9</v>
      </c>
      <c r="D26" s="77">
        <f>D25+$D$8</f>
        <v>4015000</v>
      </c>
      <c r="E26" s="91">
        <f t="shared" si="1"/>
        <v>2417210.879765518</v>
      </c>
      <c r="F26" s="19"/>
    </row>
    <row r="27" spans="2:7" x14ac:dyDescent="0.25">
      <c r="B27" s="14"/>
      <c r="C27" s="15">
        <v>10</v>
      </c>
      <c r="D27" s="77">
        <f>D26+$D$8</f>
        <v>4350000</v>
      </c>
      <c r="E27" s="162">
        <f t="shared" si="1"/>
        <v>2475327.0055298316</v>
      </c>
      <c r="F27" s="19"/>
    </row>
    <row r="28" spans="2:7" ht="15.6" x14ac:dyDescent="0.3">
      <c r="B28" s="14"/>
      <c r="C28" s="15" t="s">
        <v>165</v>
      </c>
      <c r="D28" s="24"/>
      <c r="E28" s="40">
        <f>SUM(E17:E27)</f>
        <v>20969067.061303962</v>
      </c>
      <c r="F28" s="19"/>
    </row>
    <row r="29" spans="2:7" ht="15.6" thickBot="1" x14ac:dyDescent="0.3">
      <c r="B29" s="16"/>
      <c r="C29" s="17"/>
      <c r="D29" s="17"/>
      <c r="E29" s="17"/>
      <c r="F29" s="21"/>
    </row>
  </sheetData>
  <phoneticPr fontId="0" type="noConversion"/>
  <pageMargins left="0.75" right="0.75" top="1" bottom="1" header="0.5" footer="0.5"/>
  <pageSetup orientation="portrait" horizontalDpi="30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B1:E23"/>
  <sheetViews>
    <sheetView workbookViewId="0">
      <selection activeCell="C2" sqref="C2"/>
    </sheetView>
  </sheetViews>
  <sheetFormatPr defaultRowHeight="15" x14ac:dyDescent="0.25"/>
  <cols>
    <col min="2" max="2" width="3.109375" customWidth="1"/>
    <col min="3" max="3" width="31.33203125" bestFit="1" customWidth="1"/>
    <col min="4" max="4" width="16.33203125" style="2" customWidth="1"/>
    <col min="5" max="5" width="3.109375" style="3" customWidth="1"/>
  </cols>
  <sheetData>
    <row r="1" spans="2:5" ht="17.399999999999999" x14ac:dyDescent="0.3">
      <c r="C1" s="1" t="s">
        <v>253</v>
      </c>
    </row>
    <row r="2" spans="2:5" x14ac:dyDescent="0.25">
      <c r="C2" s="2" t="s">
        <v>63</v>
      </c>
    </row>
    <row r="4" spans="2:5" ht="15.6" x14ac:dyDescent="0.3">
      <c r="C4" s="37" t="s">
        <v>0</v>
      </c>
    </row>
    <row r="5" spans="2:5" ht="16.2" thickBot="1" x14ac:dyDescent="0.35">
      <c r="C5" s="4"/>
      <c r="D5" s="5"/>
    </row>
    <row r="6" spans="2:5" ht="15.6" x14ac:dyDescent="0.3">
      <c r="B6" s="6"/>
      <c r="C6" s="7"/>
      <c r="D6" s="8"/>
      <c r="E6" s="9"/>
    </row>
    <row r="7" spans="2:5" x14ac:dyDescent="0.25">
      <c r="B7" s="10"/>
      <c r="C7" s="11" t="s">
        <v>71</v>
      </c>
      <c r="D7" s="61">
        <v>30</v>
      </c>
      <c r="E7" s="12"/>
    </row>
    <row r="8" spans="2:5" x14ac:dyDescent="0.25">
      <c r="B8" s="10"/>
      <c r="C8" s="11" t="s">
        <v>152</v>
      </c>
      <c r="D8" s="86">
        <v>0.8</v>
      </c>
      <c r="E8" s="12"/>
    </row>
    <row r="9" spans="2:5" x14ac:dyDescent="0.25">
      <c r="B9" s="10"/>
      <c r="C9" s="11" t="s">
        <v>151</v>
      </c>
      <c r="D9" s="146">
        <v>5500000</v>
      </c>
      <c r="E9" s="12"/>
    </row>
    <row r="10" spans="2:5" x14ac:dyDescent="0.25">
      <c r="B10" s="10"/>
      <c r="C10" s="11" t="s">
        <v>40</v>
      </c>
      <c r="D10" s="62">
        <v>26500</v>
      </c>
      <c r="E10" s="12"/>
    </row>
    <row r="11" spans="2:5" ht="15.6" thickBot="1" x14ac:dyDescent="0.3">
      <c r="B11" s="27"/>
      <c r="C11" s="28"/>
      <c r="D11" s="43"/>
      <c r="E11" s="30"/>
    </row>
    <row r="12" spans="2:5" x14ac:dyDescent="0.25">
      <c r="C12" s="2"/>
    </row>
    <row r="13" spans="2:5" ht="15.6" x14ac:dyDescent="0.3">
      <c r="C13" s="37" t="s">
        <v>1</v>
      </c>
    </row>
    <row r="14" spans="2:5" ht="16.2" thickBot="1" x14ac:dyDescent="0.35">
      <c r="C14" s="4"/>
    </row>
    <row r="15" spans="2:5" x14ac:dyDescent="0.25">
      <c r="B15" s="48"/>
      <c r="C15" s="33"/>
      <c r="D15" s="33"/>
      <c r="E15" s="34"/>
    </row>
    <row r="16" spans="2:5" x14ac:dyDescent="0.25">
      <c r="B16" s="14"/>
      <c r="C16" s="15" t="s">
        <v>173</v>
      </c>
      <c r="D16" s="148">
        <f>D8*D9</f>
        <v>4400000</v>
      </c>
      <c r="E16" s="19"/>
    </row>
    <row r="17" spans="2:5" x14ac:dyDescent="0.25">
      <c r="B17" s="14"/>
      <c r="C17" s="15"/>
      <c r="D17" s="15"/>
      <c r="E17" s="19"/>
    </row>
    <row r="18" spans="2:5" x14ac:dyDescent="0.25">
      <c r="B18" s="14"/>
      <c r="C18" s="15" t="s">
        <v>450</v>
      </c>
      <c r="D18" s="214">
        <f>RATE(D7*12,D10,-D16)</f>
        <v>5.0352493868615379E-3</v>
      </c>
      <c r="E18" s="19"/>
    </row>
    <row r="19" spans="2:5" x14ac:dyDescent="0.25">
      <c r="B19" s="14"/>
      <c r="C19" s="15"/>
      <c r="D19" s="15"/>
      <c r="E19" s="19"/>
    </row>
    <row r="20" spans="2:5" ht="15.6" x14ac:dyDescent="0.3">
      <c r="B20" s="14"/>
      <c r="C20" s="79" t="s">
        <v>174</v>
      </c>
      <c r="D20" s="53">
        <f>D18*12</f>
        <v>6.0422992642338455E-2</v>
      </c>
      <c r="E20" s="19"/>
    </row>
    <row r="21" spans="2:5" ht="15.6" x14ac:dyDescent="0.3">
      <c r="B21" s="14"/>
      <c r="C21" s="79"/>
      <c r="D21" s="54"/>
      <c r="E21" s="19"/>
    </row>
    <row r="22" spans="2:5" ht="15.6" x14ac:dyDescent="0.3">
      <c r="B22" s="14"/>
      <c r="C22" s="79" t="s">
        <v>56</v>
      </c>
      <c r="D22" s="53">
        <f>(1+D18)^12-1</f>
        <v>6.2124745739291054E-2</v>
      </c>
      <c r="E22" s="19"/>
    </row>
    <row r="23" spans="2:5" ht="15.6" thickBot="1" x14ac:dyDescent="0.3">
      <c r="B23" s="16"/>
      <c r="C23" s="80"/>
      <c r="D23" s="70"/>
      <c r="E23" s="21"/>
    </row>
  </sheetData>
  <phoneticPr fontId="0" type="noConversion"/>
  <pageMargins left="0.75" right="0.75" top="1" bottom="1" header="0.5" footer="0.5"/>
  <pageSetup orientation="portrait" horizontalDpi="30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B1:E21"/>
  <sheetViews>
    <sheetView workbookViewId="0">
      <selection activeCell="C2" sqref="C2"/>
    </sheetView>
  </sheetViews>
  <sheetFormatPr defaultRowHeight="15" x14ac:dyDescent="0.25"/>
  <cols>
    <col min="2" max="2" width="3.109375" customWidth="1"/>
    <col min="3" max="3" width="29.5546875" customWidth="1"/>
    <col min="4" max="4" width="16.33203125" style="2" customWidth="1"/>
    <col min="5" max="5" width="3.109375" style="3" customWidth="1"/>
  </cols>
  <sheetData>
    <row r="1" spans="2:5" ht="17.399999999999999" x14ac:dyDescent="0.3">
      <c r="C1" s="1" t="s">
        <v>253</v>
      </c>
    </row>
    <row r="2" spans="2:5" x14ac:dyDescent="0.25">
      <c r="C2" s="2" t="s">
        <v>66</v>
      </c>
    </row>
    <row r="4" spans="2:5" ht="15.6" x14ac:dyDescent="0.3">
      <c r="C4" s="37" t="s">
        <v>0</v>
      </c>
    </row>
    <row r="5" spans="2:5" ht="16.2" thickBot="1" x14ac:dyDescent="0.35">
      <c r="C5" s="4"/>
      <c r="D5" s="5"/>
    </row>
    <row r="6" spans="2:5" ht="15.6" x14ac:dyDescent="0.3">
      <c r="B6" s="6"/>
      <c r="C6" s="7"/>
      <c r="D6" s="8"/>
      <c r="E6" s="9"/>
    </row>
    <row r="7" spans="2:5" x14ac:dyDescent="0.25">
      <c r="B7" s="10"/>
      <c r="C7" s="11" t="s">
        <v>73</v>
      </c>
      <c r="D7" s="62">
        <v>165000</v>
      </c>
      <c r="E7" s="12"/>
    </row>
    <row r="8" spans="2:5" x14ac:dyDescent="0.25">
      <c r="B8" s="10"/>
      <c r="C8" s="11" t="s">
        <v>75</v>
      </c>
      <c r="D8" s="61">
        <v>3</v>
      </c>
      <c r="E8" s="12"/>
    </row>
    <row r="9" spans="2:5" x14ac:dyDescent="0.25">
      <c r="B9" s="10"/>
      <c r="C9" s="11" t="s">
        <v>74</v>
      </c>
      <c r="D9" s="146">
        <v>103000</v>
      </c>
      <c r="E9" s="12"/>
    </row>
    <row r="10" spans="2:5" x14ac:dyDescent="0.25">
      <c r="B10" s="10"/>
      <c r="C10" s="11" t="s">
        <v>5</v>
      </c>
      <c r="D10" s="60">
        <v>0.13</v>
      </c>
      <c r="E10" s="12"/>
    </row>
    <row r="11" spans="2:5" ht="15.6" thickBot="1" x14ac:dyDescent="0.3">
      <c r="B11" s="27"/>
      <c r="C11" s="28"/>
      <c r="D11" s="43"/>
      <c r="E11" s="30"/>
    </row>
    <row r="12" spans="2:5" x14ac:dyDescent="0.25">
      <c r="C12" s="2"/>
    </row>
    <row r="13" spans="2:5" ht="15.6" x14ac:dyDescent="0.3">
      <c r="C13" s="37" t="s">
        <v>1</v>
      </c>
    </row>
    <row r="14" spans="2:5" ht="16.2" thickBot="1" x14ac:dyDescent="0.35">
      <c r="C14" s="4"/>
    </row>
    <row r="15" spans="2:5" x14ac:dyDescent="0.25">
      <c r="B15" s="48"/>
      <c r="C15" s="33"/>
      <c r="D15" s="33"/>
      <c r="E15" s="34"/>
    </row>
    <row r="16" spans="2:5" x14ac:dyDescent="0.25">
      <c r="B16" s="14"/>
      <c r="C16" s="15" t="s">
        <v>175</v>
      </c>
      <c r="D16" s="75">
        <f>D7/(1+D10)^D8</f>
        <v>114353.2767758198</v>
      </c>
      <c r="E16" s="19"/>
    </row>
    <row r="17" spans="2:5" ht="15.6" x14ac:dyDescent="0.3">
      <c r="B17" s="14"/>
      <c r="C17" s="15"/>
      <c r="D17" s="54"/>
      <c r="E17" s="19"/>
    </row>
    <row r="18" spans="2:5" ht="15.6" x14ac:dyDescent="0.3">
      <c r="B18" s="14"/>
      <c r="C18" s="15" t="s">
        <v>176</v>
      </c>
      <c r="D18" s="39">
        <f>D16-D9</f>
        <v>11353.276775819802</v>
      </c>
      <c r="E18" s="19"/>
    </row>
    <row r="19" spans="2:5" ht="15.6" x14ac:dyDescent="0.3">
      <c r="B19" s="14"/>
      <c r="C19" s="15"/>
      <c r="D19" s="24"/>
      <c r="E19" s="19"/>
    </row>
    <row r="20" spans="2:5" ht="15.6" x14ac:dyDescent="0.3">
      <c r="B20" s="14"/>
      <c r="C20" s="15" t="s">
        <v>177</v>
      </c>
      <c r="D20" s="149">
        <f>RATE(D8,0,D9,-D7)</f>
        <v>0.17008004604242744</v>
      </c>
      <c r="E20" s="19"/>
    </row>
    <row r="21" spans="2:5" ht="15.6" thickBot="1" x14ac:dyDescent="0.3">
      <c r="B21" s="16"/>
      <c r="C21" s="17"/>
      <c r="D21" s="70"/>
      <c r="E21" s="21"/>
    </row>
  </sheetData>
  <phoneticPr fontId="0" type="noConversion"/>
  <pageMargins left="0.75" right="0.75" top="1" bottom="1" header="0.5" footer="0.5"/>
  <pageSetup orientation="portrait" horizontalDpi="300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B1:E19"/>
  <sheetViews>
    <sheetView workbookViewId="0">
      <selection activeCell="C2" sqref="C2"/>
    </sheetView>
  </sheetViews>
  <sheetFormatPr defaultRowHeight="15" x14ac:dyDescent="0.25"/>
  <cols>
    <col min="2" max="2" width="3.109375" customWidth="1"/>
    <col min="3" max="3" width="37" bestFit="1" customWidth="1"/>
    <col min="4" max="4" width="19.5546875" style="2" customWidth="1"/>
    <col min="5" max="5" width="3.109375" style="3" customWidth="1"/>
  </cols>
  <sheetData>
    <row r="1" spans="2:5" ht="17.399999999999999" x14ac:dyDescent="0.3">
      <c r="C1" s="1" t="s">
        <v>253</v>
      </c>
    </row>
    <row r="2" spans="2:5" x14ac:dyDescent="0.25">
      <c r="C2" s="2" t="s">
        <v>68</v>
      </c>
    </row>
    <row r="4" spans="2:5" ht="15.6" x14ac:dyDescent="0.3">
      <c r="C4" s="37" t="s">
        <v>0</v>
      </c>
    </row>
    <row r="5" spans="2:5" ht="16.2" thickBot="1" x14ac:dyDescent="0.35">
      <c r="C5" s="4"/>
      <c r="D5" s="5"/>
    </row>
    <row r="6" spans="2:5" ht="15.6" x14ac:dyDescent="0.3">
      <c r="B6" s="6"/>
      <c r="C6" s="7"/>
      <c r="D6" s="8"/>
      <c r="E6" s="9"/>
    </row>
    <row r="7" spans="2:5" x14ac:dyDescent="0.25">
      <c r="B7" s="10"/>
      <c r="C7" s="11" t="s">
        <v>80</v>
      </c>
      <c r="D7" s="62">
        <v>8500</v>
      </c>
      <c r="E7" s="12"/>
    </row>
    <row r="8" spans="2:5" x14ac:dyDescent="0.25">
      <c r="B8" s="10"/>
      <c r="C8" s="11" t="s">
        <v>5</v>
      </c>
      <c r="D8" s="60">
        <v>6.7000000000000004E-2</v>
      </c>
      <c r="E8" s="12"/>
    </row>
    <row r="9" spans="2:5" x14ac:dyDescent="0.25">
      <c r="B9" s="10"/>
      <c r="C9" s="11" t="s">
        <v>81</v>
      </c>
      <c r="D9" s="61">
        <v>6</v>
      </c>
      <c r="E9" s="12"/>
    </row>
    <row r="10" spans="2:5" x14ac:dyDescent="0.25">
      <c r="B10" s="10"/>
      <c r="C10" s="11" t="s">
        <v>153</v>
      </c>
      <c r="D10" s="61">
        <v>25</v>
      </c>
      <c r="E10" s="12"/>
    </row>
    <row r="11" spans="2:5" ht="15.6" thickBot="1" x14ac:dyDescent="0.3">
      <c r="B11" s="27"/>
      <c r="C11" s="28"/>
      <c r="D11" s="43"/>
      <c r="E11" s="30"/>
    </row>
    <row r="12" spans="2:5" x14ac:dyDescent="0.25">
      <c r="C12" s="2"/>
    </row>
    <row r="13" spans="2:5" ht="15.6" x14ac:dyDescent="0.3">
      <c r="C13" s="37" t="s">
        <v>1</v>
      </c>
    </row>
    <row r="14" spans="2:5" ht="16.2" thickBot="1" x14ac:dyDescent="0.35">
      <c r="C14" s="4"/>
    </row>
    <row r="15" spans="2:5" x14ac:dyDescent="0.25">
      <c r="B15" s="48"/>
      <c r="C15" s="33"/>
      <c r="D15" s="33"/>
      <c r="E15" s="34"/>
    </row>
    <row r="16" spans="2:5" x14ac:dyDescent="0.25">
      <c r="B16" s="14"/>
      <c r="C16" s="15" t="str">
        <f>"PV at year "&amp;D9-1</f>
        <v>PV at year 5</v>
      </c>
      <c r="D16" s="107">
        <f>-PV(D8,D10-D9+1,D7)</f>
        <v>92187.536516181906</v>
      </c>
      <c r="E16" s="19"/>
    </row>
    <row r="17" spans="2:5" x14ac:dyDescent="0.25">
      <c r="B17" s="14"/>
      <c r="C17" s="15"/>
      <c r="D17" s="159"/>
      <c r="E17" s="19"/>
    </row>
    <row r="18" spans="2:5" ht="15.6" x14ac:dyDescent="0.3">
      <c r="B18" s="14"/>
      <c r="C18" s="15" t="s">
        <v>386</v>
      </c>
      <c r="D18" s="40">
        <f>-PV(D8,D9-1,0,D16)</f>
        <v>66657.667485030077</v>
      </c>
      <c r="E18" s="19"/>
    </row>
    <row r="19" spans="2:5" ht="15.6" thickBot="1" x14ac:dyDescent="0.3">
      <c r="B19" s="16"/>
      <c r="C19" s="17"/>
      <c r="D19" s="70"/>
      <c r="E19" s="21"/>
    </row>
  </sheetData>
  <phoneticPr fontId="0" type="noConversion"/>
  <pageMargins left="0.75" right="0.75" top="1" bottom="1" header="0.5" footer="0.5"/>
  <pageSetup orientation="portrait" horizontalDpi="300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11"/>
  <dimension ref="B1:H23"/>
  <sheetViews>
    <sheetView workbookViewId="0">
      <selection activeCell="C2" sqref="C2"/>
    </sheetView>
  </sheetViews>
  <sheetFormatPr defaultRowHeight="13.2" x14ac:dyDescent="0.25"/>
  <cols>
    <col min="2" max="2" width="3.109375" customWidth="1"/>
    <col min="3" max="3" width="15" customWidth="1"/>
    <col min="4" max="4" width="17.109375" customWidth="1"/>
    <col min="5" max="5" width="10.109375" customWidth="1"/>
    <col min="6" max="6" width="3.109375" customWidth="1"/>
    <col min="7" max="7" width="15.109375" customWidth="1"/>
    <col min="8" max="8" width="3.109375" customWidth="1"/>
  </cols>
  <sheetData>
    <row r="1" spans="2:7" ht="17.399999999999999" x14ac:dyDescent="0.3">
      <c r="C1" s="1" t="s">
        <v>253</v>
      </c>
    </row>
    <row r="2" spans="2:7" ht="15" x14ac:dyDescent="0.25">
      <c r="C2" s="2" t="s">
        <v>69</v>
      </c>
    </row>
    <row r="4" spans="2:7" ht="15.6" x14ac:dyDescent="0.3">
      <c r="C4" s="37" t="s">
        <v>0</v>
      </c>
      <c r="D4" s="2"/>
      <c r="E4" s="2"/>
      <c r="F4" s="2"/>
      <c r="G4" s="2"/>
    </row>
    <row r="5" spans="2:7" ht="16.2" thickBot="1" x14ac:dyDescent="0.35">
      <c r="C5" s="4"/>
      <c r="D5" s="5"/>
      <c r="E5" s="2"/>
      <c r="F5" s="2"/>
      <c r="G5" s="2"/>
    </row>
    <row r="6" spans="2:7" ht="15.6" x14ac:dyDescent="0.3">
      <c r="B6" s="6"/>
      <c r="C6" s="7"/>
      <c r="D6" s="8"/>
      <c r="E6" s="8"/>
      <c r="F6" s="81"/>
      <c r="G6" s="2"/>
    </row>
    <row r="7" spans="2:7" ht="15" x14ac:dyDescent="0.25">
      <c r="B7" s="10"/>
      <c r="C7" s="11" t="s">
        <v>40</v>
      </c>
      <c r="D7" s="82"/>
      <c r="E7" s="83">
        <v>1940</v>
      </c>
      <c r="F7" s="84"/>
      <c r="G7" s="2"/>
    </row>
    <row r="8" spans="2:7" ht="15" x14ac:dyDescent="0.25">
      <c r="B8" s="10"/>
      <c r="C8" s="11" t="s">
        <v>14</v>
      </c>
      <c r="D8" s="82"/>
      <c r="E8" s="85">
        <v>15</v>
      </c>
      <c r="F8" s="84"/>
      <c r="G8" s="2"/>
    </row>
    <row r="9" spans="2:7" ht="15" x14ac:dyDescent="0.25">
      <c r="B9" s="10"/>
      <c r="C9" s="11"/>
      <c r="D9" s="82"/>
      <c r="E9" s="85"/>
      <c r="F9" s="84"/>
      <c r="G9" s="2"/>
    </row>
    <row r="10" spans="2:7" ht="15" x14ac:dyDescent="0.25">
      <c r="B10" s="10"/>
      <c r="C10" s="11" t="s">
        <v>444</v>
      </c>
      <c r="D10" s="82"/>
      <c r="E10" s="86">
        <v>0.11</v>
      </c>
      <c r="F10" s="84"/>
      <c r="G10" s="2"/>
    </row>
    <row r="11" spans="2:7" ht="15" x14ac:dyDescent="0.25">
      <c r="B11" s="10"/>
      <c r="C11" s="11" t="s">
        <v>14</v>
      </c>
      <c r="D11" s="82"/>
      <c r="E11" s="85">
        <v>7</v>
      </c>
      <c r="F11" s="84"/>
      <c r="G11" s="2"/>
    </row>
    <row r="12" spans="2:7" ht="15" x14ac:dyDescent="0.25">
      <c r="B12" s="10"/>
      <c r="C12" s="11"/>
      <c r="D12" s="82"/>
      <c r="E12" s="85"/>
      <c r="F12" s="84"/>
      <c r="G12" s="2"/>
    </row>
    <row r="13" spans="2:7" ht="15" x14ac:dyDescent="0.25">
      <c r="B13" s="10"/>
      <c r="C13" s="11" t="s">
        <v>445</v>
      </c>
      <c r="D13" s="82"/>
      <c r="E13" s="86">
        <v>0.06</v>
      </c>
      <c r="F13" s="84"/>
      <c r="G13" s="2"/>
    </row>
    <row r="14" spans="2:7" ht="15" x14ac:dyDescent="0.25">
      <c r="B14" s="10"/>
      <c r="C14" s="11" t="s">
        <v>14</v>
      </c>
      <c r="D14" s="82"/>
      <c r="E14" s="215">
        <f>E8-E11</f>
        <v>8</v>
      </c>
      <c r="F14" s="84"/>
      <c r="G14" s="2"/>
    </row>
    <row r="15" spans="2:7" ht="15.6" thickBot="1" x14ac:dyDescent="0.3">
      <c r="B15" s="27"/>
      <c r="C15" s="28"/>
      <c r="D15" s="28"/>
      <c r="E15" s="28"/>
      <c r="F15" s="87"/>
      <c r="G15" s="2"/>
    </row>
    <row r="16" spans="2:7" ht="15" x14ac:dyDescent="0.25">
      <c r="C16" s="2"/>
      <c r="D16" s="2"/>
      <c r="E16" s="2"/>
      <c r="F16" s="2"/>
      <c r="G16" s="2"/>
    </row>
    <row r="17" spans="2:8" ht="15.6" x14ac:dyDescent="0.3">
      <c r="C17" s="37" t="s">
        <v>1</v>
      </c>
      <c r="D17" s="2"/>
      <c r="E17" s="2"/>
      <c r="F17" s="2"/>
      <c r="G17" s="2"/>
    </row>
    <row r="18" spans="2:8" ht="16.2" thickBot="1" x14ac:dyDescent="0.35">
      <c r="C18" s="4"/>
      <c r="D18" s="2"/>
      <c r="E18" s="2"/>
      <c r="F18" s="2"/>
      <c r="G18" s="2"/>
    </row>
    <row r="19" spans="2:8" s="2" customFormat="1" ht="15" x14ac:dyDescent="0.25">
      <c r="B19" s="32"/>
      <c r="C19" s="33"/>
      <c r="D19" s="33"/>
      <c r="E19" s="33"/>
      <c r="F19" s="33"/>
      <c r="G19" s="33"/>
      <c r="H19" s="88"/>
    </row>
    <row r="20" spans="2:8" s="2" customFormat="1" ht="15" x14ac:dyDescent="0.25">
      <c r="B20" s="35"/>
      <c r="C20" s="89" t="s">
        <v>457</v>
      </c>
      <c r="D20" s="90"/>
      <c r="E20" s="15"/>
      <c r="F20" s="15"/>
      <c r="G20" s="176">
        <f>-PV(E13/12,E14*12,E7)</f>
        <v>147624.72341124306</v>
      </c>
      <c r="H20" s="92"/>
    </row>
    <row r="21" spans="2:8" s="2" customFormat="1" ht="15" x14ac:dyDescent="0.25">
      <c r="B21" s="35"/>
      <c r="C21" s="15"/>
      <c r="D21" s="93"/>
      <c r="E21" s="15"/>
      <c r="F21" s="94"/>
      <c r="G21" s="15"/>
      <c r="H21" s="92"/>
    </row>
    <row r="22" spans="2:8" s="2" customFormat="1" ht="15.6" x14ac:dyDescent="0.3">
      <c r="B22" s="35"/>
      <c r="C22" s="15" t="s">
        <v>387</v>
      </c>
      <c r="D22" s="95"/>
      <c r="E22" s="96"/>
      <c r="F22" s="95"/>
      <c r="G22" s="123">
        <f>PV(E10/12,E11*12,-E7,-G20)</f>
        <v>181893.99174587801</v>
      </c>
      <c r="H22" s="92"/>
    </row>
    <row r="23" spans="2:8" s="2" customFormat="1" ht="15.6" thickBot="1" x14ac:dyDescent="0.3">
      <c r="B23" s="36"/>
      <c r="C23" s="17"/>
      <c r="D23" s="17"/>
      <c r="E23" s="17"/>
      <c r="F23" s="17"/>
      <c r="G23" s="17"/>
      <c r="H23" s="98"/>
    </row>
  </sheetData>
  <phoneticPr fontId="0" type="noConversion"/>
  <pageMargins left="0.75" right="0.75" top="1" bottom="1" header="0.5" footer="0.5"/>
  <pageSetup orientation="portrait" horizontalDpi="30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111"/>
  <dimension ref="B1:E23"/>
  <sheetViews>
    <sheetView workbookViewId="0">
      <selection activeCell="C2" sqref="C2"/>
    </sheetView>
  </sheetViews>
  <sheetFormatPr defaultRowHeight="13.2" x14ac:dyDescent="0.25"/>
  <cols>
    <col min="2" max="2" width="3.109375" customWidth="1"/>
    <col min="3" max="3" width="30.33203125" bestFit="1" customWidth="1"/>
    <col min="4" max="4" width="17.5546875" customWidth="1"/>
    <col min="5" max="5" width="3.109375" customWidth="1"/>
  </cols>
  <sheetData>
    <row r="1" spans="2:5" ht="17.399999999999999" x14ac:dyDescent="0.3">
      <c r="C1" s="1" t="s">
        <v>253</v>
      </c>
    </row>
    <row r="2" spans="2:5" ht="15" x14ac:dyDescent="0.25">
      <c r="C2" s="2" t="s">
        <v>70</v>
      </c>
    </row>
    <row r="4" spans="2:5" ht="15.6" x14ac:dyDescent="0.3">
      <c r="C4" s="37" t="s">
        <v>0</v>
      </c>
      <c r="D4" s="2"/>
      <c r="E4" s="2"/>
    </row>
    <row r="5" spans="2:5" ht="16.2" thickBot="1" x14ac:dyDescent="0.35">
      <c r="C5" s="4"/>
      <c r="D5" s="2"/>
      <c r="E5" s="2"/>
    </row>
    <row r="6" spans="2:5" ht="15.6" x14ac:dyDescent="0.3">
      <c r="B6" s="6"/>
      <c r="C6" s="7"/>
      <c r="D6" s="8"/>
      <c r="E6" s="81"/>
    </row>
    <row r="7" spans="2:5" ht="15.6" x14ac:dyDescent="0.3">
      <c r="B7" s="10"/>
      <c r="C7" s="18" t="s">
        <v>82</v>
      </c>
      <c r="D7" s="11"/>
      <c r="E7" s="84"/>
    </row>
    <row r="8" spans="2:5" ht="15" x14ac:dyDescent="0.25">
      <c r="B8" s="10"/>
      <c r="C8" s="11" t="s">
        <v>40</v>
      </c>
      <c r="D8" s="62">
        <v>1175</v>
      </c>
      <c r="E8" s="84"/>
    </row>
    <row r="9" spans="2:5" ht="15" x14ac:dyDescent="0.25">
      <c r="B9" s="10"/>
      <c r="C9" s="11" t="s">
        <v>14</v>
      </c>
      <c r="D9" s="61">
        <v>15</v>
      </c>
      <c r="E9" s="84"/>
    </row>
    <row r="10" spans="2:5" ht="15" x14ac:dyDescent="0.25">
      <c r="B10" s="10"/>
      <c r="C10" s="11" t="s">
        <v>255</v>
      </c>
      <c r="D10" s="138">
        <v>6.4000000000000001E-2</v>
      </c>
      <c r="E10" s="84"/>
    </row>
    <row r="11" spans="2:5" ht="15" x14ac:dyDescent="0.25">
      <c r="B11" s="10"/>
      <c r="C11" s="11"/>
      <c r="D11" s="85"/>
      <c r="E11" s="84"/>
    </row>
    <row r="12" spans="2:5" ht="15.6" x14ac:dyDescent="0.3">
      <c r="B12" s="10"/>
      <c r="C12" s="18" t="s">
        <v>83</v>
      </c>
      <c r="D12" s="85"/>
      <c r="E12" s="84"/>
    </row>
    <row r="13" spans="2:5" ht="15" x14ac:dyDescent="0.25">
      <c r="B13" s="10"/>
      <c r="C13" s="11" t="s">
        <v>14</v>
      </c>
      <c r="D13" s="85">
        <v>15</v>
      </c>
      <c r="E13" s="84"/>
    </row>
    <row r="14" spans="2:5" ht="15" x14ac:dyDescent="0.25">
      <c r="B14" s="10"/>
      <c r="C14" s="11" t="s">
        <v>255</v>
      </c>
      <c r="D14" s="99">
        <v>7.0000000000000007E-2</v>
      </c>
      <c r="E14" s="84"/>
    </row>
    <row r="15" spans="2:5" ht="15.6" thickBot="1" x14ac:dyDescent="0.3">
      <c r="B15" s="27"/>
      <c r="C15" s="28"/>
      <c r="D15" s="28"/>
      <c r="E15" s="87"/>
    </row>
    <row r="16" spans="2:5" ht="15" x14ac:dyDescent="0.25">
      <c r="C16" s="2"/>
      <c r="D16" s="2"/>
      <c r="E16" s="2"/>
    </row>
    <row r="17" spans="2:5" ht="15.6" x14ac:dyDescent="0.3">
      <c r="C17" s="37" t="s">
        <v>1</v>
      </c>
      <c r="D17" s="2"/>
      <c r="E17" s="2"/>
    </row>
    <row r="18" spans="2:5" ht="16.2" thickBot="1" x14ac:dyDescent="0.35">
      <c r="C18" s="4"/>
      <c r="D18" s="2"/>
      <c r="E18" s="2"/>
    </row>
    <row r="19" spans="2:5" s="2" customFormat="1" ht="15" x14ac:dyDescent="0.25">
      <c r="B19" s="32"/>
      <c r="C19" s="33"/>
      <c r="D19" s="33"/>
      <c r="E19" s="88"/>
    </row>
    <row r="20" spans="2:5" s="2" customFormat="1" ht="15" x14ac:dyDescent="0.25">
      <c r="B20" s="35"/>
      <c r="C20" s="89" t="s">
        <v>458</v>
      </c>
      <c r="D20" s="75">
        <f>-FV(D10/12,D9*12,D8)</f>
        <v>353610.96946629049</v>
      </c>
      <c r="E20" s="92"/>
    </row>
    <row r="21" spans="2:5" s="2" customFormat="1" ht="15" x14ac:dyDescent="0.25">
      <c r="B21" s="35"/>
      <c r="C21" s="15"/>
      <c r="D21" s="15"/>
      <c r="E21" s="100"/>
    </row>
    <row r="22" spans="2:5" s="2" customFormat="1" ht="15.6" x14ac:dyDescent="0.3">
      <c r="B22" s="35"/>
      <c r="C22" s="15" t="s">
        <v>388</v>
      </c>
      <c r="D22" s="39">
        <f>D20/EXP(D14*D13)</f>
        <v>123741.82671604717</v>
      </c>
      <c r="E22" s="101"/>
    </row>
    <row r="23" spans="2:5" s="2" customFormat="1" ht="15.6" thickBot="1" x14ac:dyDescent="0.3">
      <c r="B23" s="36"/>
      <c r="C23" s="17"/>
      <c r="D23" s="17"/>
      <c r="E23" s="98"/>
    </row>
  </sheetData>
  <phoneticPr fontId="0" type="noConversion"/>
  <pageMargins left="0.75" right="0.75" top="1" bottom="1" header="0.5" footer="0.5"/>
  <pageSetup orientation="portrait" horizontalDpi="300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1111"/>
  <dimension ref="B1:E19"/>
  <sheetViews>
    <sheetView workbookViewId="0">
      <selection activeCell="C2" sqref="C2"/>
    </sheetView>
  </sheetViews>
  <sheetFormatPr defaultRowHeight="13.2" x14ac:dyDescent="0.25"/>
  <cols>
    <col min="2" max="2" width="3.109375" customWidth="1"/>
    <col min="3" max="3" width="46" bestFit="1" customWidth="1"/>
    <col min="4" max="4" width="15.44140625" bestFit="1" customWidth="1"/>
    <col min="5" max="5" width="3.109375" customWidth="1"/>
  </cols>
  <sheetData>
    <row r="1" spans="2:5" ht="17.399999999999999" x14ac:dyDescent="0.3">
      <c r="C1" s="1" t="s">
        <v>253</v>
      </c>
    </row>
    <row r="2" spans="2:5" ht="15" x14ac:dyDescent="0.25">
      <c r="C2" s="2" t="s">
        <v>72</v>
      </c>
    </row>
    <row r="4" spans="2:5" ht="15.6" x14ac:dyDescent="0.3">
      <c r="C4" s="37" t="s">
        <v>0</v>
      </c>
      <c r="D4" s="2"/>
      <c r="E4" s="2"/>
    </row>
    <row r="5" spans="2:5" ht="16.2" thickBot="1" x14ac:dyDescent="0.35">
      <c r="C5" s="4"/>
      <c r="D5" s="2"/>
      <c r="E5" s="2"/>
    </row>
    <row r="6" spans="2:5" ht="15.6" x14ac:dyDescent="0.3">
      <c r="B6" s="6"/>
      <c r="C6" s="7"/>
      <c r="D6" s="8"/>
      <c r="E6" s="81"/>
    </row>
    <row r="7" spans="2:5" ht="15" x14ac:dyDescent="0.25">
      <c r="B7" s="10"/>
      <c r="C7" s="11" t="s">
        <v>255</v>
      </c>
      <c r="D7" s="60">
        <v>6.3E-2</v>
      </c>
      <c r="E7" s="84"/>
    </row>
    <row r="8" spans="2:5" ht="15" x14ac:dyDescent="0.25">
      <c r="B8" s="10"/>
      <c r="C8" s="11" t="s">
        <v>86</v>
      </c>
      <c r="D8" s="85">
        <v>7</v>
      </c>
      <c r="E8" s="84"/>
    </row>
    <row r="9" spans="2:5" ht="15" x14ac:dyDescent="0.25">
      <c r="B9" s="10"/>
      <c r="C9" s="11" t="s">
        <v>84</v>
      </c>
      <c r="D9" s="62">
        <v>2350</v>
      </c>
      <c r="E9" s="84"/>
    </row>
    <row r="10" spans="2:5" ht="15" x14ac:dyDescent="0.25">
      <c r="B10" s="10"/>
      <c r="C10" s="11" t="s">
        <v>85</v>
      </c>
      <c r="D10" s="61">
        <v>15</v>
      </c>
      <c r="E10" s="84"/>
    </row>
    <row r="11" spans="2:5" ht="15.6" thickBot="1" x14ac:dyDescent="0.3">
      <c r="B11" s="27"/>
      <c r="C11" s="28"/>
      <c r="D11" s="28"/>
      <c r="E11" s="87"/>
    </row>
    <row r="12" spans="2:5" ht="15" x14ac:dyDescent="0.25">
      <c r="C12" s="2"/>
      <c r="D12" s="2"/>
      <c r="E12" s="2"/>
    </row>
    <row r="13" spans="2:5" ht="15.6" x14ac:dyDescent="0.3">
      <c r="C13" s="37" t="s">
        <v>1</v>
      </c>
      <c r="D13" s="2"/>
      <c r="E13" s="2"/>
    </row>
    <row r="14" spans="2:5" ht="16.2" thickBot="1" x14ac:dyDescent="0.35">
      <c r="C14" s="4"/>
      <c r="D14" s="2"/>
      <c r="E14" s="2"/>
    </row>
    <row r="15" spans="2:5" s="2" customFormat="1" ht="15" x14ac:dyDescent="0.25">
      <c r="B15" s="32"/>
      <c r="C15" s="33"/>
      <c r="D15" s="33"/>
      <c r="E15" s="88"/>
    </row>
    <row r="16" spans="2:5" s="2" customFormat="1" ht="15" x14ac:dyDescent="0.25">
      <c r="B16" s="35"/>
      <c r="C16" s="89" t="str">
        <f>"Present value of perpetual stream at Year "&amp;D10-1</f>
        <v>Present value of perpetual stream at Year 14</v>
      </c>
      <c r="D16" s="75">
        <f>D9/D7</f>
        <v>37301.5873015873</v>
      </c>
      <c r="E16" s="92"/>
    </row>
    <row r="17" spans="2:5" s="2" customFormat="1" ht="15" x14ac:dyDescent="0.25">
      <c r="B17" s="35"/>
      <c r="C17" s="15"/>
      <c r="D17" s="15"/>
      <c r="E17" s="100"/>
    </row>
    <row r="18" spans="2:5" s="2" customFormat="1" ht="15.6" x14ac:dyDescent="0.3">
      <c r="B18" s="35"/>
      <c r="C18" s="15" t="str">
        <f>"Present value at Year "&amp;D8</f>
        <v>Present value at Year 7</v>
      </c>
      <c r="D18" s="40">
        <f>-PV(D7,D10-D8-1,0,D16)</f>
        <v>24321.729897643796</v>
      </c>
      <c r="E18" s="101"/>
    </row>
    <row r="19" spans="2:5" s="2" customFormat="1" ht="15.6" thickBot="1" x14ac:dyDescent="0.3">
      <c r="B19" s="36"/>
      <c r="C19" s="17"/>
      <c r="D19" s="17"/>
      <c r="E19" s="98"/>
    </row>
  </sheetData>
  <phoneticPr fontId="0" type="noConversion"/>
  <pageMargins left="0.75" right="0.75" top="1" bottom="1" header="0.5" footer="0.5"/>
  <pageSetup orientation="portrait" horizontalDpi="300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11111"/>
  <dimension ref="B1:E22"/>
  <sheetViews>
    <sheetView workbookViewId="0">
      <selection activeCell="C2" sqref="C2"/>
    </sheetView>
  </sheetViews>
  <sheetFormatPr defaultRowHeight="13.2" x14ac:dyDescent="0.25"/>
  <cols>
    <col min="2" max="2" width="3.109375" customWidth="1"/>
    <col min="3" max="3" width="21.109375" bestFit="1" customWidth="1"/>
    <col min="4" max="4" width="15.44140625" bestFit="1" customWidth="1"/>
    <col min="5" max="5" width="3.109375" customWidth="1"/>
  </cols>
  <sheetData>
    <row r="1" spans="2:5" ht="17.399999999999999" x14ac:dyDescent="0.3">
      <c r="C1" s="1" t="s">
        <v>253</v>
      </c>
    </row>
    <row r="2" spans="2:5" ht="15" x14ac:dyDescent="0.25">
      <c r="C2" s="2" t="s">
        <v>76</v>
      </c>
    </row>
    <row r="4" spans="2:5" ht="15.6" x14ac:dyDescent="0.3">
      <c r="C4" s="37" t="s">
        <v>0</v>
      </c>
      <c r="D4" s="2"/>
      <c r="E4" s="2"/>
    </row>
    <row r="5" spans="2:5" ht="16.2" thickBot="1" x14ac:dyDescent="0.35">
      <c r="C5" s="4"/>
      <c r="D5" s="2"/>
      <c r="E5" s="2"/>
    </row>
    <row r="6" spans="2:5" ht="15.6" x14ac:dyDescent="0.3">
      <c r="B6" s="6"/>
      <c r="C6" s="7"/>
      <c r="D6" s="8"/>
      <c r="E6" s="81"/>
    </row>
    <row r="7" spans="2:5" ht="15" x14ac:dyDescent="0.25">
      <c r="B7" s="10"/>
      <c r="C7" s="11" t="s">
        <v>89</v>
      </c>
      <c r="D7" s="60">
        <v>0.16300000000000001</v>
      </c>
      <c r="E7" s="84"/>
    </row>
    <row r="8" spans="2:5" ht="15" x14ac:dyDescent="0.25">
      <c r="B8" s="10"/>
      <c r="C8" s="11" t="s">
        <v>154</v>
      </c>
      <c r="D8" s="61">
        <v>12</v>
      </c>
      <c r="E8" s="84"/>
    </row>
    <row r="9" spans="2:5" ht="15" x14ac:dyDescent="0.25">
      <c r="B9" s="10"/>
      <c r="C9" s="11" t="s">
        <v>87</v>
      </c>
      <c r="D9" s="62">
        <v>26000</v>
      </c>
      <c r="E9" s="84"/>
    </row>
    <row r="10" spans="2:5" ht="15" x14ac:dyDescent="0.25">
      <c r="B10" s="10"/>
      <c r="C10" s="11" t="s">
        <v>391</v>
      </c>
      <c r="D10" s="216">
        <f>D9*D7</f>
        <v>4238</v>
      </c>
      <c r="E10" s="84"/>
    </row>
    <row r="11" spans="2:5" ht="15" x14ac:dyDescent="0.25">
      <c r="B11" s="10"/>
      <c r="C11" s="11" t="s">
        <v>40</v>
      </c>
      <c r="D11" s="217">
        <f>ROUND((D9+D10)/D8,2)</f>
        <v>2519.83</v>
      </c>
      <c r="E11" s="84"/>
    </row>
    <row r="12" spans="2:5" ht="15.6" thickBot="1" x14ac:dyDescent="0.3">
      <c r="B12" s="27"/>
      <c r="C12" s="28"/>
      <c r="D12" s="28"/>
      <c r="E12" s="87"/>
    </row>
    <row r="13" spans="2:5" ht="15" x14ac:dyDescent="0.25">
      <c r="C13" s="2"/>
      <c r="D13" s="2"/>
      <c r="E13" s="2"/>
    </row>
    <row r="14" spans="2:5" ht="15.6" x14ac:dyDescent="0.3">
      <c r="C14" s="37" t="s">
        <v>1</v>
      </c>
      <c r="D14" s="2"/>
      <c r="E14" s="2"/>
    </row>
    <row r="15" spans="2:5" ht="16.2" thickBot="1" x14ac:dyDescent="0.35">
      <c r="C15" s="4"/>
      <c r="D15" s="2"/>
      <c r="E15" s="2"/>
    </row>
    <row r="16" spans="2:5" s="2" customFormat="1" ht="15" x14ac:dyDescent="0.25">
      <c r="B16" s="32"/>
      <c r="C16" s="33"/>
      <c r="D16" s="33"/>
      <c r="E16" s="88"/>
    </row>
    <row r="17" spans="2:5" s="2" customFormat="1" ht="15" x14ac:dyDescent="0.25">
      <c r="B17" s="35"/>
      <c r="C17" s="89" t="s">
        <v>389</v>
      </c>
      <c r="D17" s="164">
        <f>RATE(D8,-D11,D9,0)</f>
        <v>2.4031829036560409E-2</v>
      </c>
      <c r="E17" s="92"/>
    </row>
    <row r="18" spans="2:5" s="2" customFormat="1" ht="15.6" x14ac:dyDescent="0.3">
      <c r="B18" s="35"/>
      <c r="C18" s="89"/>
      <c r="D18" s="103"/>
      <c r="E18" s="92"/>
    </row>
    <row r="19" spans="2:5" s="2" customFormat="1" ht="15.6" x14ac:dyDescent="0.3">
      <c r="B19" s="35"/>
      <c r="C19" s="89" t="s">
        <v>390</v>
      </c>
      <c r="D19" s="149">
        <f>D17*D8</f>
        <v>0.28838194843872489</v>
      </c>
      <c r="E19" s="92"/>
    </row>
    <row r="20" spans="2:5" s="2" customFormat="1" ht="15" x14ac:dyDescent="0.25">
      <c r="B20" s="35"/>
      <c r="C20" s="15"/>
      <c r="D20" s="150"/>
      <c r="E20" s="100"/>
    </row>
    <row r="21" spans="2:5" s="2" customFormat="1" ht="15.6" x14ac:dyDescent="0.3">
      <c r="B21" s="35"/>
      <c r="C21" s="15" t="s">
        <v>168</v>
      </c>
      <c r="D21" s="149">
        <f>EFFECT(D19,D8)</f>
        <v>0.32972387797323632</v>
      </c>
      <c r="E21" s="101"/>
    </row>
    <row r="22" spans="2:5" s="2" customFormat="1" ht="15.6" thickBot="1" x14ac:dyDescent="0.3">
      <c r="B22" s="36"/>
      <c r="C22" s="17"/>
      <c r="D22" s="17"/>
      <c r="E22" s="98"/>
    </row>
  </sheetData>
  <phoneticPr fontId="0" type="noConversion"/>
  <pageMargins left="0.75" right="0.75" top="1" bottom="1" header="0.5" footer="0.5"/>
  <pageSetup orientation="portrait" horizontalDpi="300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111112"/>
  <dimension ref="B1:E29"/>
  <sheetViews>
    <sheetView workbookViewId="0">
      <selection activeCell="C2" sqref="C2"/>
    </sheetView>
  </sheetViews>
  <sheetFormatPr defaultRowHeight="13.2" x14ac:dyDescent="0.25"/>
  <cols>
    <col min="2" max="2" width="3.109375" customWidth="1"/>
    <col min="3" max="3" width="34.44140625" customWidth="1"/>
    <col min="4" max="4" width="15.109375" customWidth="1"/>
    <col min="5" max="5" width="3.109375" customWidth="1"/>
  </cols>
  <sheetData>
    <row r="1" spans="2:5" ht="17.399999999999999" x14ac:dyDescent="0.3">
      <c r="C1" s="1" t="s">
        <v>253</v>
      </c>
    </row>
    <row r="2" spans="2:5" ht="15" x14ac:dyDescent="0.25">
      <c r="C2" s="2" t="s">
        <v>77</v>
      </c>
    </row>
    <row r="4" spans="2:5" ht="15.6" x14ac:dyDescent="0.3">
      <c r="C4" s="37" t="s">
        <v>0</v>
      </c>
      <c r="D4" s="2"/>
      <c r="E4" s="2"/>
    </row>
    <row r="5" spans="2:5" ht="16.2" thickBot="1" x14ac:dyDescent="0.35">
      <c r="C5" s="4"/>
      <c r="D5" s="2"/>
      <c r="E5" s="2"/>
    </row>
    <row r="6" spans="2:5" ht="15.6" x14ac:dyDescent="0.3">
      <c r="B6" s="6"/>
      <c r="C6" s="7"/>
      <c r="D6" s="8"/>
      <c r="E6" s="81"/>
    </row>
    <row r="7" spans="2:5" ht="15" x14ac:dyDescent="0.25">
      <c r="B7" s="10"/>
      <c r="C7" s="11" t="s">
        <v>91</v>
      </c>
      <c r="D7" s="62">
        <v>5230</v>
      </c>
      <c r="E7" s="84"/>
    </row>
    <row r="8" spans="2:5" ht="15" x14ac:dyDescent="0.25">
      <c r="B8" s="10"/>
      <c r="C8" s="11" t="s">
        <v>14</v>
      </c>
      <c r="D8" s="61">
        <v>5</v>
      </c>
      <c r="E8" s="84"/>
    </row>
    <row r="9" spans="2:5" ht="15" x14ac:dyDescent="0.25">
      <c r="B9" s="10"/>
      <c r="C9" s="11" t="s">
        <v>92</v>
      </c>
      <c r="D9" s="147">
        <v>9.5</v>
      </c>
      <c r="E9" s="84"/>
    </row>
    <row r="10" spans="2:5" ht="15" x14ac:dyDescent="0.25">
      <c r="B10" s="10"/>
      <c r="C10" s="11" t="s">
        <v>5</v>
      </c>
      <c r="D10" s="86">
        <v>0.1</v>
      </c>
      <c r="E10" s="84"/>
    </row>
    <row r="11" spans="2:5" ht="15" x14ac:dyDescent="0.25">
      <c r="B11" s="10"/>
      <c r="C11" s="11" t="s">
        <v>155</v>
      </c>
      <c r="D11" s="141">
        <v>12</v>
      </c>
      <c r="E11" s="84"/>
    </row>
    <row r="12" spans="2:5" ht="15" x14ac:dyDescent="0.25">
      <c r="B12" s="10"/>
      <c r="C12" s="11" t="s">
        <v>157</v>
      </c>
      <c r="D12" s="61">
        <v>5</v>
      </c>
      <c r="E12" s="84"/>
    </row>
    <row r="13" spans="2:5" ht="15" x14ac:dyDescent="0.25">
      <c r="B13" s="10"/>
      <c r="C13" s="11" t="s">
        <v>157</v>
      </c>
      <c r="D13" s="61">
        <v>3</v>
      </c>
      <c r="E13" s="84"/>
    </row>
    <row r="14" spans="2:5" ht="15" x14ac:dyDescent="0.25">
      <c r="B14" s="10"/>
      <c r="C14" s="11" t="s">
        <v>157</v>
      </c>
      <c r="D14" s="306">
        <v>0</v>
      </c>
      <c r="E14" s="84"/>
    </row>
    <row r="15" spans="2:5" ht="15.6" thickBot="1" x14ac:dyDescent="0.3">
      <c r="B15" s="27"/>
      <c r="C15" s="28"/>
      <c r="D15" s="28"/>
      <c r="E15" s="87"/>
    </row>
    <row r="16" spans="2:5" ht="15" x14ac:dyDescent="0.25">
      <c r="C16" s="2"/>
      <c r="D16" s="2"/>
      <c r="E16" s="2"/>
    </row>
    <row r="17" spans="2:5" ht="15.6" x14ac:dyDescent="0.3">
      <c r="C17" s="37" t="s">
        <v>1</v>
      </c>
      <c r="D17" s="2"/>
      <c r="E17" s="2"/>
    </row>
    <row r="18" spans="2:5" ht="16.2" thickBot="1" x14ac:dyDescent="0.35">
      <c r="C18" s="4"/>
      <c r="D18" s="2"/>
      <c r="E18" s="2"/>
    </row>
    <row r="19" spans="2:5" s="2" customFormat="1" ht="15" x14ac:dyDescent="0.25">
      <c r="B19" s="32"/>
      <c r="C19" s="33"/>
      <c r="D19" s="33"/>
      <c r="E19" s="88"/>
    </row>
    <row r="20" spans="2:5" s="2" customFormat="1" ht="15" x14ac:dyDescent="0.25">
      <c r="B20" s="35"/>
      <c r="C20" s="89" t="s">
        <v>156</v>
      </c>
      <c r="D20" s="104">
        <f>(1+D10/D11)^6-1</f>
        <v>5.1053313320164939E-2</v>
      </c>
      <c r="E20" s="92"/>
    </row>
    <row r="21" spans="2:5" s="2" customFormat="1" ht="15" x14ac:dyDescent="0.25">
      <c r="B21" s="35"/>
      <c r="C21" s="15"/>
      <c r="D21" s="15"/>
      <c r="E21" s="100"/>
    </row>
    <row r="22" spans="2:5" s="2" customFormat="1" ht="15" x14ac:dyDescent="0.25">
      <c r="B22" s="35"/>
      <c r="C22" s="15" t="str">
        <f>"PV of annuity at Year "&amp;D9-0.5</f>
        <v>PV of annuity at Year 9</v>
      </c>
      <c r="D22" s="75">
        <f>-PV(D20,D8*2,D7)</f>
        <v>40178.89404659492</v>
      </c>
      <c r="E22" s="101"/>
    </row>
    <row r="23" spans="2:5" s="2" customFormat="1" ht="15" x14ac:dyDescent="0.25">
      <c r="B23" s="35"/>
      <c r="C23" s="15"/>
      <c r="D23" s="75"/>
      <c r="E23" s="101"/>
    </row>
    <row r="24" spans="2:5" s="2" customFormat="1" ht="15" x14ac:dyDescent="0.25">
      <c r="B24" s="35"/>
      <c r="C24" s="15" t="s">
        <v>146</v>
      </c>
      <c r="D24" s="104">
        <f>EFFECT(D10,D11)</f>
        <v>0.10471306744129683</v>
      </c>
      <c r="E24" s="101"/>
    </row>
    <row r="25" spans="2:5" s="2" customFormat="1" ht="15.6" x14ac:dyDescent="0.3">
      <c r="B25" s="35"/>
      <c r="C25" s="15"/>
      <c r="D25" s="58"/>
      <c r="E25" s="101"/>
    </row>
    <row r="26" spans="2:5" s="2" customFormat="1" ht="15.6" x14ac:dyDescent="0.3">
      <c r="B26" s="35"/>
      <c r="C26" s="15" t="str">
        <f>"Present value at Year "&amp;D12</f>
        <v>Present value at Year 5</v>
      </c>
      <c r="D26" s="40">
        <f>-PV($D$24,($D$9-0.5)-D12,0,$D$22)</f>
        <v>26977.395156846895</v>
      </c>
      <c r="E26" s="101"/>
    </row>
    <row r="27" spans="2:5" s="2" customFormat="1" ht="15.6" x14ac:dyDescent="0.3">
      <c r="B27" s="35"/>
      <c r="C27" s="15" t="str">
        <f>"Present value at Year "&amp;D13</f>
        <v>Present value at Year 3</v>
      </c>
      <c r="D27" s="40">
        <f t="shared" ref="D27:D28" si="0">-PV($D$24,($D$9-0.5)-D13,0,$D$22)</f>
        <v>22105.535038082729</v>
      </c>
      <c r="E27" s="101"/>
    </row>
    <row r="28" spans="2:5" s="2" customFormat="1" ht="15.6" x14ac:dyDescent="0.3">
      <c r="B28" s="35"/>
      <c r="C28" s="15" t="str">
        <f>"Present value at Year "&amp;D14</f>
        <v>Present value at Year 0</v>
      </c>
      <c r="D28" s="40">
        <f t="shared" si="0"/>
        <v>16396.553003875426</v>
      </c>
      <c r="E28" s="101"/>
    </row>
    <row r="29" spans="2:5" s="2" customFormat="1" ht="15.6" thickBot="1" x14ac:dyDescent="0.3">
      <c r="B29" s="36"/>
      <c r="C29" s="17"/>
      <c r="D29" s="17"/>
      <c r="E29" s="98"/>
    </row>
  </sheetData>
  <phoneticPr fontId="0" type="noConversion"/>
  <pageMargins left="0.75" right="0.75" top="1" bottom="1" header="0.5" footer="0.5"/>
  <pageSetup orientation="portrait" horizont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1112"/>
  <dimension ref="B1:G13"/>
  <sheetViews>
    <sheetView workbookViewId="0">
      <selection activeCell="E7" sqref="E7"/>
    </sheetView>
  </sheetViews>
  <sheetFormatPr defaultRowHeight="15" x14ac:dyDescent="0.25"/>
  <cols>
    <col min="2" max="2" width="3.109375" customWidth="1"/>
    <col min="3" max="3" width="19.88671875" customWidth="1"/>
    <col min="4" max="4" width="10.88671875" style="2" customWidth="1"/>
    <col min="5" max="5" width="12.88671875" bestFit="1" customWidth="1"/>
    <col min="6" max="6" width="15.44140625" bestFit="1" customWidth="1"/>
    <col min="7" max="7" width="3.109375" customWidth="1"/>
  </cols>
  <sheetData>
    <row r="1" spans="2:7" ht="17.399999999999999" x14ac:dyDescent="0.3">
      <c r="C1" s="1" t="s">
        <v>253</v>
      </c>
    </row>
    <row r="2" spans="2:7" x14ac:dyDescent="0.25">
      <c r="C2" s="2" t="s">
        <v>12</v>
      </c>
    </row>
    <row r="4" spans="2:7" ht="15.6" x14ac:dyDescent="0.3">
      <c r="C4" s="37" t="s">
        <v>0</v>
      </c>
      <c r="E4" s="37" t="s">
        <v>1</v>
      </c>
    </row>
    <row r="5" spans="2:7" ht="16.2" thickBot="1" x14ac:dyDescent="0.35">
      <c r="C5" s="4"/>
      <c r="D5" s="5"/>
      <c r="E5" s="2"/>
    </row>
    <row r="6" spans="2:7" s="2" customFormat="1" ht="15.6" x14ac:dyDescent="0.3">
      <c r="B6" s="116"/>
      <c r="C6" s="7"/>
      <c r="D6" s="8"/>
      <c r="E6" s="33"/>
      <c r="F6" s="8"/>
      <c r="G6" s="81"/>
    </row>
    <row r="7" spans="2:7" s="2" customFormat="1" x14ac:dyDescent="0.25">
      <c r="B7" s="117"/>
      <c r="C7" s="119" t="s">
        <v>145</v>
      </c>
      <c r="D7" s="183" t="s">
        <v>254</v>
      </c>
      <c r="E7" s="184" t="s">
        <v>20</v>
      </c>
      <c r="F7" s="119" t="s">
        <v>48</v>
      </c>
      <c r="G7" s="84"/>
    </row>
    <row r="8" spans="2:7" s="2" customFormat="1" ht="15" customHeight="1" x14ac:dyDescent="0.3">
      <c r="B8" s="117"/>
      <c r="C8" s="158">
        <v>189</v>
      </c>
      <c r="D8" s="61">
        <v>4</v>
      </c>
      <c r="E8" s="47">
        <f>(F8/C8)^(1/D8)-1</f>
        <v>0.11008190420594222</v>
      </c>
      <c r="F8" s="62">
        <v>287</v>
      </c>
      <c r="G8" s="84"/>
    </row>
    <row r="9" spans="2:7" s="2" customFormat="1" ht="15" customHeight="1" x14ac:dyDescent="0.3">
      <c r="B9" s="117"/>
      <c r="C9" s="144">
        <v>410</v>
      </c>
      <c r="D9" s="61">
        <v>8</v>
      </c>
      <c r="E9" s="47">
        <f>(F9/C9)^(1/D9)-1</f>
        <v>0.10126660648862273</v>
      </c>
      <c r="F9" s="61">
        <v>887</v>
      </c>
      <c r="G9" s="84"/>
    </row>
    <row r="10" spans="2:7" s="2" customFormat="1" ht="15.6" x14ac:dyDescent="0.3">
      <c r="B10" s="117"/>
      <c r="C10" s="144">
        <v>51700</v>
      </c>
      <c r="D10" s="61">
        <v>14</v>
      </c>
      <c r="E10" s="47">
        <f>(F10/C10)^(1/D10)-1</f>
        <v>8.0168026945025339E-2</v>
      </c>
      <c r="F10" s="61">
        <v>152184</v>
      </c>
      <c r="G10" s="84"/>
    </row>
    <row r="11" spans="2:7" s="2" customFormat="1" ht="15.6" x14ac:dyDescent="0.3">
      <c r="B11" s="117"/>
      <c r="C11" s="144">
        <v>21400</v>
      </c>
      <c r="D11" s="61">
        <v>27</v>
      </c>
      <c r="E11" s="47">
        <f>(F11/C11)^(1/D11)-1</f>
        <v>0.12689493977096977</v>
      </c>
      <c r="F11" s="61">
        <v>538600</v>
      </c>
      <c r="G11" s="84"/>
    </row>
    <row r="12" spans="2:7" ht="15.6" thickBot="1" x14ac:dyDescent="0.3">
      <c r="B12" s="27"/>
      <c r="C12" s="185"/>
      <c r="D12" s="28"/>
      <c r="E12" s="72"/>
      <c r="F12" s="185"/>
      <c r="G12" s="186"/>
    </row>
    <row r="13" spans="2:7" x14ac:dyDescent="0.25">
      <c r="B13" s="106"/>
      <c r="C13" s="106"/>
      <c r="D13" s="105"/>
      <c r="E13" s="106"/>
    </row>
  </sheetData>
  <phoneticPr fontId="23" type="noConversion"/>
  <pageMargins left="0.75" right="0.75" top="1" bottom="1" header="0.5" footer="0.5"/>
  <pageSetup orientation="portrait" horizontalDpi="300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B1:E20"/>
  <sheetViews>
    <sheetView workbookViewId="0">
      <selection activeCell="C2" sqref="C2"/>
    </sheetView>
  </sheetViews>
  <sheetFormatPr defaultColWidth="9.109375" defaultRowHeight="13.2" x14ac:dyDescent="0.25"/>
  <cols>
    <col min="1" max="1" width="9.109375" style="218"/>
    <col min="2" max="2" width="3.109375" style="218" customWidth="1"/>
    <col min="3" max="3" width="24.6640625" style="218" customWidth="1"/>
    <col min="4" max="4" width="17" style="218" customWidth="1"/>
    <col min="5" max="5" width="3.109375" style="218" customWidth="1"/>
    <col min="6" max="16384" width="9.109375" style="218"/>
  </cols>
  <sheetData>
    <row r="1" spans="2:5" ht="17.399999999999999" x14ac:dyDescent="0.3">
      <c r="C1" s="219" t="s">
        <v>253</v>
      </c>
    </row>
    <row r="2" spans="2:5" ht="15" x14ac:dyDescent="0.25">
      <c r="C2" s="220" t="s">
        <v>79</v>
      </c>
    </row>
    <row r="4" spans="2:5" ht="15.6" x14ac:dyDescent="0.3">
      <c r="C4" s="221" t="s">
        <v>0</v>
      </c>
      <c r="D4" s="220"/>
      <c r="E4" s="220"/>
    </row>
    <row r="5" spans="2:5" ht="16.2" thickBot="1" x14ac:dyDescent="0.35">
      <c r="C5" s="222"/>
      <c r="D5" s="220"/>
      <c r="E5" s="220"/>
    </row>
    <row r="6" spans="2:5" ht="15.6" x14ac:dyDescent="0.3">
      <c r="B6" s="223"/>
      <c r="C6" s="224"/>
      <c r="D6" s="225"/>
      <c r="E6" s="226"/>
    </row>
    <row r="7" spans="2:5" ht="15" x14ac:dyDescent="0.25">
      <c r="B7" s="227"/>
      <c r="C7" s="228" t="s">
        <v>80</v>
      </c>
      <c r="D7" s="229">
        <v>13250</v>
      </c>
      <c r="E7" s="230"/>
    </row>
    <row r="8" spans="2:5" ht="15" x14ac:dyDescent="0.25">
      <c r="B8" s="227"/>
      <c r="C8" s="228" t="s">
        <v>14</v>
      </c>
      <c r="D8" s="231">
        <v>5</v>
      </c>
      <c r="E8" s="230"/>
    </row>
    <row r="9" spans="2:5" ht="15" x14ac:dyDescent="0.25">
      <c r="B9" s="227"/>
      <c r="C9" s="228" t="s">
        <v>255</v>
      </c>
      <c r="D9" s="309">
        <v>7.8E-2</v>
      </c>
      <c r="E9" s="230"/>
    </row>
    <row r="10" spans="2:5" ht="15.6" thickBot="1" x14ac:dyDescent="0.3">
      <c r="B10" s="232"/>
      <c r="C10" s="233"/>
      <c r="D10" s="233"/>
      <c r="E10" s="234"/>
    </row>
    <row r="11" spans="2:5" ht="15" x14ac:dyDescent="0.25">
      <c r="C11" s="220"/>
      <c r="D11" s="220"/>
      <c r="E11" s="220"/>
    </row>
    <row r="12" spans="2:5" ht="15.6" x14ac:dyDescent="0.3">
      <c r="C12" s="221" t="s">
        <v>1</v>
      </c>
      <c r="D12" s="220"/>
      <c r="E12" s="220"/>
    </row>
    <row r="13" spans="2:5" ht="16.2" thickBot="1" x14ac:dyDescent="0.35">
      <c r="C13" s="222"/>
      <c r="D13" s="220"/>
      <c r="E13" s="220"/>
    </row>
    <row r="14" spans="2:5" s="220" customFormat="1" ht="15" x14ac:dyDescent="0.25">
      <c r="B14" s="235"/>
      <c r="C14" s="236"/>
      <c r="D14" s="236"/>
      <c r="E14" s="237"/>
    </row>
    <row r="15" spans="2:5" s="220" customFormat="1" ht="15.6" x14ac:dyDescent="0.3">
      <c r="B15" s="238" t="s">
        <v>392</v>
      </c>
      <c r="C15" s="239" t="s">
        <v>393</v>
      </c>
      <c r="D15" s="240">
        <f>-PV(D9,D8,D7)</f>
        <v>53183.452269621157</v>
      </c>
      <c r="E15" s="241"/>
    </row>
    <row r="16" spans="2:5" s="220" customFormat="1" ht="15.6" x14ac:dyDescent="0.3">
      <c r="B16" s="242"/>
      <c r="C16" s="243" t="s">
        <v>394</v>
      </c>
      <c r="D16" s="240">
        <f>-PV(D9,D8,D7,0,1)</f>
        <v>57331.761546651607</v>
      </c>
      <c r="E16" s="244"/>
    </row>
    <row r="17" spans="2:5" s="220" customFormat="1" ht="15.6" x14ac:dyDescent="0.3">
      <c r="B17" s="242"/>
      <c r="C17" s="243"/>
      <c r="D17" s="245"/>
      <c r="E17" s="244"/>
    </row>
    <row r="18" spans="2:5" s="220" customFormat="1" ht="15.6" x14ac:dyDescent="0.3">
      <c r="B18" s="238" t="s">
        <v>395</v>
      </c>
      <c r="C18" s="243" t="s">
        <v>396</v>
      </c>
      <c r="D18" s="240">
        <f>FV(D9,D8,-D7,,0)</f>
        <v>77423.059519492075</v>
      </c>
      <c r="E18" s="244"/>
    </row>
    <row r="19" spans="2:5" s="220" customFormat="1" ht="15.6" x14ac:dyDescent="0.3">
      <c r="B19" s="242"/>
      <c r="C19" s="243" t="s">
        <v>397</v>
      </c>
      <c r="D19" s="240">
        <f>FV(D9,D8,-D7,,1)</f>
        <v>83462.058162012458</v>
      </c>
      <c r="E19" s="244"/>
    </row>
    <row r="20" spans="2:5" s="220" customFormat="1" ht="15.6" thickBot="1" x14ac:dyDescent="0.3">
      <c r="B20" s="246"/>
      <c r="C20" s="247"/>
      <c r="D20" s="247"/>
      <c r="E20" s="248"/>
    </row>
  </sheetData>
  <phoneticPr fontId="29" type="noConversion"/>
  <pageMargins left="0.75" right="0.75" top="1" bottom="1" header="0.5" footer="0.5"/>
  <pageSetup orientation="portrait" horizontalDpi="300" r:id="rId1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11111211"/>
  <dimension ref="B1:E16"/>
  <sheetViews>
    <sheetView workbookViewId="0">
      <selection activeCell="C2" sqref="C2"/>
    </sheetView>
  </sheetViews>
  <sheetFormatPr defaultRowHeight="13.2" x14ac:dyDescent="0.25"/>
  <cols>
    <col min="2" max="2" width="3.109375" customWidth="1"/>
    <col min="3" max="3" width="24.33203125" bestFit="1" customWidth="1"/>
    <col min="4" max="4" width="15.109375" customWidth="1"/>
    <col min="5" max="5" width="3.109375" customWidth="1"/>
  </cols>
  <sheetData>
    <row r="1" spans="2:5" ht="17.399999999999999" x14ac:dyDescent="0.3">
      <c r="C1" s="1" t="s">
        <v>253</v>
      </c>
    </row>
    <row r="2" spans="2:5" ht="15" x14ac:dyDescent="0.25">
      <c r="C2" s="2" t="s">
        <v>312</v>
      </c>
    </row>
    <row r="4" spans="2:5" ht="15.6" x14ac:dyDescent="0.3">
      <c r="C4" s="37" t="s">
        <v>0</v>
      </c>
      <c r="D4" s="2"/>
      <c r="E4" s="2"/>
    </row>
    <row r="5" spans="2:5" ht="16.2" thickBot="1" x14ac:dyDescent="0.35">
      <c r="C5" s="4"/>
      <c r="D5" s="2"/>
      <c r="E5" s="2"/>
    </row>
    <row r="6" spans="2:5" ht="15.6" x14ac:dyDescent="0.3">
      <c r="B6" s="6"/>
      <c r="C6" s="7"/>
      <c r="D6" s="8"/>
      <c r="E6" s="81"/>
    </row>
    <row r="7" spans="2:5" ht="15" x14ac:dyDescent="0.25">
      <c r="B7" s="10"/>
      <c r="C7" s="11" t="s">
        <v>398</v>
      </c>
      <c r="D7" s="62">
        <v>84000</v>
      </c>
      <c r="E7" s="84"/>
    </row>
    <row r="8" spans="2:5" ht="15" x14ac:dyDescent="0.25">
      <c r="B8" s="10"/>
      <c r="C8" s="11" t="s">
        <v>88</v>
      </c>
      <c r="D8" s="61">
        <v>60</v>
      </c>
      <c r="E8" s="84"/>
    </row>
    <row r="9" spans="2:5" ht="15" x14ac:dyDescent="0.25">
      <c r="B9" s="10"/>
      <c r="C9" s="11" t="s">
        <v>67</v>
      </c>
      <c r="D9" s="138">
        <v>6.08E-2</v>
      </c>
      <c r="E9" s="84"/>
    </row>
    <row r="10" spans="2:5" ht="15.6" thickBot="1" x14ac:dyDescent="0.3">
      <c r="B10" s="27"/>
      <c r="C10" s="28"/>
      <c r="D10" s="28"/>
      <c r="E10" s="87"/>
    </row>
    <row r="11" spans="2:5" ht="15" x14ac:dyDescent="0.25">
      <c r="C11" s="2"/>
      <c r="D11" s="2"/>
      <c r="E11" s="2"/>
    </row>
    <row r="12" spans="2:5" ht="15.6" x14ac:dyDescent="0.3">
      <c r="C12" s="37" t="s">
        <v>1</v>
      </c>
      <c r="D12" s="2"/>
      <c r="E12" s="2"/>
    </row>
    <row r="13" spans="2:5" ht="16.2" thickBot="1" x14ac:dyDescent="0.35">
      <c r="C13" s="4"/>
      <c r="D13" s="2"/>
      <c r="E13" s="2"/>
    </row>
    <row r="14" spans="2:5" s="2" customFormat="1" ht="15" x14ac:dyDescent="0.25">
      <c r="B14" s="32"/>
      <c r="C14" s="33"/>
      <c r="D14" s="33"/>
      <c r="E14" s="88"/>
    </row>
    <row r="15" spans="2:5" s="2" customFormat="1" ht="15.6" x14ac:dyDescent="0.3">
      <c r="B15" s="35"/>
      <c r="C15" s="15" t="s">
        <v>289</v>
      </c>
      <c r="D15" s="140">
        <f>-PMT(D9/12,D8,D7,0,1)</f>
        <v>1618.8795552238262</v>
      </c>
      <c r="E15" s="101"/>
    </row>
    <row r="16" spans="2:5" s="2" customFormat="1" ht="15.6" thickBot="1" x14ac:dyDescent="0.3">
      <c r="B16" s="36"/>
      <c r="C16" s="17"/>
      <c r="D16" s="17"/>
      <c r="E16" s="98"/>
    </row>
  </sheetData>
  <phoneticPr fontId="0" type="noConversion"/>
  <pageMargins left="0.75" right="0.75" top="1" bottom="1" header="0.5" footer="0.5"/>
  <pageSetup orientation="portrait" horizontalDpi="300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11111212"/>
  <dimension ref="B1:E18"/>
  <sheetViews>
    <sheetView workbookViewId="0">
      <selection activeCell="C2" sqref="C2"/>
    </sheetView>
  </sheetViews>
  <sheetFormatPr defaultRowHeight="13.2" x14ac:dyDescent="0.25"/>
  <cols>
    <col min="2" max="2" width="3.109375" customWidth="1"/>
    <col min="3" max="3" width="19.88671875" bestFit="1" customWidth="1"/>
    <col min="4" max="4" width="15.109375" customWidth="1"/>
    <col min="5" max="5" width="3.109375" customWidth="1"/>
  </cols>
  <sheetData>
    <row r="1" spans="2:5" ht="17.399999999999999" x14ac:dyDescent="0.3">
      <c r="C1" s="1" t="s">
        <v>253</v>
      </c>
    </row>
    <row r="2" spans="2:5" ht="15" x14ac:dyDescent="0.25">
      <c r="C2" s="2" t="s">
        <v>313</v>
      </c>
    </row>
    <row r="4" spans="2:5" ht="15.6" x14ac:dyDescent="0.3">
      <c r="C4" s="37" t="s">
        <v>0</v>
      </c>
      <c r="D4" s="2"/>
      <c r="E4" s="2"/>
    </row>
    <row r="5" spans="2:5" ht="16.2" thickBot="1" x14ac:dyDescent="0.35">
      <c r="C5" s="4"/>
      <c r="D5" s="2"/>
      <c r="E5" s="2"/>
    </row>
    <row r="6" spans="2:5" ht="15.6" x14ac:dyDescent="0.3">
      <c r="B6" s="6"/>
      <c r="C6" s="7"/>
      <c r="D6" s="8"/>
      <c r="E6" s="81"/>
    </row>
    <row r="7" spans="2:5" ht="15" x14ac:dyDescent="0.25">
      <c r="B7" s="10"/>
      <c r="C7" s="11" t="s">
        <v>88</v>
      </c>
      <c r="D7" s="61">
        <v>24</v>
      </c>
      <c r="E7" s="84"/>
    </row>
    <row r="8" spans="2:5" ht="15" x14ac:dyDescent="0.25">
      <c r="B8" s="10"/>
      <c r="C8" s="11" t="s">
        <v>67</v>
      </c>
      <c r="D8" s="138">
        <v>0.107</v>
      </c>
      <c r="E8" s="84"/>
    </row>
    <row r="9" spans="2:5" ht="15" x14ac:dyDescent="0.25">
      <c r="B9" s="10"/>
      <c r="C9" s="11" t="s">
        <v>314</v>
      </c>
      <c r="D9" s="62">
        <v>3350</v>
      </c>
      <c r="E9" s="84"/>
    </row>
    <row r="10" spans="2:5" ht="15.6" thickBot="1" x14ac:dyDescent="0.3">
      <c r="B10" s="27"/>
      <c r="C10" s="28"/>
      <c r="D10" s="28"/>
      <c r="E10" s="87"/>
    </row>
    <row r="11" spans="2:5" ht="15" x14ac:dyDescent="0.25">
      <c r="C11" s="2"/>
      <c r="D11" s="2"/>
      <c r="E11" s="2"/>
    </row>
    <row r="12" spans="2:5" ht="15.6" x14ac:dyDescent="0.3">
      <c r="C12" s="37" t="s">
        <v>1</v>
      </c>
      <c r="D12" s="2"/>
      <c r="E12" s="2"/>
    </row>
    <row r="13" spans="2:5" ht="16.2" thickBot="1" x14ac:dyDescent="0.35">
      <c r="C13" s="4"/>
      <c r="D13" s="2"/>
      <c r="E13" s="2"/>
    </row>
    <row r="14" spans="2:5" s="2" customFormat="1" ht="15" x14ac:dyDescent="0.25">
      <c r="B14" s="32"/>
      <c r="C14" s="33"/>
      <c r="D14" s="33"/>
      <c r="E14" s="88"/>
    </row>
    <row r="15" spans="2:5" s="2" customFormat="1" ht="15" x14ac:dyDescent="0.25">
      <c r="B15" s="35"/>
      <c r="C15" s="15" t="s">
        <v>384</v>
      </c>
      <c r="D15" s="249">
        <f>D8/12</f>
        <v>8.9166666666666665E-3</v>
      </c>
      <c r="E15" s="92"/>
    </row>
    <row r="16" spans="2:5" s="2" customFormat="1" ht="15" x14ac:dyDescent="0.25">
      <c r="B16" s="35"/>
      <c r="C16" s="15"/>
      <c r="D16" s="15"/>
      <c r="E16" s="92"/>
    </row>
    <row r="17" spans="2:5" s="2" customFormat="1" ht="15.6" x14ac:dyDescent="0.3">
      <c r="B17" s="35"/>
      <c r="C17" s="15" t="s">
        <v>289</v>
      </c>
      <c r="D17" s="40">
        <f>-PMT(D15,D7,D9,0,1)</f>
        <v>154.29428246090285</v>
      </c>
      <c r="E17" s="101"/>
    </row>
    <row r="18" spans="2:5" s="2" customFormat="1" ht="15.6" thickBot="1" x14ac:dyDescent="0.3">
      <c r="B18" s="36"/>
      <c r="C18" s="17"/>
      <c r="D18" s="17"/>
      <c r="E18" s="98"/>
    </row>
  </sheetData>
  <phoneticPr fontId="0" type="noConversion"/>
  <pageMargins left="0.75" right="0.75" top="1" bottom="1" header="0.5" footer="0.5"/>
  <pageSetup orientation="portrait" horizontalDpi="300" r:id="rId1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111114"/>
  <dimension ref="B1:E26"/>
  <sheetViews>
    <sheetView workbookViewId="0">
      <selection activeCell="C23" sqref="C23"/>
    </sheetView>
  </sheetViews>
  <sheetFormatPr defaultRowHeight="13.2" x14ac:dyDescent="0.25"/>
  <cols>
    <col min="2" max="2" width="3.109375" customWidth="1"/>
    <col min="3" max="3" width="49.6640625" bestFit="1" customWidth="1"/>
    <col min="4" max="4" width="15.109375" customWidth="1"/>
    <col min="5" max="5" width="3.109375" customWidth="1"/>
  </cols>
  <sheetData>
    <row r="1" spans="2:5" ht="17.399999999999999" x14ac:dyDescent="0.3">
      <c r="C1" s="1" t="s">
        <v>253</v>
      </c>
    </row>
    <row r="2" spans="2:5" ht="15" x14ac:dyDescent="0.25">
      <c r="C2" s="2" t="s">
        <v>316</v>
      </c>
    </row>
    <row r="4" spans="2:5" ht="15.6" x14ac:dyDescent="0.3">
      <c r="C4" s="37" t="s">
        <v>0</v>
      </c>
      <c r="D4" s="2"/>
      <c r="E4" s="2"/>
    </row>
    <row r="5" spans="2:5" ht="16.2" thickBot="1" x14ac:dyDescent="0.35">
      <c r="C5" s="4"/>
      <c r="D5" s="2"/>
      <c r="E5" s="2"/>
    </row>
    <row r="6" spans="2:5" ht="15.6" x14ac:dyDescent="0.3">
      <c r="B6" s="6"/>
      <c r="C6" s="7"/>
      <c r="D6" s="8"/>
      <c r="E6" s="81"/>
    </row>
    <row r="7" spans="2:5" ht="15" x14ac:dyDescent="0.25">
      <c r="B7" s="10"/>
      <c r="C7" s="11" t="s">
        <v>400</v>
      </c>
      <c r="D7" s="165">
        <v>4</v>
      </c>
      <c r="E7" s="84"/>
    </row>
    <row r="8" spans="2:5" ht="15" x14ac:dyDescent="0.25">
      <c r="B8" s="10"/>
      <c r="C8" s="11" t="s">
        <v>324</v>
      </c>
      <c r="D8" s="165">
        <v>15</v>
      </c>
      <c r="E8" s="84"/>
    </row>
    <row r="9" spans="2:5" ht="15" x14ac:dyDescent="0.25">
      <c r="B9" s="10"/>
      <c r="C9" s="11" t="s">
        <v>325</v>
      </c>
      <c r="D9" s="144">
        <v>17</v>
      </c>
      <c r="E9" s="84"/>
    </row>
    <row r="10" spans="2:5" ht="15" x14ac:dyDescent="0.25">
      <c r="B10" s="10"/>
      <c r="C10" s="11" t="s">
        <v>315</v>
      </c>
      <c r="D10" s="166">
        <v>72000</v>
      </c>
      <c r="E10" s="84"/>
    </row>
    <row r="11" spans="2:5" ht="15" x14ac:dyDescent="0.25">
      <c r="B11" s="10"/>
      <c r="C11" s="11" t="s">
        <v>5</v>
      </c>
      <c r="D11" s="60">
        <v>7.9000000000000001E-2</v>
      </c>
      <c r="E11" s="84"/>
    </row>
    <row r="12" spans="2:5" ht="15.6" thickBot="1" x14ac:dyDescent="0.3">
      <c r="B12" s="27"/>
      <c r="C12" s="28"/>
      <c r="D12" s="28"/>
      <c r="E12" s="87"/>
    </row>
    <row r="13" spans="2:5" ht="15" x14ac:dyDescent="0.25">
      <c r="C13" s="2"/>
      <c r="D13" s="2"/>
      <c r="E13" s="2"/>
    </row>
    <row r="14" spans="2:5" ht="15.6" x14ac:dyDescent="0.3">
      <c r="C14" s="37" t="s">
        <v>1</v>
      </c>
      <c r="D14" s="2"/>
      <c r="E14" s="2"/>
    </row>
    <row r="15" spans="2:5" ht="16.2" thickBot="1" x14ac:dyDescent="0.35">
      <c r="C15" s="4"/>
      <c r="D15" s="2"/>
      <c r="E15" s="2"/>
    </row>
    <row r="16" spans="2:5" s="2" customFormat="1" ht="15" x14ac:dyDescent="0.25">
      <c r="B16" s="32"/>
      <c r="C16" s="33"/>
      <c r="D16" s="33"/>
      <c r="E16" s="88"/>
    </row>
    <row r="17" spans="2:5" s="2" customFormat="1" ht="15" x14ac:dyDescent="0.25">
      <c r="B17" s="35"/>
      <c r="C17" s="15" t="s">
        <v>399</v>
      </c>
      <c r="D17" s="210">
        <f>PV(D11,D7,-D10)</f>
        <v>239004.91233150125</v>
      </c>
      <c r="E17" s="92"/>
    </row>
    <row r="18" spans="2:5" s="2" customFormat="1" ht="15" x14ac:dyDescent="0.25">
      <c r="B18" s="35"/>
      <c r="C18" s="15"/>
      <c r="D18" s="209"/>
      <c r="E18" s="92"/>
    </row>
    <row r="19" spans="2:5" s="2" customFormat="1" ht="15" x14ac:dyDescent="0.25">
      <c r="B19" s="35"/>
      <c r="C19" s="89" t="s">
        <v>326</v>
      </c>
      <c r="D19" s="91">
        <f>PV(D11,D8-1,,-D17)</f>
        <v>82434.043226319031</v>
      </c>
      <c r="E19" s="92"/>
    </row>
    <row r="20" spans="2:5" s="2" customFormat="1" ht="15" x14ac:dyDescent="0.25">
      <c r="B20" s="35"/>
      <c r="C20" s="89"/>
      <c r="D20" s="91"/>
      <c r="E20" s="92"/>
    </row>
    <row r="21" spans="2:5" s="2" customFormat="1" ht="15" x14ac:dyDescent="0.25">
      <c r="B21" s="35"/>
      <c r="C21" s="89" t="s">
        <v>327</v>
      </c>
      <c r="D21" s="91">
        <f>PV(D11,D9-1,,-D17)</f>
        <v>70804.96497402087</v>
      </c>
      <c r="E21" s="92"/>
    </row>
    <row r="22" spans="2:5" s="2" customFormat="1" ht="15" x14ac:dyDescent="0.25">
      <c r="B22" s="35"/>
      <c r="C22" s="15"/>
      <c r="D22" s="159"/>
      <c r="E22" s="100"/>
    </row>
    <row r="23" spans="2:5" s="2" customFormat="1" ht="15" x14ac:dyDescent="0.25">
      <c r="B23" s="35"/>
      <c r="C23" s="15" t="s">
        <v>328</v>
      </c>
      <c r="D23" s="91">
        <f>D19+D21</f>
        <v>153239.00820033991</v>
      </c>
      <c r="E23" s="101"/>
    </row>
    <row r="24" spans="2:5" s="2" customFormat="1" ht="15.6" x14ac:dyDescent="0.3">
      <c r="B24" s="35"/>
      <c r="C24" s="15"/>
      <c r="D24" s="41"/>
      <c r="E24" s="101"/>
    </row>
    <row r="25" spans="2:5" s="2" customFormat="1" ht="15.6" x14ac:dyDescent="0.3">
      <c r="B25" s="35"/>
      <c r="C25" s="15" t="s">
        <v>329</v>
      </c>
      <c r="D25" s="40">
        <f>PMT(D11,D8,-D23)</f>
        <v>17793.678357272631</v>
      </c>
      <c r="E25" s="101"/>
    </row>
    <row r="26" spans="2:5" s="2" customFormat="1" ht="15.6" thickBot="1" x14ac:dyDescent="0.3">
      <c r="B26" s="36"/>
      <c r="C26" s="17"/>
      <c r="D26" s="17"/>
      <c r="E26" s="98"/>
    </row>
  </sheetData>
  <phoneticPr fontId="0" type="noConversion"/>
  <pageMargins left="0.75" right="0.75" top="1" bottom="1" header="0.5" footer="0.5"/>
  <pageSetup orientation="portrait" horizontalDpi="300" r:id="rId1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Sheet111113"/>
  <dimension ref="B1:E25"/>
  <sheetViews>
    <sheetView workbookViewId="0">
      <selection activeCell="C2" sqref="C2"/>
    </sheetView>
  </sheetViews>
  <sheetFormatPr defaultRowHeight="13.2" x14ac:dyDescent="0.25"/>
  <cols>
    <col min="2" max="2" width="3.109375" customWidth="1"/>
    <col min="3" max="3" width="34.109375" bestFit="1" customWidth="1"/>
    <col min="4" max="4" width="17.5546875" bestFit="1" customWidth="1"/>
    <col min="5" max="5" width="3.109375" customWidth="1"/>
  </cols>
  <sheetData>
    <row r="1" spans="2:5" ht="17.399999999999999" x14ac:dyDescent="0.3">
      <c r="C1" s="1" t="s">
        <v>253</v>
      </c>
    </row>
    <row r="2" spans="2:5" ht="15" x14ac:dyDescent="0.25">
      <c r="C2" s="2" t="s">
        <v>323</v>
      </c>
    </row>
    <row r="4" spans="2:5" ht="15.6" x14ac:dyDescent="0.3">
      <c r="C4" s="37" t="s">
        <v>0</v>
      </c>
      <c r="D4" s="2"/>
      <c r="E4" s="2"/>
    </row>
    <row r="5" spans="2:5" ht="16.2" thickBot="1" x14ac:dyDescent="0.35">
      <c r="C5" s="4"/>
      <c r="D5" s="2"/>
      <c r="E5" s="2"/>
    </row>
    <row r="6" spans="2:5" ht="15.6" x14ac:dyDescent="0.3">
      <c r="B6" s="6"/>
      <c r="C6" s="7"/>
      <c r="D6" s="8"/>
      <c r="E6" s="81"/>
    </row>
    <row r="7" spans="2:5" ht="15" x14ac:dyDescent="0.25">
      <c r="B7" s="10"/>
      <c r="C7" s="11" t="s">
        <v>318</v>
      </c>
      <c r="D7" s="158">
        <v>71000</v>
      </c>
      <c r="E7" s="84"/>
    </row>
    <row r="8" spans="2:5" ht="15" x14ac:dyDescent="0.25">
      <c r="B8" s="10"/>
      <c r="C8" s="11" t="s">
        <v>317</v>
      </c>
      <c r="D8" s="146">
        <v>10000</v>
      </c>
      <c r="E8" s="84"/>
    </row>
    <row r="9" spans="2:5" ht="15" x14ac:dyDescent="0.25">
      <c r="B9" s="10"/>
      <c r="C9" s="11" t="s">
        <v>297</v>
      </c>
      <c r="D9" s="60">
        <v>3.7999999999999999E-2</v>
      </c>
      <c r="E9" s="84"/>
    </row>
    <row r="10" spans="2:5" ht="15" x14ac:dyDescent="0.25">
      <c r="B10" s="10"/>
      <c r="C10" s="11" t="s">
        <v>319</v>
      </c>
      <c r="D10" s="99">
        <v>0.1</v>
      </c>
      <c r="E10" s="84"/>
    </row>
    <row r="11" spans="2:5" ht="15" x14ac:dyDescent="0.25">
      <c r="B11" s="10"/>
      <c r="C11" s="11" t="s">
        <v>320</v>
      </c>
      <c r="D11" s="141">
        <v>25</v>
      </c>
      <c r="E11" s="84"/>
    </row>
    <row r="12" spans="2:5" ht="15" x14ac:dyDescent="0.25">
      <c r="B12" s="10"/>
      <c r="C12" s="11" t="s">
        <v>5</v>
      </c>
      <c r="D12" s="60">
        <v>7.0999999999999994E-2</v>
      </c>
      <c r="E12" s="84"/>
    </row>
    <row r="13" spans="2:5" ht="15.6" thickBot="1" x14ac:dyDescent="0.3">
      <c r="B13" s="27"/>
      <c r="C13" s="28"/>
      <c r="D13" s="28"/>
      <c r="E13" s="87"/>
    </row>
    <row r="14" spans="2:5" ht="15" x14ac:dyDescent="0.25">
      <c r="C14" s="2"/>
      <c r="D14" s="2"/>
      <c r="E14" s="2"/>
    </row>
    <row r="15" spans="2:5" ht="15.6" x14ac:dyDescent="0.3">
      <c r="C15" s="37" t="s">
        <v>1</v>
      </c>
      <c r="D15" s="2"/>
      <c r="E15" s="2"/>
    </row>
    <row r="16" spans="2:5" ht="16.2" thickBot="1" x14ac:dyDescent="0.35">
      <c r="C16" s="4"/>
      <c r="D16" s="2"/>
      <c r="E16" s="2"/>
    </row>
    <row r="17" spans="2:5" s="2" customFormat="1" ht="15" x14ac:dyDescent="0.25">
      <c r="B17" s="32"/>
      <c r="C17" s="33"/>
      <c r="D17" s="33"/>
      <c r="E17" s="88"/>
    </row>
    <row r="18" spans="2:5" s="2" customFormat="1" ht="15" x14ac:dyDescent="0.25">
      <c r="B18" s="35"/>
      <c r="C18" s="89" t="s">
        <v>321</v>
      </c>
      <c r="D18" s="91">
        <f>D7*((1/(D12-D9))-((1/(D12-D9))*(((1+D9)/(1+D12))^D11)))</f>
        <v>1167636.6390293906</v>
      </c>
      <c r="E18" s="92"/>
    </row>
    <row r="19" spans="2:5" s="2" customFormat="1" ht="15" x14ac:dyDescent="0.25">
      <c r="B19" s="35"/>
      <c r="C19" s="89"/>
      <c r="D19" s="91"/>
      <c r="E19" s="92"/>
    </row>
    <row r="20" spans="2:5" s="2" customFormat="1" ht="15" x14ac:dyDescent="0.25">
      <c r="B20" s="35"/>
      <c r="C20" s="89" t="s">
        <v>459</v>
      </c>
      <c r="D20" s="91">
        <f>D7*D10</f>
        <v>7100</v>
      </c>
      <c r="E20" s="92"/>
    </row>
    <row r="21" spans="2:5" s="2" customFormat="1" ht="15" x14ac:dyDescent="0.25">
      <c r="B21" s="35"/>
      <c r="C21" s="15"/>
      <c r="D21" s="159"/>
      <c r="E21" s="100"/>
    </row>
    <row r="22" spans="2:5" s="2" customFormat="1" ht="15" x14ac:dyDescent="0.25">
      <c r="B22" s="35"/>
      <c r="C22" s="15" t="s">
        <v>322</v>
      </c>
      <c r="D22" s="91">
        <f>D20*((1/(D12-D9))-(((1/(D12-D9))*((1+D9)/(1+D12))^D11)))</f>
        <v>116763.66390293905</v>
      </c>
      <c r="E22" s="101"/>
    </row>
    <row r="23" spans="2:5" s="2" customFormat="1" ht="15.6" x14ac:dyDescent="0.3">
      <c r="B23" s="35"/>
      <c r="C23" s="15"/>
      <c r="D23" s="41"/>
      <c r="E23" s="101"/>
    </row>
    <row r="24" spans="2:5" s="2" customFormat="1" ht="15.6" x14ac:dyDescent="0.3">
      <c r="B24" s="35"/>
      <c r="C24" s="15" t="s">
        <v>165</v>
      </c>
      <c r="D24" s="40">
        <f>D18+D22+D8</f>
        <v>1294400.3029323297</v>
      </c>
      <c r="E24" s="101"/>
    </row>
    <row r="25" spans="2:5" s="2" customFormat="1" ht="15.6" thickBot="1" x14ac:dyDescent="0.3">
      <c r="B25" s="36"/>
      <c r="C25" s="17"/>
      <c r="D25" s="17"/>
      <c r="E25" s="98"/>
    </row>
  </sheetData>
  <phoneticPr fontId="0" type="noConversion"/>
  <pageMargins left="0.75" right="0.75" top="1" bottom="1" header="0.5" footer="0.5"/>
  <pageSetup orientation="portrait" horizontalDpi="300" r:id="rId1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Sheet111115"/>
  <dimension ref="B1:E34"/>
  <sheetViews>
    <sheetView workbookViewId="0">
      <selection activeCell="C2" sqref="C2"/>
    </sheetView>
  </sheetViews>
  <sheetFormatPr defaultRowHeight="13.2" x14ac:dyDescent="0.25"/>
  <cols>
    <col min="2" max="2" width="3.109375" customWidth="1"/>
    <col min="3" max="3" width="34.109375" bestFit="1" customWidth="1"/>
    <col min="4" max="4" width="16.6640625" bestFit="1" customWidth="1"/>
    <col min="5" max="5" width="3.109375" customWidth="1"/>
  </cols>
  <sheetData>
    <row r="1" spans="2:5" ht="17.399999999999999" x14ac:dyDescent="0.3">
      <c r="C1" s="1" t="s">
        <v>253</v>
      </c>
    </row>
    <row r="2" spans="2:5" ht="15" x14ac:dyDescent="0.25">
      <c r="C2" s="2" t="s">
        <v>90</v>
      </c>
    </row>
    <row r="4" spans="2:5" ht="15.6" x14ac:dyDescent="0.3">
      <c r="C4" s="37" t="s">
        <v>0</v>
      </c>
      <c r="D4" s="2"/>
      <c r="E4" s="2"/>
    </row>
    <row r="5" spans="2:5" ht="16.2" thickBot="1" x14ac:dyDescent="0.35">
      <c r="C5" s="4"/>
      <c r="D5" s="2"/>
      <c r="E5" s="2"/>
    </row>
    <row r="6" spans="2:5" ht="15.6" x14ac:dyDescent="0.3">
      <c r="B6" s="6"/>
      <c r="C6" s="7"/>
      <c r="D6" s="8"/>
      <c r="E6" s="81"/>
    </row>
    <row r="7" spans="2:5" ht="15.6" x14ac:dyDescent="0.3">
      <c r="B7" s="153" t="s">
        <v>158</v>
      </c>
      <c r="C7" s="11" t="s">
        <v>277</v>
      </c>
      <c r="D7" s="165">
        <v>31</v>
      </c>
      <c r="E7" s="84"/>
    </row>
    <row r="8" spans="2:5" ht="15.6" x14ac:dyDescent="0.3">
      <c r="B8" s="153"/>
      <c r="C8" s="11" t="s">
        <v>80</v>
      </c>
      <c r="D8" s="146">
        <v>250000</v>
      </c>
      <c r="E8" s="84"/>
    </row>
    <row r="9" spans="2:5" ht="15.6" x14ac:dyDescent="0.3">
      <c r="B9" s="153"/>
      <c r="C9" s="11" t="s">
        <v>330</v>
      </c>
      <c r="D9" s="86">
        <v>0.28000000000000003</v>
      </c>
      <c r="E9" s="84"/>
    </row>
    <row r="10" spans="2:5" ht="15.6" x14ac:dyDescent="0.3">
      <c r="B10" s="153" t="s">
        <v>159</v>
      </c>
      <c r="C10" s="11" t="s">
        <v>214</v>
      </c>
      <c r="D10" s="166">
        <v>530000</v>
      </c>
      <c r="E10" s="84"/>
    </row>
    <row r="11" spans="2:5" ht="15.6" x14ac:dyDescent="0.3">
      <c r="B11" s="153"/>
      <c r="C11" s="11" t="s">
        <v>260</v>
      </c>
      <c r="D11" s="166">
        <v>200000</v>
      </c>
      <c r="E11" s="84"/>
    </row>
    <row r="12" spans="2:5" ht="15.6" x14ac:dyDescent="0.3">
      <c r="B12" s="153"/>
      <c r="C12" s="11" t="s">
        <v>331</v>
      </c>
      <c r="D12" s="141">
        <v>30</v>
      </c>
      <c r="E12" s="84"/>
    </row>
    <row r="13" spans="2:5" ht="15.6" x14ac:dyDescent="0.3">
      <c r="B13" s="153"/>
      <c r="C13" s="11" t="s">
        <v>330</v>
      </c>
      <c r="D13" s="86">
        <v>0.28000000000000003</v>
      </c>
      <c r="E13" s="84"/>
    </row>
    <row r="14" spans="2:5" ht="15.6" x14ac:dyDescent="0.3">
      <c r="B14" s="153"/>
      <c r="C14" s="11"/>
      <c r="D14" s="141"/>
      <c r="E14" s="84"/>
    </row>
    <row r="15" spans="2:5" ht="15.6" x14ac:dyDescent="0.3">
      <c r="B15" s="153"/>
      <c r="C15" s="11" t="s">
        <v>5</v>
      </c>
      <c r="D15" s="138">
        <v>5.8500000000000003E-2</v>
      </c>
      <c r="E15" s="84"/>
    </row>
    <row r="16" spans="2:5" ht="15.6" thickBot="1" x14ac:dyDescent="0.3">
      <c r="B16" s="27"/>
      <c r="C16" s="28"/>
      <c r="D16" s="28"/>
      <c r="E16" s="87"/>
    </row>
    <row r="17" spans="2:5" ht="15" x14ac:dyDescent="0.25">
      <c r="C17" s="2"/>
      <c r="D17" s="2"/>
      <c r="E17" s="2"/>
    </row>
    <row r="18" spans="2:5" ht="15.6" x14ac:dyDescent="0.3">
      <c r="C18" s="37" t="s">
        <v>1</v>
      </c>
      <c r="D18" s="2"/>
      <c r="E18" s="2"/>
    </row>
    <row r="19" spans="2:5" ht="16.2" thickBot="1" x14ac:dyDescent="0.35">
      <c r="C19" s="4"/>
      <c r="D19" s="2"/>
      <c r="E19" s="2"/>
    </row>
    <row r="20" spans="2:5" s="2" customFormat="1" ht="15" x14ac:dyDescent="0.25">
      <c r="B20" s="32"/>
      <c r="C20" s="33"/>
      <c r="D20" s="33"/>
      <c r="E20" s="88"/>
    </row>
    <row r="21" spans="2:5" s="2" customFormat="1" ht="15.6" x14ac:dyDescent="0.3">
      <c r="B21" s="151" t="s">
        <v>158</v>
      </c>
      <c r="C21" s="89" t="s">
        <v>332</v>
      </c>
      <c r="D21" s="91">
        <f>D8*(1-D9)</f>
        <v>180000</v>
      </c>
      <c r="E21" s="92"/>
    </row>
    <row r="22" spans="2:5" s="2" customFormat="1" ht="15" x14ac:dyDescent="0.25">
      <c r="B22" s="35"/>
      <c r="C22" s="89"/>
      <c r="D22" s="91"/>
      <c r="E22" s="92"/>
    </row>
    <row r="23" spans="2:5" s="2" customFormat="1" ht="15.6" x14ac:dyDescent="0.3">
      <c r="B23" s="35"/>
      <c r="C23" s="89" t="s">
        <v>333</v>
      </c>
      <c r="D23" s="140">
        <f>PV(D15,D7-1,-D21)+D21</f>
        <v>2697950.157192078</v>
      </c>
      <c r="E23" s="92"/>
    </row>
    <row r="24" spans="2:5" s="2" customFormat="1" ht="15.6" x14ac:dyDescent="0.3">
      <c r="B24" s="35"/>
      <c r="C24" s="89"/>
      <c r="D24" s="58"/>
      <c r="E24" s="92"/>
    </row>
    <row r="25" spans="2:5" s="2" customFormat="1" ht="15.6" x14ac:dyDescent="0.3">
      <c r="B25" s="151" t="s">
        <v>159</v>
      </c>
      <c r="C25" s="89" t="s">
        <v>332</v>
      </c>
      <c r="D25" s="91">
        <f>D11*(1-D13)</f>
        <v>144000</v>
      </c>
      <c r="E25" s="92"/>
    </row>
    <row r="26" spans="2:5" s="2" customFormat="1" ht="15.6" x14ac:dyDescent="0.3">
      <c r="B26" s="35"/>
      <c r="C26" s="89"/>
      <c r="D26" s="58"/>
      <c r="E26" s="92"/>
    </row>
    <row r="27" spans="2:5" s="2" customFormat="1" ht="15.6" x14ac:dyDescent="0.3">
      <c r="B27" s="35"/>
      <c r="C27" s="15" t="s">
        <v>460</v>
      </c>
      <c r="D27" s="123">
        <f>PV(D15,D12,-D25)+D10</f>
        <v>2544360.1257536625</v>
      </c>
      <c r="E27" s="100"/>
    </row>
    <row r="28" spans="2:5" s="2" customFormat="1" ht="15" x14ac:dyDescent="0.25">
      <c r="B28" s="35"/>
      <c r="C28" s="15"/>
      <c r="D28" s="91"/>
      <c r="E28" s="101"/>
    </row>
    <row r="29" spans="2:5" s="2" customFormat="1" ht="15.6" x14ac:dyDescent="0.3">
      <c r="B29" s="35"/>
      <c r="C29" s="181" t="str">
        <f>IF(D23&gt;D27,"You should choose Option A.","You should choose Option B.")</f>
        <v>You should choose Option A.</v>
      </c>
      <c r="D29" s="41"/>
      <c r="E29" s="101"/>
    </row>
    <row r="30" spans="2:5" s="2" customFormat="1" ht="15.6" thickBot="1" x14ac:dyDescent="0.3">
      <c r="B30" s="36"/>
      <c r="C30" s="17"/>
      <c r="D30" s="17"/>
      <c r="E30" s="98"/>
    </row>
    <row r="34" spans="4:4" x14ac:dyDescent="0.25">
      <c r="D34" s="31"/>
    </row>
  </sheetData>
  <phoneticPr fontId="0" type="noConversion"/>
  <pageMargins left="0.75" right="0.75" top="1" bottom="1" header="0.5" footer="0.5"/>
  <pageSetup orientation="portrait" horizontalDpi="300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Sheet111116"/>
  <dimension ref="B1:H23"/>
  <sheetViews>
    <sheetView workbookViewId="0">
      <selection activeCell="C2" sqref="C2"/>
    </sheetView>
  </sheetViews>
  <sheetFormatPr defaultRowHeight="13.2" x14ac:dyDescent="0.25"/>
  <cols>
    <col min="2" max="2" width="3.109375" customWidth="1"/>
    <col min="3" max="3" width="34.109375" bestFit="1" customWidth="1"/>
    <col min="4" max="4" width="15.109375" customWidth="1"/>
    <col min="5" max="5" width="3.109375" customWidth="1"/>
  </cols>
  <sheetData>
    <row r="1" spans="2:8" ht="17.399999999999999" x14ac:dyDescent="0.3">
      <c r="C1" s="1" t="s">
        <v>253</v>
      </c>
    </row>
    <row r="2" spans="2:8" ht="15" x14ac:dyDescent="0.25">
      <c r="C2" s="2" t="s">
        <v>339</v>
      </c>
    </row>
    <row r="3" spans="2:8" x14ac:dyDescent="0.25">
      <c r="H3" s="195"/>
    </row>
    <row r="4" spans="2:8" ht="15.6" x14ac:dyDescent="0.3">
      <c r="C4" s="37" t="s">
        <v>0</v>
      </c>
      <c r="D4" s="2"/>
      <c r="E4" s="2"/>
      <c r="H4" s="195"/>
    </row>
    <row r="5" spans="2:8" ht="16.2" thickBot="1" x14ac:dyDescent="0.35">
      <c r="C5" s="4"/>
      <c r="D5" s="2"/>
      <c r="E5" s="2"/>
      <c r="H5" s="195"/>
    </row>
    <row r="6" spans="2:8" ht="15.6" x14ac:dyDescent="0.3">
      <c r="B6" s="6"/>
      <c r="C6" s="7"/>
      <c r="D6" s="8"/>
      <c r="E6" s="81"/>
      <c r="H6" s="195"/>
    </row>
    <row r="7" spans="2:8" ht="15" x14ac:dyDescent="0.25">
      <c r="B7" s="10"/>
      <c r="C7" s="11" t="s">
        <v>244</v>
      </c>
      <c r="D7" s="175">
        <v>30</v>
      </c>
      <c r="E7" s="84"/>
      <c r="H7" s="195"/>
    </row>
    <row r="8" spans="2:8" ht="15" x14ac:dyDescent="0.25">
      <c r="B8" s="10"/>
      <c r="C8" s="11" t="s">
        <v>335</v>
      </c>
      <c r="D8" s="166">
        <v>2500000</v>
      </c>
      <c r="E8" s="84"/>
    </row>
    <row r="9" spans="2:8" ht="15" x14ac:dyDescent="0.25">
      <c r="B9" s="10"/>
      <c r="C9" s="11" t="s">
        <v>461</v>
      </c>
      <c r="D9" s="158">
        <v>86000</v>
      </c>
      <c r="E9" s="84"/>
      <c r="H9" s="195"/>
    </row>
    <row r="10" spans="2:8" ht="15" x14ac:dyDescent="0.25">
      <c r="B10" s="10"/>
      <c r="C10" s="11" t="s">
        <v>297</v>
      </c>
      <c r="D10" s="86">
        <v>0.03</v>
      </c>
      <c r="E10" s="84"/>
      <c r="H10" s="195"/>
    </row>
    <row r="11" spans="2:8" ht="15" x14ac:dyDescent="0.25">
      <c r="B11" s="10"/>
      <c r="C11" s="11" t="s">
        <v>334</v>
      </c>
      <c r="D11" s="60">
        <v>9.4E-2</v>
      </c>
      <c r="E11" s="84"/>
      <c r="H11" s="195"/>
    </row>
    <row r="12" spans="2:8" ht="15.6" thickBot="1" x14ac:dyDescent="0.3">
      <c r="B12" s="27"/>
      <c r="C12" s="28"/>
      <c r="D12" s="28"/>
      <c r="E12" s="87"/>
    </row>
    <row r="13" spans="2:8" ht="15" x14ac:dyDescent="0.25">
      <c r="C13" s="2"/>
      <c r="D13" s="2"/>
      <c r="E13" s="2"/>
    </row>
    <row r="14" spans="2:8" ht="15.6" x14ac:dyDescent="0.3">
      <c r="C14" s="37" t="s">
        <v>1</v>
      </c>
      <c r="D14" s="2"/>
      <c r="E14" s="2"/>
    </row>
    <row r="15" spans="2:8" ht="16.2" thickBot="1" x14ac:dyDescent="0.35">
      <c r="C15" s="4"/>
      <c r="D15" s="2"/>
      <c r="E15" s="2"/>
    </row>
    <row r="16" spans="2:8" s="2" customFormat="1" ht="15" x14ac:dyDescent="0.25">
      <c r="B16" s="32"/>
      <c r="C16" s="33"/>
      <c r="D16" s="33"/>
      <c r="E16" s="88"/>
      <c r="H16"/>
    </row>
    <row r="17" spans="2:8" s="2" customFormat="1" ht="15" x14ac:dyDescent="0.25">
      <c r="B17" s="35"/>
      <c r="C17" s="89" t="s">
        <v>336</v>
      </c>
      <c r="D17" s="91">
        <f>D8/(1+D11)^D7</f>
        <v>168818.62113570425</v>
      </c>
      <c r="E17" s="92"/>
    </row>
    <row r="18" spans="2:8" s="2" customFormat="1" ht="15" x14ac:dyDescent="0.25">
      <c r="B18" s="35"/>
      <c r="C18" s="89"/>
      <c r="D18" s="91"/>
      <c r="E18" s="92"/>
    </row>
    <row r="19" spans="2:8" s="2" customFormat="1" ht="15" x14ac:dyDescent="0.25">
      <c r="B19" s="35"/>
      <c r="C19" s="89" t="s">
        <v>337</v>
      </c>
      <c r="D19" s="91">
        <f>D17/((1/(D11-D10))-((1/(D11-D10))*((1+D10)/(1+D11))^D7))</f>
        <v>12922.473580436221</v>
      </c>
      <c r="E19" s="92"/>
    </row>
    <row r="20" spans="2:8" s="2" customFormat="1" ht="15.6" x14ac:dyDescent="0.3">
      <c r="B20" s="35"/>
      <c r="C20" s="89"/>
      <c r="D20" s="41"/>
      <c r="E20" s="92"/>
    </row>
    <row r="21" spans="2:8" s="2" customFormat="1" ht="15.6" x14ac:dyDescent="0.3">
      <c r="B21" s="35"/>
      <c r="C21" s="89" t="s">
        <v>338</v>
      </c>
      <c r="D21" s="53">
        <f>D19/D9</f>
        <v>0.15026132070274675</v>
      </c>
      <c r="E21" s="92"/>
    </row>
    <row r="22" spans="2:8" s="2" customFormat="1" ht="15.6" thickBot="1" x14ac:dyDescent="0.3">
      <c r="B22" s="36"/>
      <c r="C22" s="17"/>
      <c r="D22" s="17"/>
      <c r="E22" s="98"/>
    </row>
    <row r="23" spans="2:8" ht="15" x14ac:dyDescent="0.25">
      <c r="H23" s="2"/>
    </row>
  </sheetData>
  <phoneticPr fontId="0" type="noConversion"/>
  <pageMargins left="0.75" right="0.75" top="1" bottom="1" header="0.5" footer="0.5"/>
  <pageSetup orientation="portrait" horizontalDpi="300" r:id="rId1"/>
  <headerFooter alignWithMargins="0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Sheet111112112126"/>
  <dimension ref="B1:E26"/>
  <sheetViews>
    <sheetView workbookViewId="0">
      <selection activeCell="C2" sqref="C2"/>
    </sheetView>
  </sheetViews>
  <sheetFormatPr defaultRowHeight="13.2" x14ac:dyDescent="0.25"/>
  <cols>
    <col min="2" max="2" width="3.109375" customWidth="1"/>
    <col min="3" max="3" width="42" customWidth="1"/>
    <col min="4" max="4" width="16.109375" bestFit="1" customWidth="1"/>
    <col min="5" max="5" width="3.109375" customWidth="1"/>
  </cols>
  <sheetData>
    <row r="1" spans="2:5" ht="17.399999999999999" x14ac:dyDescent="0.3">
      <c r="C1" s="1" t="s">
        <v>253</v>
      </c>
    </row>
    <row r="2" spans="2:5" ht="15" x14ac:dyDescent="0.25">
      <c r="C2" s="2" t="s">
        <v>305</v>
      </c>
    </row>
    <row r="4" spans="2:5" ht="15.6" x14ac:dyDescent="0.3">
      <c r="C4" s="37" t="s">
        <v>0</v>
      </c>
      <c r="D4" s="2"/>
      <c r="E4" s="2"/>
    </row>
    <row r="5" spans="2:5" ht="16.2" thickBot="1" x14ac:dyDescent="0.35">
      <c r="C5" s="4"/>
      <c r="D5" s="2"/>
      <c r="E5" s="2"/>
    </row>
    <row r="6" spans="2:5" ht="15.6" x14ac:dyDescent="0.3">
      <c r="B6" s="6"/>
      <c r="C6" s="7"/>
      <c r="D6" s="8"/>
      <c r="E6" s="81"/>
    </row>
    <row r="7" spans="2:5" ht="15" x14ac:dyDescent="0.25">
      <c r="B7" s="10"/>
      <c r="C7" s="11" t="s">
        <v>307</v>
      </c>
      <c r="D7" s="62">
        <v>17000</v>
      </c>
      <c r="E7" s="84"/>
    </row>
    <row r="8" spans="2:5" ht="15" x14ac:dyDescent="0.25">
      <c r="B8" s="10"/>
      <c r="C8" s="11" t="s">
        <v>281</v>
      </c>
      <c r="D8" s="166">
        <v>1500</v>
      </c>
      <c r="E8" s="84"/>
    </row>
    <row r="9" spans="2:5" ht="15" x14ac:dyDescent="0.25">
      <c r="B9" s="10"/>
      <c r="C9" s="11" t="s">
        <v>308</v>
      </c>
      <c r="D9" s="61">
        <v>5</v>
      </c>
      <c r="E9" s="84"/>
    </row>
    <row r="10" spans="2:5" ht="15" x14ac:dyDescent="0.25">
      <c r="B10" s="10"/>
      <c r="C10" s="11" t="s">
        <v>20</v>
      </c>
      <c r="D10" s="60">
        <v>6.8000000000000005E-2</v>
      </c>
      <c r="E10" s="84"/>
    </row>
    <row r="11" spans="2:5" ht="15" x14ac:dyDescent="0.25">
      <c r="B11" s="10"/>
      <c r="C11" s="11" t="s">
        <v>310</v>
      </c>
      <c r="D11" s="141">
        <v>35</v>
      </c>
      <c r="E11" s="84"/>
    </row>
    <row r="12" spans="2:5" ht="15" x14ac:dyDescent="0.25">
      <c r="B12" s="10"/>
      <c r="C12" s="11" t="s">
        <v>309</v>
      </c>
      <c r="D12" s="86">
        <v>0.01</v>
      </c>
      <c r="E12" s="84"/>
    </row>
    <row r="13" spans="2:5" ht="15.6" thickBot="1" x14ac:dyDescent="0.3">
      <c r="B13" s="27"/>
      <c r="C13" s="28"/>
      <c r="D13" s="28"/>
      <c r="E13" s="87"/>
    </row>
    <row r="14" spans="2:5" ht="15" x14ac:dyDescent="0.25">
      <c r="C14" s="2"/>
      <c r="D14" s="2"/>
      <c r="E14" s="2"/>
    </row>
    <row r="15" spans="2:5" ht="15.6" x14ac:dyDescent="0.3">
      <c r="C15" s="37" t="s">
        <v>1</v>
      </c>
      <c r="D15" s="2"/>
      <c r="E15" s="2"/>
    </row>
    <row r="16" spans="2:5" ht="16.2" thickBot="1" x14ac:dyDescent="0.35">
      <c r="C16" s="4"/>
      <c r="D16" s="2"/>
      <c r="E16" s="2"/>
    </row>
    <row r="17" spans="2:5" s="2" customFormat="1" ht="15" x14ac:dyDescent="0.25">
      <c r="B17" s="32"/>
      <c r="C17" s="33"/>
      <c r="D17" s="33"/>
      <c r="E17" s="88"/>
    </row>
    <row r="18" spans="2:5" s="2" customFormat="1" ht="15" x14ac:dyDescent="0.25">
      <c r="B18" s="35"/>
      <c r="C18" s="89" t="s">
        <v>289</v>
      </c>
      <c r="D18" s="91">
        <f>-PMT(D10/12,D9*12,(D7-D8))</f>
        <v>305.45810042385176</v>
      </c>
      <c r="E18" s="92"/>
    </row>
    <row r="19" spans="2:5" s="2" customFormat="1" ht="15" x14ac:dyDescent="0.25">
      <c r="B19" s="35"/>
      <c r="C19" s="15"/>
      <c r="D19" s="194"/>
      <c r="E19" s="101"/>
    </row>
    <row r="20" spans="2:5" s="2" customFormat="1" ht="15" x14ac:dyDescent="0.25">
      <c r="B20" s="35"/>
      <c r="C20" s="15" t="s">
        <v>311</v>
      </c>
      <c r="D20" s="194"/>
      <c r="E20" s="101"/>
    </row>
    <row r="21" spans="2:5" s="2" customFormat="1" ht="15" x14ac:dyDescent="0.25">
      <c r="B21" s="35"/>
      <c r="C21" s="15" t="s">
        <v>368</v>
      </c>
      <c r="D21" s="194">
        <f>PV(D10/12,D11-1,-D18,0,0)</f>
        <v>9422.1874530637306</v>
      </c>
      <c r="E21" s="101"/>
    </row>
    <row r="22" spans="2:5" s="2" customFormat="1" ht="15" x14ac:dyDescent="0.25">
      <c r="B22" s="35"/>
      <c r="C22" s="15"/>
      <c r="D22" s="194"/>
      <c r="E22" s="101"/>
    </row>
    <row r="23" spans="2:5" s="2" customFormat="1" ht="15" x14ac:dyDescent="0.25">
      <c r="B23" s="35"/>
      <c r="C23" s="15" t="s">
        <v>369</v>
      </c>
      <c r="D23" s="194">
        <f>D21*(1+D12)</f>
        <v>9516.4093275943687</v>
      </c>
      <c r="E23" s="101"/>
    </row>
    <row r="24" spans="2:5" s="2" customFormat="1" ht="15.6" x14ac:dyDescent="0.3">
      <c r="B24" s="35"/>
      <c r="C24" s="15"/>
      <c r="D24" s="113"/>
      <c r="E24" s="101"/>
    </row>
    <row r="25" spans="2:5" s="2" customFormat="1" ht="15.6" x14ac:dyDescent="0.3">
      <c r="B25" s="35"/>
      <c r="C25" s="15" t="s">
        <v>306</v>
      </c>
      <c r="D25" s="39">
        <f>D23+D18</f>
        <v>9821.8674280182204</v>
      </c>
      <c r="E25" s="101"/>
    </row>
    <row r="26" spans="2:5" s="2" customFormat="1" ht="15.6" thickBot="1" x14ac:dyDescent="0.3">
      <c r="B26" s="36"/>
      <c r="C26" s="17"/>
      <c r="D26" s="17"/>
      <c r="E26" s="98"/>
    </row>
  </sheetData>
  <phoneticPr fontId="0" type="noConversion"/>
  <pageMargins left="0.75" right="0.75" top="1" bottom="1" header="0.5" footer="0.5"/>
  <pageSetup orientation="portrait" horizontalDpi="300" r:id="rId1"/>
  <headerFooter alignWithMargins="0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Sheet111112114"/>
  <dimension ref="B1:E34"/>
  <sheetViews>
    <sheetView workbookViewId="0">
      <selection activeCell="C2" sqref="C2"/>
    </sheetView>
  </sheetViews>
  <sheetFormatPr defaultRowHeight="13.2" x14ac:dyDescent="0.25"/>
  <cols>
    <col min="2" max="2" width="3.109375" customWidth="1"/>
    <col min="3" max="3" width="41.109375" bestFit="1" customWidth="1"/>
    <col min="4" max="4" width="18.33203125" bestFit="1" customWidth="1"/>
    <col min="5" max="5" width="3.109375" customWidth="1"/>
  </cols>
  <sheetData>
    <row r="1" spans="2:5" ht="17.399999999999999" x14ac:dyDescent="0.3">
      <c r="C1" s="1" t="s">
        <v>253</v>
      </c>
    </row>
    <row r="2" spans="2:5" ht="15" x14ac:dyDescent="0.25">
      <c r="C2" s="2" t="s">
        <v>93</v>
      </c>
    </row>
    <row r="4" spans="2:5" ht="15.6" x14ac:dyDescent="0.3">
      <c r="C4" s="37" t="s">
        <v>0</v>
      </c>
      <c r="D4" s="2"/>
      <c r="E4" s="2"/>
    </row>
    <row r="5" spans="2:5" ht="16.2" thickBot="1" x14ac:dyDescent="0.35">
      <c r="C5" s="4"/>
      <c r="D5" s="2"/>
      <c r="E5" s="2"/>
    </row>
    <row r="6" spans="2:5" ht="15.6" x14ac:dyDescent="0.3">
      <c r="B6" s="6"/>
      <c r="C6" s="7"/>
      <c r="D6" s="8"/>
      <c r="E6" s="81"/>
    </row>
    <row r="7" spans="2:5" ht="15" x14ac:dyDescent="0.25">
      <c r="B7" s="10"/>
      <c r="C7" s="11" t="s">
        <v>244</v>
      </c>
      <c r="D7" s="175">
        <v>30</v>
      </c>
      <c r="E7" s="84"/>
    </row>
    <row r="8" spans="2:5" ht="15" x14ac:dyDescent="0.25">
      <c r="B8" s="10"/>
      <c r="C8" s="11" t="s">
        <v>201</v>
      </c>
      <c r="D8" s="165">
        <v>20</v>
      </c>
      <c r="E8" s="84"/>
    </row>
    <row r="9" spans="2:5" ht="15" x14ac:dyDescent="0.25">
      <c r="B9" s="10"/>
      <c r="C9" s="11" t="s">
        <v>202</v>
      </c>
      <c r="D9" s="146">
        <v>17500</v>
      </c>
      <c r="E9" s="84"/>
    </row>
    <row r="10" spans="2:5" ht="15" x14ac:dyDescent="0.25">
      <c r="B10" s="10"/>
      <c r="C10" s="11" t="s">
        <v>245</v>
      </c>
      <c r="D10" s="144">
        <v>10</v>
      </c>
      <c r="E10" s="84"/>
    </row>
    <row r="11" spans="2:5" ht="15" x14ac:dyDescent="0.25">
      <c r="B11" s="10"/>
      <c r="C11" s="11" t="s">
        <v>203</v>
      </c>
      <c r="D11" s="166">
        <v>350000</v>
      </c>
      <c r="E11" s="84"/>
    </row>
    <row r="12" spans="2:5" ht="15" x14ac:dyDescent="0.25">
      <c r="B12" s="10"/>
      <c r="C12" s="11" t="s">
        <v>204</v>
      </c>
      <c r="D12" s="166">
        <v>1500000</v>
      </c>
      <c r="E12" s="84"/>
    </row>
    <row r="13" spans="2:5" ht="15" x14ac:dyDescent="0.25">
      <c r="B13" s="10"/>
      <c r="C13" s="11" t="str">
        <f>"Monthly savings for first "&amp;D14&amp;" years"</f>
        <v>Monthly savings for first 10 years</v>
      </c>
      <c r="D13" s="166">
        <v>1800</v>
      </c>
      <c r="E13" s="84"/>
    </row>
    <row r="14" spans="2:5" ht="15" x14ac:dyDescent="0.25">
      <c r="B14" s="10"/>
      <c r="C14" s="11" t="s">
        <v>246</v>
      </c>
      <c r="D14" s="141">
        <v>10</v>
      </c>
      <c r="E14" s="84"/>
    </row>
    <row r="15" spans="2:5" ht="15" x14ac:dyDescent="0.25">
      <c r="B15" s="10"/>
      <c r="C15" s="11" t="s">
        <v>205</v>
      </c>
      <c r="D15" s="86">
        <v>0.11</v>
      </c>
      <c r="E15" s="84"/>
    </row>
    <row r="16" spans="2:5" ht="15" x14ac:dyDescent="0.25">
      <c r="B16" s="10"/>
      <c r="C16" s="11" t="s">
        <v>206</v>
      </c>
      <c r="D16" s="86">
        <v>0.08</v>
      </c>
      <c r="E16" s="84"/>
    </row>
    <row r="17" spans="2:5" ht="15.6" thickBot="1" x14ac:dyDescent="0.3">
      <c r="B17" s="27"/>
      <c r="C17" s="28"/>
      <c r="D17" s="28"/>
      <c r="E17" s="87"/>
    </row>
    <row r="18" spans="2:5" ht="15" x14ac:dyDescent="0.25">
      <c r="C18" s="2"/>
      <c r="D18" s="2"/>
      <c r="E18" s="2"/>
    </row>
    <row r="19" spans="2:5" ht="15.6" x14ac:dyDescent="0.3">
      <c r="C19" s="37" t="s">
        <v>1</v>
      </c>
      <c r="D19" s="2"/>
      <c r="E19" s="2"/>
    </row>
    <row r="20" spans="2:5" ht="16.2" thickBot="1" x14ac:dyDescent="0.35">
      <c r="C20" s="4"/>
      <c r="D20" s="2"/>
      <c r="E20" s="2"/>
    </row>
    <row r="21" spans="2:5" s="2" customFormat="1" ht="15" x14ac:dyDescent="0.25">
      <c r="B21" s="32"/>
      <c r="C21" s="33"/>
      <c r="D21" s="33"/>
      <c r="E21" s="88"/>
    </row>
    <row r="22" spans="2:5" s="2" customFormat="1" ht="15" x14ac:dyDescent="0.25">
      <c r="B22" s="35"/>
      <c r="C22" s="15" t="s">
        <v>207</v>
      </c>
      <c r="D22" s="56">
        <f>NOMINAL(D15,12)</f>
        <v>0.10481512588262287</v>
      </c>
      <c r="E22" s="92"/>
    </row>
    <row r="23" spans="2:5" s="2" customFormat="1" ht="15" x14ac:dyDescent="0.25">
      <c r="B23" s="35"/>
      <c r="C23" s="15" t="s">
        <v>208</v>
      </c>
      <c r="D23" s="56">
        <f>NOMINAL(D16,12)</f>
        <v>7.7208361320041163E-2</v>
      </c>
      <c r="E23" s="92"/>
    </row>
    <row r="24" spans="2:5" s="2" customFormat="1" ht="15" x14ac:dyDescent="0.25">
      <c r="B24" s="35"/>
      <c r="C24" s="15"/>
      <c r="D24" s="15"/>
      <c r="E24" s="92"/>
    </row>
    <row r="25" spans="2:5" s="2" customFormat="1" ht="15" x14ac:dyDescent="0.25">
      <c r="B25" s="35"/>
      <c r="C25" s="15" t="s">
        <v>247</v>
      </c>
      <c r="D25" s="107">
        <f>FV(D22/12,D14*12,-D13)</f>
        <v>379062.59201161301</v>
      </c>
      <c r="E25" s="92"/>
    </row>
    <row r="26" spans="2:5" s="2" customFormat="1" ht="15" x14ac:dyDescent="0.25">
      <c r="B26" s="35"/>
      <c r="C26" s="15" t="s">
        <v>209</v>
      </c>
      <c r="D26" s="107">
        <f>D25-D11</f>
        <v>29062.592011613015</v>
      </c>
      <c r="E26" s="92"/>
    </row>
    <row r="27" spans="2:5" s="2" customFormat="1" ht="15" x14ac:dyDescent="0.25">
      <c r="B27" s="35"/>
      <c r="C27" s="15" t="s">
        <v>401</v>
      </c>
      <c r="D27" s="107">
        <f>FV(D15,D7-D10,,-D26)</f>
        <v>234311.67084504256</v>
      </c>
      <c r="E27" s="92"/>
    </row>
    <row r="28" spans="2:5" s="2" customFormat="1" ht="15" x14ac:dyDescent="0.25">
      <c r="B28" s="35"/>
      <c r="C28" s="15" t="s">
        <v>462</v>
      </c>
      <c r="D28" s="107">
        <f>-PV(D23/12,D8*12,D9)</f>
        <v>2136360.2804808239</v>
      </c>
      <c r="E28" s="92"/>
    </row>
    <row r="29" spans="2:5" s="2" customFormat="1" ht="15" x14ac:dyDescent="0.25">
      <c r="B29" s="35"/>
      <c r="C29" s="15" t="s">
        <v>463</v>
      </c>
      <c r="D29" s="107">
        <f>-PV(D16,D8,0,D12)</f>
        <v>321822.31110608479</v>
      </c>
      <c r="E29" s="92"/>
    </row>
    <row r="30" spans="2:5" s="2" customFormat="1" ht="15" x14ac:dyDescent="0.25">
      <c r="B30" s="35"/>
      <c r="C30" s="15" t="s">
        <v>210</v>
      </c>
      <c r="D30" s="107">
        <f>PV(D23/12,D8*12,-D9,-D12)</f>
        <v>2458182.5915869102</v>
      </c>
      <c r="E30" s="92"/>
    </row>
    <row r="31" spans="2:5" s="2" customFormat="1" ht="15" x14ac:dyDescent="0.25">
      <c r="B31" s="35"/>
      <c r="C31" s="15" t="s">
        <v>402</v>
      </c>
      <c r="D31" s="107">
        <f>D30-D27</f>
        <v>2223870.9207418677</v>
      </c>
      <c r="E31" s="92"/>
    </row>
    <row r="32" spans="2:5" s="2" customFormat="1" ht="15" x14ac:dyDescent="0.25">
      <c r="B32" s="35"/>
      <c r="C32" s="15"/>
      <c r="D32" s="159"/>
      <c r="E32" s="92"/>
    </row>
    <row r="33" spans="2:5" s="2" customFormat="1" ht="15.6" x14ac:dyDescent="0.3">
      <c r="B33" s="35"/>
      <c r="C33" s="89" t="s">
        <v>211</v>
      </c>
      <c r="D33" s="97">
        <f>PMT(D22/12,(D7-D10)*12,,-D31)</f>
        <v>2750.4605410447848</v>
      </c>
      <c r="E33" s="100"/>
    </row>
    <row r="34" spans="2:5" s="2" customFormat="1" ht="15.6" thickBot="1" x14ac:dyDescent="0.3">
      <c r="B34" s="36"/>
      <c r="C34" s="17"/>
      <c r="D34" s="17"/>
      <c r="E34" s="98"/>
    </row>
  </sheetData>
  <phoneticPr fontId="0" type="noConversion"/>
  <pageMargins left="0.75" right="0.75" top="1" bottom="1" header="0.5" footer="0.5"/>
  <pageSetup orientation="portrait" horizontalDpi="300" r:id="rId1"/>
  <headerFooter alignWithMargins="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Sheet111112115"/>
  <dimension ref="B1:E30"/>
  <sheetViews>
    <sheetView workbookViewId="0">
      <selection activeCell="C2" sqref="C2"/>
    </sheetView>
  </sheetViews>
  <sheetFormatPr defaultRowHeight="13.2" x14ac:dyDescent="0.25"/>
  <cols>
    <col min="2" max="2" width="3.109375" customWidth="1"/>
    <col min="3" max="3" width="32" bestFit="1" customWidth="1"/>
    <col min="4" max="4" width="18.33203125" bestFit="1" customWidth="1"/>
    <col min="5" max="5" width="3.109375" customWidth="1"/>
  </cols>
  <sheetData>
    <row r="1" spans="2:5" ht="17.399999999999999" x14ac:dyDescent="0.3">
      <c r="C1" s="1" t="s">
        <v>253</v>
      </c>
    </row>
    <row r="2" spans="2:5" ht="15" x14ac:dyDescent="0.25">
      <c r="C2" s="2" t="s">
        <v>94</v>
      </c>
    </row>
    <row r="4" spans="2:5" ht="15.6" x14ac:dyDescent="0.3">
      <c r="C4" s="37" t="s">
        <v>0</v>
      </c>
      <c r="D4" s="2"/>
      <c r="E4" s="2"/>
    </row>
    <row r="5" spans="2:5" ht="16.2" thickBot="1" x14ac:dyDescent="0.35">
      <c r="C5" s="4"/>
      <c r="D5" s="2"/>
      <c r="E5" s="2"/>
    </row>
    <row r="6" spans="2:5" ht="15.6" x14ac:dyDescent="0.3">
      <c r="B6" s="6"/>
      <c r="C6" s="7"/>
      <c r="D6" s="8"/>
      <c r="E6" s="81"/>
    </row>
    <row r="7" spans="2:5" ht="15" x14ac:dyDescent="0.25">
      <c r="B7" s="10"/>
      <c r="C7" s="11" t="s">
        <v>212</v>
      </c>
      <c r="D7" s="165">
        <v>3</v>
      </c>
      <c r="E7" s="84"/>
    </row>
    <row r="8" spans="2:5" ht="15" x14ac:dyDescent="0.25">
      <c r="B8" s="10"/>
      <c r="C8" s="11" t="s">
        <v>213</v>
      </c>
      <c r="D8" s="146">
        <v>37000</v>
      </c>
      <c r="E8" s="84"/>
    </row>
    <row r="9" spans="2:5" ht="15" x14ac:dyDescent="0.25">
      <c r="B9" s="10"/>
      <c r="C9" s="11" t="s">
        <v>214</v>
      </c>
      <c r="D9" s="166">
        <v>2400</v>
      </c>
      <c r="E9" s="84"/>
    </row>
    <row r="10" spans="2:5" ht="15" x14ac:dyDescent="0.25">
      <c r="B10" s="10"/>
      <c r="C10" s="11" t="s">
        <v>215</v>
      </c>
      <c r="D10" s="166">
        <v>580</v>
      </c>
      <c r="E10" s="84"/>
    </row>
    <row r="11" spans="2:5" ht="15" x14ac:dyDescent="0.25">
      <c r="B11" s="10"/>
      <c r="C11" s="11" t="s">
        <v>219</v>
      </c>
      <c r="D11" s="166">
        <v>22000</v>
      </c>
      <c r="E11" s="84"/>
    </row>
    <row r="12" spans="2:5" ht="15" x14ac:dyDescent="0.25">
      <c r="B12" s="10"/>
      <c r="C12" s="11" t="s">
        <v>216</v>
      </c>
      <c r="D12" s="86">
        <v>0.06</v>
      </c>
      <c r="E12" s="84"/>
    </row>
    <row r="13" spans="2:5" ht="15.6" thickBot="1" x14ac:dyDescent="0.3">
      <c r="B13" s="27"/>
      <c r="C13" s="28"/>
      <c r="D13" s="28"/>
      <c r="E13" s="87"/>
    </row>
    <row r="14" spans="2:5" ht="15" x14ac:dyDescent="0.25">
      <c r="C14" s="2"/>
      <c r="D14" s="2"/>
      <c r="E14" s="2"/>
    </row>
    <row r="15" spans="2:5" ht="15.6" x14ac:dyDescent="0.3">
      <c r="C15" s="37" t="s">
        <v>1</v>
      </c>
      <c r="D15" s="2"/>
      <c r="E15" s="2"/>
    </row>
    <row r="16" spans="2:5" ht="16.2" thickBot="1" x14ac:dyDescent="0.35">
      <c r="C16" s="4"/>
      <c r="D16" s="2"/>
      <c r="E16" s="2"/>
    </row>
    <row r="17" spans="2:5" s="2" customFormat="1" ht="15" x14ac:dyDescent="0.25">
      <c r="B17" s="32"/>
      <c r="C17" s="33"/>
      <c r="D17" s="33"/>
      <c r="E17" s="88"/>
    </row>
    <row r="18" spans="2:5" s="2" customFormat="1" ht="15" x14ac:dyDescent="0.25">
      <c r="B18" s="35"/>
      <c r="C18" s="15" t="s">
        <v>217</v>
      </c>
      <c r="D18" s="167">
        <f>PV(D12/12,D7*12,-D10)+D9</f>
        <v>21465.189418773691</v>
      </c>
      <c r="E18" s="92"/>
    </row>
    <row r="19" spans="2:5" s="2" customFormat="1" ht="15" x14ac:dyDescent="0.25">
      <c r="B19" s="35"/>
      <c r="C19" s="15"/>
      <c r="D19" s="56"/>
      <c r="E19" s="92"/>
    </row>
    <row r="20" spans="2:5" s="2" customFormat="1" ht="15" x14ac:dyDescent="0.25">
      <c r="B20" s="35"/>
      <c r="C20" s="15" t="s">
        <v>218</v>
      </c>
      <c r="D20" s="107">
        <f>PV(D12/12,D7*12,0,-D11)</f>
        <v>18384.188213680853</v>
      </c>
      <c r="E20" s="92"/>
    </row>
    <row r="21" spans="2:5" s="2" customFormat="1" ht="15" x14ac:dyDescent="0.25">
      <c r="B21" s="35"/>
      <c r="C21" s="15"/>
      <c r="D21" s="107"/>
      <c r="E21" s="92"/>
    </row>
    <row r="22" spans="2:5" s="2" customFormat="1" ht="15" x14ac:dyDescent="0.25">
      <c r="B22" s="35"/>
      <c r="C22" s="15" t="s">
        <v>220</v>
      </c>
      <c r="D22" s="107">
        <f>D8-D20</f>
        <v>18615.811786319147</v>
      </c>
      <c r="E22" s="92"/>
    </row>
    <row r="23" spans="2:5" s="2" customFormat="1" ht="15" x14ac:dyDescent="0.25">
      <c r="B23" s="35"/>
      <c r="C23" s="15"/>
      <c r="D23" s="107"/>
      <c r="E23" s="92"/>
    </row>
    <row r="24" spans="2:5" s="2" customFormat="1" ht="15.6" x14ac:dyDescent="0.3">
      <c r="B24" s="35"/>
      <c r="C24" s="15" t="s">
        <v>221</v>
      </c>
      <c r="D24" s="168" t="str">
        <f>IF(D22&lt;D18,"Buy","Lease")</f>
        <v>Buy</v>
      </c>
      <c r="E24" s="92"/>
    </row>
    <row r="25" spans="2:5" s="2" customFormat="1" ht="15" x14ac:dyDescent="0.25">
      <c r="B25" s="35"/>
      <c r="C25" s="15" t="s">
        <v>222</v>
      </c>
      <c r="D25" s="107"/>
      <c r="E25" s="92"/>
    </row>
    <row r="26" spans="2:5" s="2" customFormat="1" ht="15" x14ac:dyDescent="0.25">
      <c r="B26" s="35"/>
      <c r="C26" s="15"/>
      <c r="D26" s="107"/>
      <c r="E26" s="92"/>
    </row>
    <row r="27" spans="2:5" s="2" customFormat="1" ht="15" x14ac:dyDescent="0.25">
      <c r="B27" s="35"/>
      <c r="C27" s="15" t="s">
        <v>465</v>
      </c>
      <c r="D27" s="107">
        <f>D8-D18</f>
        <v>15534.810581226309</v>
      </c>
      <c r="E27" s="92"/>
    </row>
    <row r="28" spans="2:5" s="2" customFormat="1" ht="15" x14ac:dyDescent="0.25">
      <c r="B28" s="35"/>
      <c r="C28" s="15"/>
      <c r="D28" s="159"/>
      <c r="E28" s="92"/>
    </row>
    <row r="29" spans="2:5" s="2" customFormat="1" ht="15.6" x14ac:dyDescent="0.3">
      <c r="B29" s="35"/>
      <c r="C29" s="89" t="s">
        <v>464</v>
      </c>
      <c r="D29" s="97">
        <f>FV(D12/12,D7*12,,-D27)</f>
        <v>18590.205279374204</v>
      </c>
      <c r="E29" s="100"/>
    </row>
    <row r="30" spans="2:5" s="2" customFormat="1" ht="15.6" thickBot="1" x14ac:dyDescent="0.3">
      <c r="B30" s="36"/>
      <c r="C30" s="17"/>
      <c r="D30" s="17"/>
      <c r="E30" s="98"/>
    </row>
  </sheetData>
  <phoneticPr fontId="0" type="noConversion"/>
  <pageMargins left="0.75" right="0.75" top="1" bottom="1" header="0.5" footer="0.5"/>
  <pageSetup orientation="portrait" horizont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11111"/>
  <dimension ref="B1:G13"/>
  <sheetViews>
    <sheetView workbookViewId="0">
      <selection activeCell="E7" sqref="E7"/>
    </sheetView>
  </sheetViews>
  <sheetFormatPr defaultRowHeight="15" x14ac:dyDescent="0.25"/>
  <cols>
    <col min="2" max="2" width="3.109375" customWidth="1"/>
    <col min="3" max="3" width="19.88671875" customWidth="1"/>
    <col min="4" max="4" width="13.109375" style="2" customWidth="1"/>
    <col min="5" max="5" width="12.88671875" bestFit="1" customWidth="1"/>
    <col min="6" max="6" width="15.44140625" bestFit="1" customWidth="1"/>
    <col min="7" max="7" width="3.109375" customWidth="1"/>
  </cols>
  <sheetData>
    <row r="1" spans="2:7" ht="17.399999999999999" x14ac:dyDescent="0.3">
      <c r="C1" s="1" t="s">
        <v>253</v>
      </c>
    </row>
    <row r="2" spans="2:7" x14ac:dyDescent="0.25">
      <c r="C2" s="2" t="s">
        <v>16</v>
      </c>
    </row>
    <row r="4" spans="2:7" ht="15.6" x14ac:dyDescent="0.3">
      <c r="C4" s="37" t="s">
        <v>0</v>
      </c>
      <c r="D4" s="37" t="s">
        <v>1</v>
      </c>
    </row>
    <row r="5" spans="2:7" ht="16.2" thickBot="1" x14ac:dyDescent="0.35">
      <c r="C5" s="4"/>
      <c r="D5" s="5"/>
      <c r="E5" s="2"/>
    </row>
    <row r="6" spans="2:7" s="2" customFormat="1" ht="15.6" x14ac:dyDescent="0.3">
      <c r="B6" s="116"/>
      <c r="C6" s="7"/>
      <c r="D6" s="33"/>
      <c r="E6" s="8"/>
      <c r="F6" s="8"/>
      <c r="G6" s="81"/>
    </row>
    <row r="7" spans="2:7" s="2" customFormat="1" x14ac:dyDescent="0.25">
      <c r="B7" s="117"/>
      <c r="C7" s="119" t="s">
        <v>145</v>
      </c>
      <c r="D7" s="187" t="s">
        <v>254</v>
      </c>
      <c r="E7" s="119" t="s">
        <v>20</v>
      </c>
      <c r="F7" s="119" t="s">
        <v>48</v>
      </c>
      <c r="G7" s="84"/>
    </row>
    <row r="8" spans="2:7" s="2" customFormat="1" ht="15" customHeight="1" x14ac:dyDescent="0.3">
      <c r="B8" s="117"/>
      <c r="C8" s="158">
        <v>625</v>
      </c>
      <c r="D8" s="55">
        <f>LN(F8/C8)/LN(1+E8)</f>
        <v>8.4090295909595465</v>
      </c>
      <c r="E8" s="86">
        <v>7.0000000000000007E-2</v>
      </c>
      <c r="F8" s="62">
        <v>1104</v>
      </c>
      <c r="G8" s="84"/>
    </row>
    <row r="9" spans="2:7" s="2" customFormat="1" ht="15" customHeight="1" x14ac:dyDescent="0.3">
      <c r="B9" s="117"/>
      <c r="C9" s="144">
        <v>810</v>
      </c>
      <c r="D9" s="55">
        <f>LN(F9/C9)/LN(1+E9)</f>
        <v>16.533322570556596</v>
      </c>
      <c r="E9" s="86">
        <v>0.12</v>
      </c>
      <c r="F9" s="61">
        <v>5275</v>
      </c>
      <c r="G9" s="84"/>
    </row>
    <row r="10" spans="2:7" s="2" customFormat="1" ht="15.6" x14ac:dyDescent="0.3">
      <c r="B10" s="117"/>
      <c r="C10" s="144">
        <v>16500</v>
      </c>
      <c r="D10" s="55">
        <f>LN(F10/C10)/LN(1+E10)</f>
        <v>17.205193377262116</v>
      </c>
      <c r="E10" s="86">
        <v>0.17</v>
      </c>
      <c r="F10" s="61">
        <v>245830</v>
      </c>
      <c r="G10" s="84"/>
    </row>
    <row r="11" spans="2:7" s="2" customFormat="1" ht="15.6" x14ac:dyDescent="0.3">
      <c r="B11" s="117"/>
      <c r="C11" s="144">
        <v>21500</v>
      </c>
      <c r="D11" s="55">
        <f>LN(F11/C11)/LN(1+E11)</f>
        <v>29.918840221005354</v>
      </c>
      <c r="E11" s="86">
        <v>0.08</v>
      </c>
      <c r="F11" s="61">
        <v>215000</v>
      </c>
      <c r="G11" s="84"/>
    </row>
    <row r="12" spans="2:7" ht="15.6" thickBot="1" x14ac:dyDescent="0.3">
      <c r="B12" s="27"/>
      <c r="C12" s="185"/>
      <c r="D12" s="17"/>
      <c r="E12" s="185"/>
      <c r="F12" s="185"/>
      <c r="G12" s="186"/>
    </row>
    <row r="13" spans="2:7" x14ac:dyDescent="0.25">
      <c r="B13" s="106"/>
      <c r="C13" s="106"/>
      <c r="D13" s="105"/>
      <c r="E13" s="106"/>
    </row>
  </sheetData>
  <phoneticPr fontId="23" type="noConversion"/>
  <pageMargins left="0.75" right="0.75" top="1" bottom="1" header="0.5" footer="0.5"/>
  <pageSetup orientation="portrait" horizontalDpi="300" r:id="rId1"/>
  <headerFooter alignWithMargins="0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 codeName="Sheet111112116"/>
  <dimension ref="B1:E34"/>
  <sheetViews>
    <sheetView workbookViewId="0">
      <selection activeCell="C2" sqref="C2"/>
    </sheetView>
  </sheetViews>
  <sheetFormatPr defaultRowHeight="13.2" x14ac:dyDescent="0.25"/>
  <cols>
    <col min="2" max="2" width="3.109375" customWidth="1"/>
    <col min="3" max="3" width="32" bestFit="1" customWidth="1"/>
    <col min="4" max="4" width="18.88671875" bestFit="1" customWidth="1"/>
    <col min="5" max="5" width="3.109375" customWidth="1"/>
  </cols>
  <sheetData>
    <row r="1" spans="2:5" ht="17.399999999999999" x14ac:dyDescent="0.3">
      <c r="C1" s="1" t="s">
        <v>253</v>
      </c>
    </row>
    <row r="2" spans="2:5" ht="15" x14ac:dyDescent="0.25">
      <c r="C2" s="2" t="s">
        <v>223</v>
      </c>
    </row>
    <row r="4" spans="2:5" ht="15.6" x14ac:dyDescent="0.3">
      <c r="C4" s="37" t="s">
        <v>0</v>
      </c>
      <c r="D4" s="2"/>
      <c r="E4" s="2"/>
    </row>
    <row r="5" spans="2:5" ht="16.2" thickBot="1" x14ac:dyDescent="0.35">
      <c r="C5" s="4"/>
      <c r="D5" s="2"/>
      <c r="E5" s="2"/>
    </row>
    <row r="6" spans="2:5" ht="15.6" x14ac:dyDescent="0.3">
      <c r="B6" s="6"/>
      <c r="C6" s="7"/>
      <c r="D6" s="8"/>
      <c r="E6" s="81"/>
    </row>
    <row r="7" spans="2:5" ht="15" x14ac:dyDescent="0.25">
      <c r="B7" s="10"/>
      <c r="C7" s="102" t="s">
        <v>3</v>
      </c>
      <c r="D7" s="165"/>
      <c r="E7" s="84"/>
    </row>
    <row r="8" spans="2:5" ht="15" x14ac:dyDescent="0.25">
      <c r="B8" s="10"/>
      <c r="C8" s="102">
        <v>0</v>
      </c>
      <c r="D8" s="146">
        <v>7900000</v>
      </c>
      <c r="E8" s="84"/>
    </row>
    <row r="9" spans="2:5" ht="15" x14ac:dyDescent="0.25">
      <c r="B9" s="10"/>
      <c r="C9" s="102">
        <v>1</v>
      </c>
      <c r="D9" s="146">
        <v>4300000</v>
      </c>
      <c r="E9" s="84"/>
    </row>
    <row r="10" spans="2:5" ht="15" x14ac:dyDescent="0.25">
      <c r="B10" s="10"/>
      <c r="C10" s="102">
        <v>2</v>
      </c>
      <c r="D10" s="146">
        <v>4900000</v>
      </c>
      <c r="E10" s="84"/>
    </row>
    <row r="11" spans="2:5" ht="15" x14ac:dyDescent="0.25">
      <c r="B11" s="10"/>
      <c r="C11" s="102">
        <v>3</v>
      </c>
      <c r="D11" s="146">
        <v>5700000</v>
      </c>
      <c r="E11" s="84"/>
    </row>
    <row r="12" spans="2:5" ht="15" x14ac:dyDescent="0.25">
      <c r="B12" s="10"/>
      <c r="C12" s="102">
        <v>4</v>
      </c>
      <c r="D12" s="146">
        <v>6700000</v>
      </c>
      <c r="E12" s="84"/>
    </row>
    <row r="13" spans="2:5" ht="15" x14ac:dyDescent="0.25">
      <c r="B13" s="10"/>
      <c r="C13" s="102">
        <v>5</v>
      </c>
      <c r="D13" s="146">
        <v>7300000</v>
      </c>
      <c r="E13" s="84"/>
    </row>
    <row r="14" spans="2:5" ht="15" x14ac:dyDescent="0.25">
      <c r="B14" s="10"/>
      <c r="C14" s="102">
        <v>6</v>
      </c>
      <c r="D14" s="146">
        <v>8400000</v>
      </c>
      <c r="E14" s="84"/>
    </row>
    <row r="15" spans="2:5" ht="15" x14ac:dyDescent="0.25">
      <c r="B15" s="10"/>
      <c r="C15" s="121"/>
      <c r="D15" s="166"/>
      <c r="E15" s="84"/>
    </row>
    <row r="16" spans="2:5" ht="15" x14ac:dyDescent="0.25">
      <c r="B16" s="10"/>
      <c r="C16" s="121" t="s">
        <v>224</v>
      </c>
      <c r="D16" s="166">
        <v>10000000</v>
      </c>
      <c r="E16" s="84"/>
    </row>
    <row r="17" spans="2:5" ht="15" x14ac:dyDescent="0.25">
      <c r="B17" s="10"/>
      <c r="C17" s="121" t="s">
        <v>225</v>
      </c>
      <c r="D17" s="166">
        <v>3500000</v>
      </c>
      <c r="E17" s="84"/>
    </row>
    <row r="18" spans="2:5" ht="15" x14ac:dyDescent="0.25">
      <c r="B18" s="10"/>
      <c r="C18" s="121" t="s">
        <v>5</v>
      </c>
      <c r="D18" s="60">
        <v>5.7000000000000002E-2</v>
      </c>
      <c r="E18" s="84"/>
    </row>
    <row r="19" spans="2:5" ht="15" x14ac:dyDescent="0.25">
      <c r="B19" s="10"/>
      <c r="C19" s="121" t="s">
        <v>161</v>
      </c>
      <c r="D19" s="141">
        <v>365</v>
      </c>
      <c r="E19" s="84"/>
    </row>
    <row r="20" spans="2:5" ht="15.6" thickBot="1" x14ac:dyDescent="0.3">
      <c r="B20" s="27"/>
      <c r="C20" s="28"/>
      <c r="D20" s="28"/>
      <c r="E20" s="87"/>
    </row>
    <row r="21" spans="2:5" ht="15" x14ac:dyDescent="0.25">
      <c r="C21" s="2"/>
      <c r="D21" s="2"/>
      <c r="E21" s="2"/>
    </row>
    <row r="22" spans="2:5" ht="15.6" x14ac:dyDescent="0.3">
      <c r="C22" s="37" t="s">
        <v>1</v>
      </c>
      <c r="D22" s="2"/>
      <c r="E22" s="2"/>
    </row>
    <row r="23" spans="2:5" ht="16.2" thickBot="1" x14ac:dyDescent="0.35">
      <c r="C23" s="4"/>
      <c r="D23" s="2"/>
      <c r="E23" s="2"/>
    </row>
    <row r="24" spans="2:5" s="2" customFormat="1" ht="15" x14ac:dyDescent="0.25">
      <c r="B24" s="32"/>
      <c r="C24" s="33"/>
      <c r="D24" s="33"/>
      <c r="E24" s="88"/>
    </row>
    <row r="25" spans="2:5" s="2" customFormat="1" ht="15" x14ac:dyDescent="0.25">
      <c r="B25" s="35"/>
      <c r="C25" s="15" t="s">
        <v>56</v>
      </c>
      <c r="D25" s="56">
        <f>EFFECT(D18,D19)</f>
        <v>5.8651099153008701E-2</v>
      </c>
      <c r="E25" s="92"/>
    </row>
    <row r="26" spans="2:5" s="2" customFormat="1" ht="15" x14ac:dyDescent="0.25">
      <c r="B26" s="35"/>
      <c r="C26" s="15"/>
      <c r="D26" s="56"/>
      <c r="E26" s="92"/>
    </row>
    <row r="27" spans="2:5" s="2" customFormat="1" ht="15" x14ac:dyDescent="0.25">
      <c r="B27" s="35"/>
      <c r="C27" s="15" t="s">
        <v>226</v>
      </c>
      <c r="D27" s="107">
        <f>NPV(D25,D9:D14)+D8</f>
        <v>37929060.526899375</v>
      </c>
      <c r="E27" s="92"/>
    </row>
    <row r="28" spans="2:5" s="2" customFormat="1" ht="15" x14ac:dyDescent="0.25">
      <c r="B28" s="35"/>
      <c r="C28" s="15"/>
      <c r="D28" s="107"/>
      <c r="E28" s="92"/>
    </row>
    <row r="29" spans="2:5" s="2" customFormat="1" ht="15" x14ac:dyDescent="0.25">
      <c r="B29" s="35"/>
      <c r="C29" s="15" t="s">
        <v>227</v>
      </c>
      <c r="D29" s="107">
        <f>D27+D17</f>
        <v>41429060.526899375</v>
      </c>
      <c r="E29" s="92"/>
    </row>
    <row r="30" spans="2:5" s="2" customFormat="1" ht="15" x14ac:dyDescent="0.25">
      <c r="B30" s="35"/>
      <c r="C30" s="15"/>
      <c r="D30" s="107"/>
      <c r="E30" s="92"/>
    </row>
    <row r="31" spans="2:5" s="2" customFormat="1" ht="15" x14ac:dyDescent="0.25">
      <c r="B31" s="35"/>
      <c r="C31" s="15" t="s">
        <v>228</v>
      </c>
      <c r="D31" s="169">
        <f>((1+D18/D19)^(91.25))-1</f>
        <v>1.4350886724258549E-2</v>
      </c>
      <c r="E31" s="92"/>
    </row>
    <row r="32" spans="2:5" s="2" customFormat="1" ht="15" x14ac:dyDescent="0.25">
      <c r="B32" s="35"/>
      <c r="C32" s="15"/>
      <c r="D32" s="107"/>
      <c r="E32" s="92"/>
    </row>
    <row r="33" spans="2:5" s="2" customFormat="1" ht="15.6" x14ac:dyDescent="0.3">
      <c r="B33" s="35"/>
      <c r="C33" s="170" t="s">
        <v>229</v>
      </c>
      <c r="D33" s="97">
        <f>PMT(D31,24,-(D29-D16))</f>
        <v>1557264.3850615399</v>
      </c>
      <c r="E33" s="92"/>
    </row>
    <row r="34" spans="2:5" s="2" customFormat="1" ht="15.6" thickBot="1" x14ac:dyDescent="0.3">
      <c r="B34" s="36"/>
      <c r="C34" s="17"/>
      <c r="D34" s="17"/>
      <c r="E34" s="98"/>
    </row>
  </sheetData>
  <phoneticPr fontId="0" type="noConversion"/>
  <pageMargins left="0.75" right="0.75" top="1" bottom="1" header="0.5" footer="0.5"/>
  <pageSetup orientation="portrait" horizontalDpi="300" r:id="rId1"/>
  <headerFooter alignWithMargins="0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Sheet111112112"/>
  <dimension ref="B1:E20"/>
  <sheetViews>
    <sheetView workbookViewId="0">
      <selection activeCell="C2" sqref="C2"/>
    </sheetView>
  </sheetViews>
  <sheetFormatPr defaultRowHeight="13.2" x14ac:dyDescent="0.25"/>
  <cols>
    <col min="2" max="2" width="3.109375" customWidth="1"/>
    <col min="3" max="3" width="20.6640625" customWidth="1"/>
    <col min="4" max="4" width="15.109375" customWidth="1"/>
    <col min="5" max="5" width="3.109375" customWidth="1"/>
  </cols>
  <sheetData>
    <row r="1" spans="2:5" ht="17.399999999999999" x14ac:dyDescent="0.3">
      <c r="C1" s="1" t="s">
        <v>253</v>
      </c>
    </row>
    <row r="2" spans="2:5" ht="15" x14ac:dyDescent="0.25">
      <c r="C2" s="2" t="s">
        <v>95</v>
      </c>
    </row>
    <row r="4" spans="2:5" ht="15.6" x14ac:dyDescent="0.3">
      <c r="C4" s="37" t="s">
        <v>0</v>
      </c>
      <c r="D4" s="2"/>
      <c r="E4" s="2"/>
    </row>
    <row r="5" spans="2:5" ht="16.2" thickBot="1" x14ac:dyDescent="0.35">
      <c r="C5" s="4"/>
      <c r="D5" s="2"/>
      <c r="E5" s="2"/>
    </row>
    <row r="6" spans="2:5" ht="15.6" x14ac:dyDescent="0.3">
      <c r="B6" s="6"/>
      <c r="C6" s="7"/>
      <c r="D6" s="8"/>
      <c r="E6" s="81"/>
    </row>
    <row r="7" spans="2:5" ht="15" x14ac:dyDescent="0.25">
      <c r="B7" s="10"/>
      <c r="C7" s="11" t="s">
        <v>96</v>
      </c>
      <c r="D7" s="62">
        <v>20000</v>
      </c>
      <c r="E7" s="84"/>
    </row>
    <row r="8" spans="2:5" ht="15" x14ac:dyDescent="0.25">
      <c r="B8" s="10"/>
      <c r="C8" s="11" t="s">
        <v>14</v>
      </c>
      <c r="D8" s="61">
        <v>1</v>
      </c>
      <c r="E8" s="84"/>
    </row>
    <row r="9" spans="2:5" ht="15" x14ac:dyDescent="0.25">
      <c r="B9" s="10"/>
      <c r="C9" s="11" t="s">
        <v>67</v>
      </c>
      <c r="D9" s="60">
        <v>0.16400000000000001</v>
      </c>
      <c r="E9" s="84"/>
    </row>
    <row r="10" spans="2:5" ht="15.6" thickBot="1" x14ac:dyDescent="0.3">
      <c r="B10" s="27"/>
      <c r="C10" s="28"/>
      <c r="D10" s="28"/>
      <c r="E10" s="87"/>
    </row>
    <row r="11" spans="2:5" ht="15" x14ac:dyDescent="0.25">
      <c r="C11" s="2"/>
      <c r="D11" s="2"/>
      <c r="E11" s="2"/>
    </row>
    <row r="12" spans="2:5" ht="15.6" x14ac:dyDescent="0.3">
      <c r="C12" s="37" t="s">
        <v>1</v>
      </c>
      <c r="D12" s="2"/>
      <c r="E12" s="2"/>
    </row>
    <row r="13" spans="2:5" ht="16.2" thickBot="1" x14ac:dyDescent="0.35">
      <c r="C13" s="4"/>
      <c r="D13" s="2"/>
      <c r="E13" s="2"/>
    </row>
    <row r="14" spans="2:5" s="2" customFormat="1" ht="15" x14ac:dyDescent="0.25">
      <c r="B14" s="32"/>
      <c r="C14" s="33"/>
      <c r="D14" s="33"/>
      <c r="E14" s="88"/>
    </row>
    <row r="15" spans="2:5" s="2" customFormat="1" ht="15" x14ac:dyDescent="0.25">
      <c r="B15" s="35"/>
      <c r="C15" s="89" t="s">
        <v>403</v>
      </c>
      <c r="D15" s="75">
        <f>D7*(1-D9)</f>
        <v>16720</v>
      </c>
      <c r="E15" s="92"/>
    </row>
    <row r="16" spans="2:5" s="2" customFormat="1" ht="15" x14ac:dyDescent="0.25">
      <c r="B16" s="35"/>
      <c r="C16" s="89"/>
      <c r="D16" s="75"/>
      <c r="E16" s="92"/>
    </row>
    <row r="17" spans="2:5" s="2" customFormat="1" ht="15" x14ac:dyDescent="0.25">
      <c r="B17" s="35"/>
      <c r="C17" s="89" t="s">
        <v>439</v>
      </c>
      <c r="D17" s="75">
        <f>D7-D15</f>
        <v>3280</v>
      </c>
      <c r="E17" s="92"/>
    </row>
    <row r="18" spans="2:5" s="2" customFormat="1" ht="15" x14ac:dyDescent="0.25">
      <c r="B18" s="35"/>
      <c r="C18" s="15"/>
      <c r="D18" s="15"/>
      <c r="E18" s="100"/>
    </row>
    <row r="19" spans="2:5" s="2" customFormat="1" ht="15.6" x14ac:dyDescent="0.3">
      <c r="B19" s="35"/>
      <c r="C19" s="15" t="s">
        <v>168</v>
      </c>
      <c r="D19" s="53">
        <f>(D7*D9)/D15</f>
        <v>0.19617224880382775</v>
      </c>
      <c r="E19" s="101"/>
    </row>
    <row r="20" spans="2:5" s="2" customFormat="1" ht="15.6" thickBot="1" x14ac:dyDescent="0.3">
      <c r="B20" s="36"/>
      <c r="C20" s="17"/>
      <c r="D20" s="17"/>
      <c r="E20" s="98"/>
    </row>
  </sheetData>
  <phoneticPr fontId="0" type="noConversion"/>
  <pageMargins left="0.75" right="0.75" top="1" bottom="1" header="0.5" footer="0.5"/>
  <pageSetup orientation="portrait" horizontalDpi="300" r:id="rId1"/>
  <headerFooter alignWithMargins="0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 codeName="Sheet1111121121"/>
  <dimension ref="B1:E28"/>
  <sheetViews>
    <sheetView workbookViewId="0">
      <selection activeCell="C2" sqref="C2"/>
    </sheetView>
  </sheetViews>
  <sheetFormatPr defaultRowHeight="13.2" x14ac:dyDescent="0.25"/>
  <cols>
    <col min="2" max="2" width="3.109375" customWidth="1"/>
    <col min="3" max="3" width="32.33203125" bestFit="1" customWidth="1"/>
    <col min="4" max="4" width="15.109375" customWidth="1"/>
    <col min="5" max="5" width="3.109375" customWidth="1"/>
  </cols>
  <sheetData>
    <row r="1" spans="2:5" ht="17.399999999999999" x14ac:dyDescent="0.3">
      <c r="C1" s="1" t="s">
        <v>253</v>
      </c>
    </row>
    <row r="2" spans="2:5" ht="15" x14ac:dyDescent="0.25">
      <c r="C2" s="2" t="s">
        <v>97</v>
      </c>
    </row>
    <row r="4" spans="2:5" ht="15.6" x14ac:dyDescent="0.3">
      <c r="C4" s="37" t="s">
        <v>0</v>
      </c>
      <c r="D4" s="2"/>
      <c r="E4" s="2"/>
    </row>
    <row r="5" spans="2:5" ht="16.2" thickBot="1" x14ac:dyDescent="0.35">
      <c r="C5" s="4"/>
      <c r="D5" s="2"/>
      <c r="E5" s="2"/>
    </row>
    <row r="6" spans="2:5" ht="15.6" x14ac:dyDescent="0.3">
      <c r="B6" s="6"/>
      <c r="C6" s="7"/>
      <c r="D6" s="8"/>
      <c r="E6" s="81"/>
    </row>
    <row r="7" spans="2:5" ht="15" x14ac:dyDescent="0.25">
      <c r="B7" s="10"/>
      <c r="C7" s="11" t="s">
        <v>230</v>
      </c>
      <c r="D7" s="62">
        <v>39000</v>
      </c>
      <c r="E7" s="84"/>
    </row>
    <row r="8" spans="2:5" ht="15" x14ac:dyDescent="0.25">
      <c r="B8" s="10"/>
      <c r="C8" s="11" t="s">
        <v>231</v>
      </c>
      <c r="D8" s="146">
        <v>43000</v>
      </c>
      <c r="E8" s="84"/>
    </row>
    <row r="9" spans="2:5" ht="15" x14ac:dyDescent="0.25">
      <c r="B9" s="10"/>
      <c r="C9" s="11" t="s">
        <v>232</v>
      </c>
      <c r="D9" s="166">
        <v>47000</v>
      </c>
      <c r="E9" s="84"/>
    </row>
    <row r="10" spans="2:5" ht="15" x14ac:dyDescent="0.25">
      <c r="B10" s="10"/>
      <c r="C10" s="11" t="s">
        <v>233</v>
      </c>
      <c r="D10" s="171">
        <v>5</v>
      </c>
      <c r="E10" s="84"/>
    </row>
    <row r="11" spans="2:5" ht="15" x14ac:dyDescent="0.25">
      <c r="B11" s="10"/>
      <c r="C11" s="11" t="s">
        <v>234</v>
      </c>
      <c r="D11" s="166">
        <v>150000</v>
      </c>
      <c r="E11" s="84"/>
    </row>
    <row r="12" spans="2:5" ht="15" x14ac:dyDescent="0.25">
      <c r="B12" s="10"/>
      <c r="C12" s="11" t="s">
        <v>235</v>
      </c>
      <c r="D12" s="166">
        <v>25000</v>
      </c>
      <c r="E12" s="84"/>
    </row>
    <row r="13" spans="2:5" ht="15" x14ac:dyDescent="0.25">
      <c r="B13" s="10"/>
      <c r="C13" s="11" t="s">
        <v>56</v>
      </c>
      <c r="D13" s="60">
        <v>7.3999999999999996E-2</v>
      </c>
      <c r="E13" s="84"/>
    </row>
    <row r="14" spans="2:5" ht="15.6" thickBot="1" x14ac:dyDescent="0.3">
      <c r="B14" s="27"/>
      <c r="C14" s="28"/>
      <c r="D14" s="28"/>
      <c r="E14" s="87"/>
    </row>
    <row r="15" spans="2:5" ht="15" x14ac:dyDescent="0.25">
      <c r="C15" s="2"/>
      <c r="D15" s="2"/>
      <c r="E15" s="2"/>
    </row>
    <row r="16" spans="2:5" ht="15.6" x14ac:dyDescent="0.3">
      <c r="C16" s="37" t="s">
        <v>1</v>
      </c>
      <c r="D16" s="2"/>
      <c r="E16" s="2"/>
    </row>
    <row r="17" spans="2:5" ht="16.2" thickBot="1" x14ac:dyDescent="0.35">
      <c r="C17" s="4"/>
      <c r="D17" s="2"/>
      <c r="E17" s="2"/>
    </row>
    <row r="18" spans="2:5" s="2" customFormat="1" ht="15" x14ac:dyDescent="0.25">
      <c r="B18" s="32"/>
      <c r="C18" s="33"/>
      <c r="D18" s="33"/>
      <c r="E18" s="88"/>
    </row>
    <row r="19" spans="2:5" s="2" customFormat="1" ht="15" x14ac:dyDescent="0.25">
      <c r="B19" s="35"/>
      <c r="C19" s="15" t="s">
        <v>67</v>
      </c>
      <c r="D19" s="56">
        <f>NOMINAL(D13,12)</f>
        <v>7.1602773307314571E-2</v>
      </c>
      <c r="E19" s="92"/>
    </row>
    <row r="20" spans="2:5" s="2" customFormat="1" ht="15" x14ac:dyDescent="0.25">
      <c r="B20" s="35"/>
      <c r="C20" s="15"/>
      <c r="D20" s="15"/>
      <c r="E20" s="92"/>
    </row>
    <row r="21" spans="2:5" s="2" customFormat="1" ht="15" x14ac:dyDescent="0.25">
      <c r="B21" s="35"/>
      <c r="C21" s="15" t="s">
        <v>236</v>
      </c>
      <c r="D21" s="107">
        <f>FV(D19/12,12,-D7/12)*(1+D13)</f>
        <v>43288.323298552306</v>
      </c>
      <c r="E21" s="92"/>
    </row>
    <row r="22" spans="2:5" s="2" customFormat="1" ht="15" x14ac:dyDescent="0.25">
      <c r="B22" s="35"/>
      <c r="C22" s="15" t="s">
        <v>237</v>
      </c>
      <c r="D22" s="107">
        <f>FV(D19/12,12,-D8/12)</f>
        <v>44439.619487125747</v>
      </c>
      <c r="E22" s="92"/>
    </row>
    <row r="23" spans="2:5" s="2" customFormat="1" ht="15" x14ac:dyDescent="0.25">
      <c r="B23" s="35"/>
      <c r="C23" s="15" t="s">
        <v>238</v>
      </c>
      <c r="D23" s="107">
        <f>PV(D19/12,D10*12,-D9/12)</f>
        <v>197046.10317076428</v>
      </c>
      <c r="E23" s="92"/>
    </row>
    <row r="24" spans="2:5" s="2" customFormat="1" ht="15" x14ac:dyDescent="0.25">
      <c r="B24" s="35"/>
      <c r="C24" s="15"/>
      <c r="D24" s="159"/>
      <c r="E24" s="92"/>
    </row>
    <row r="25" spans="2:5" s="2" customFormat="1" ht="15.6" x14ac:dyDescent="0.3">
      <c r="B25" s="35"/>
      <c r="C25" s="15" t="s">
        <v>239</v>
      </c>
      <c r="D25" s="97">
        <f>D21+D22+D23+D11+D12</f>
        <v>459774.04595644237</v>
      </c>
      <c r="E25" s="92"/>
    </row>
    <row r="26" spans="2:5" s="2" customFormat="1" ht="15.6" thickBot="1" x14ac:dyDescent="0.3">
      <c r="B26" s="36"/>
      <c r="C26" s="17"/>
      <c r="D26" s="17"/>
      <c r="E26" s="98"/>
    </row>
    <row r="28" spans="2:5" x14ac:dyDescent="0.25">
      <c r="D28" s="31"/>
    </row>
  </sheetData>
  <phoneticPr fontId="0" type="noConversion"/>
  <pageMargins left="0.75" right="0.75" top="1" bottom="1" header="0.5" footer="0.5"/>
  <pageSetup orientation="portrait" horizontalDpi="300" r:id="rId1"/>
  <headerFooter alignWithMargins="0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Sheet11111211211"/>
  <dimension ref="B1:E28"/>
  <sheetViews>
    <sheetView workbookViewId="0">
      <selection activeCell="C2" sqref="C2"/>
    </sheetView>
  </sheetViews>
  <sheetFormatPr defaultRowHeight="13.2" x14ac:dyDescent="0.25"/>
  <cols>
    <col min="2" max="2" width="3.109375" customWidth="1"/>
    <col min="3" max="3" width="20.6640625" customWidth="1"/>
    <col min="4" max="4" width="15.109375" customWidth="1"/>
    <col min="5" max="5" width="3.109375" customWidth="1"/>
  </cols>
  <sheetData>
    <row r="1" spans="2:5" ht="17.399999999999999" x14ac:dyDescent="0.3">
      <c r="C1" s="1" t="s">
        <v>253</v>
      </c>
    </row>
    <row r="2" spans="2:5" ht="15" x14ac:dyDescent="0.25">
      <c r="C2" s="2" t="s">
        <v>98</v>
      </c>
    </row>
    <row r="4" spans="2:5" ht="15.6" x14ac:dyDescent="0.3">
      <c r="C4" s="37" t="s">
        <v>0</v>
      </c>
      <c r="D4" s="2"/>
      <c r="E4" s="2"/>
    </row>
    <row r="5" spans="2:5" ht="16.2" thickBot="1" x14ac:dyDescent="0.35">
      <c r="C5" s="4"/>
      <c r="D5" s="2"/>
      <c r="E5" s="2"/>
    </row>
    <row r="6" spans="2:5" ht="15.6" x14ac:dyDescent="0.3">
      <c r="B6" s="6"/>
      <c r="C6" s="7"/>
      <c r="D6" s="8"/>
      <c r="E6" s="81"/>
    </row>
    <row r="7" spans="2:5" ht="15" x14ac:dyDescent="0.25">
      <c r="B7" s="10"/>
      <c r="C7" s="11" t="s">
        <v>96</v>
      </c>
      <c r="D7" s="62">
        <v>10000</v>
      </c>
      <c r="E7" s="84"/>
    </row>
    <row r="8" spans="2:5" ht="15" x14ac:dyDescent="0.25">
      <c r="B8" s="10"/>
      <c r="C8" s="11" t="s">
        <v>14</v>
      </c>
      <c r="D8" s="61">
        <v>1</v>
      </c>
      <c r="E8" s="84"/>
    </row>
    <row r="9" spans="2:5" ht="15" x14ac:dyDescent="0.25">
      <c r="B9" s="10"/>
      <c r="C9" s="11" t="s">
        <v>67</v>
      </c>
      <c r="D9" s="99">
        <v>0.08</v>
      </c>
      <c r="E9" s="84"/>
    </row>
    <row r="10" spans="2:5" ht="15" x14ac:dyDescent="0.25">
      <c r="B10" s="10"/>
      <c r="C10" s="11" t="s">
        <v>243</v>
      </c>
      <c r="D10" s="86">
        <v>0.03</v>
      </c>
      <c r="E10" s="84"/>
    </row>
    <row r="11" spans="2:5" ht="15" x14ac:dyDescent="0.25">
      <c r="B11" s="10"/>
      <c r="C11" s="11"/>
      <c r="D11" s="86"/>
      <c r="E11" s="84"/>
    </row>
    <row r="12" spans="2:5" ht="15" x14ac:dyDescent="0.25">
      <c r="B12" s="10"/>
      <c r="C12" s="11" t="s">
        <v>67</v>
      </c>
      <c r="D12" s="86">
        <v>0.11</v>
      </c>
      <c r="E12" s="84"/>
    </row>
    <row r="13" spans="2:5" ht="15" x14ac:dyDescent="0.25">
      <c r="B13" s="10"/>
      <c r="C13" s="11" t="s">
        <v>243</v>
      </c>
      <c r="D13" s="86">
        <v>0.02</v>
      </c>
      <c r="E13" s="84"/>
    </row>
    <row r="14" spans="2:5" ht="15.6" thickBot="1" x14ac:dyDescent="0.3">
      <c r="B14" s="27"/>
      <c r="C14" s="28"/>
      <c r="D14" s="28"/>
      <c r="E14" s="87"/>
    </row>
    <row r="15" spans="2:5" ht="15" x14ac:dyDescent="0.25">
      <c r="C15" s="2"/>
      <c r="D15" s="2"/>
      <c r="E15" s="2"/>
    </row>
    <row r="16" spans="2:5" ht="15.6" x14ac:dyDescent="0.3">
      <c r="C16" s="37" t="s">
        <v>1</v>
      </c>
      <c r="D16" s="2"/>
      <c r="E16" s="2"/>
    </row>
    <row r="17" spans="2:5" ht="16.2" thickBot="1" x14ac:dyDescent="0.35">
      <c r="C17" s="4"/>
      <c r="D17" s="2"/>
      <c r="E17" s="2"/>
    </row>
    <row r="18" spans="2:5" s="2" customFormat="1" ht="15" x14ac:dyDescent="0.25">
      <c r="B18" s="32"/>
      <c r="C18" s="33"/>
      <c r="D18" s="33"/>
      <c r="E18" s="88"/>
    </row>
    <row r="19" spans="2:5" s="2" customFormat="1" ht="15.6" x14ac:dyDescent="0.3">
      <c r="B19" s="35"/>
      <c r="C19" s="15" t="s">
        <v>168</v>
      </c>
      <c r="D19" s="53">
        <f>(1+D9)/(1-D10)-1</f>
        <v>0.11340206185567014</v>
      </c>
      <c r="E19" s="101"/>
    </row>
    <row r="20" spans="2:5" s="2" customFormat="1" ht="15.6" x14ac:dyDescent="0.3">
      <c r="B20" s="35"/>
      <c r="C20" s="15"/>
      <c r="D20" s="47"/>
      <c r="E20" s="101"/>
    </row>
    <row r="21" spans="2:5" s="2" customFormat="1" ht="15.6" x14ac:dyDescent="0.3">
      <c r="B21" s="35"/>
      <c r="C21" s="15" t="s">
        <v>56</v>
      </c>
      <c r="D21" s="53">
        <f>((1+D12)/(1-D13))-1</f>
        <v>0.13265306122448983</v>
      </c>
      <c r="E21" s="101"/>
    </row>
    <row r="22" spans="2:5" s="2" customFormat="1" ht="15.6" thickBot="1" x14ac:dyDescent="0.3">
      <c r="B22" s="36"/>
      <c r="C22" s="17"/>
      <c r="D22" s="17"/>
      <c r="E22" s="98"/>
    </row>
    <row r="23" spans="2:5" ht="13.8" thickBot="1" x14ac:dyDescent="0.3"/>
    <row r="24" spans="2:5" s="2" customFormat="1" ht="15" x14ac:dyDescent="0.25">
      <c r="B24" s="32"/>
      <c r="C24" s="33"/>
      <c r="D24" s="33"/>
      <c r="E24" s="88"/>
    </row>
    <row r="25" spans="2:5" s="2" customFormat="1" ht="15" x14ac:dyDescent="0.25">
      <c r="B25" s="35"/>
      <c r="C25" s="15" t="s">
        <v>435</v>
      </c>
      <c r="D25" s="15"/>
      <c r="E25" s="92"/>
    </row>
    <row r="26" spans="2:5" s="2" customFormat="1" ht="15" x14ac:dyDescent="0.25">
      <c r="B26" s="35"/>
      <c r="C26" s="15" t="s">
        <v>436</v>
      </c>
      <c r="D26" s="15"/>
      <c r="E26" s="92"/>
    </row>
    <row r="27" spans="2:5" s="2" customFormat="1" ht="15.6" x14ac:dyDescent="0.3">
      <c r="B27" s="35"/>
      <c r="C27" s="15" t="s">
        <v>466</v>
      </c>
      <c r="D27" s="15"/>
      <c r="E27" s="92"/>
    </row>
    <row r="28" spans="2:5" s="2" customFormat="1" ht="15.6" thickBot="1" x14ac:dyDescent="0.3">
      <c r="B28" s="36"/>
      <c r="C28" s="17"/>
      <c r="D28" s="17"/>
      <c r="E28" s="98"/>
    </row>
  </sheetData>
  <phoneticPr fontId="0" type="noConversion"/>
  <pageMargins left="0.75" right="0.75" top="1" bottom="1" header="0.5" footer="0.5"/>
  <pageSetup orientation="portrait" horizontalDpi="300" r:id="rId1"/>
  <headerFooter alignWithMargins="0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codeName="Sheet1111121121111"/>
  <dimension ref="B1:H29"/>
  <sheetViews>
    <sheetView workbookViewId="0">
      <selection activeCell="C2" sqref="C2"/>
    </sheetView>
  </sheetViews>
  <sheetFormatPr defaultRowHeight="13.2" x14ac:dyDescent="0.25"/>
  <cols>
    <col min="2" max="2" width="3.109375" customWidth="1"/>
    <col min="3" max="3" width="20.6640625" customWidth="1"/>
    <col min="4" max="4" width="15.109375" customWidth="1"/>
    <col min="5" max="5" width="3.109375" customWidth="1"/>
    <col min="8" max="8" width="9.109375" customWidth="1"/>
  </cols>
  <sheetData>
    <row r="1" spans="2:8" ht="17.399999999999999" x14ac:dyDescent="0.3">
      <c r="C1" s="1" t="s">
        <v>253</v>
      </c>
    </row>
    <row r="2" spans="2:8" ht="15" x14ac:dyDescent="0.25">
      <c r="C2" s="2" t="s">
        <v>99</v>
      </c>
    </row>
    <row r="4" spans="2:8" ht="15.6" x14ac:dyDescent="0.3">
      <c r="C4" s="37" t="s">
        <v>0</v>
      </c>
      <c r="D4" s="2"/>
      <c r="E4" s="2"/>
    </row>
    <row r="5" spans="2:8" ht="16.2" thickBot="1" x14ac:dyDescent="0.35">
      <c r="C5" s="4"/>
      <c r="D5" s="2"/>
      <c r="E5" s="2"/>
    </row>
    <row r="6" spans="2:8" ht="15.6" x14ac:dyDescent="0.3">
      <c r="B6" s="6"/>
      <c r="C6" s="7"/>
      <c r="D6" s="8"/>
      <c r="E6" s="81"/>
    </row>
    <row r="7" spans="2:8" ht="15" x14ac:dyDescent="0.25">
      <c r="B7" s="10"/>
      <c r="C7" s="11" t="s">
        <v>96</v>
      </c>
      <c r="D7" s="62">
        <v>300000</v>
      </c>
      <c r="E7" s="84"/>
    </row>
    <row r="8" spans="2:8" ht="15" x14ac:dyDescent="0.25">
      <c r="B8" s="10"/>
      <c r="C8" s="11" t="s">
        <v>14</v>
      </c>
      <c r="D8" s="61">
        <v>30</v>
      </c>
      <c r="E8" s="84"/>
    </row>
    <row r="9" spans="2:8" ht="15" x14ac:dyDescent="0.25">
      <c r="B9" s="10"/>
      <c r="C9" s="11" t="s">
        <v>20</v>
      </c>
      <c r="D9" s="138">
        <v>5.2999999999999999E-2</v>
      </c>
      <c r="E9" s="84"/>
    </row>
    <row r="10" spans="2:8" ht="15" x14ac:dyDescent="0.25">
      <c r="B10" s="10"/>
      <c r="C10" s="11" t="s">
        <v>101</v>
      </c>
      <c r="D10" s="62">
        <v>2900</v>
      </c>
      <c r="E10" s="84"/>
    </row>
    <row r="11" spans="2:8" ht="15.6" thickBot="1" x14ac:dyDescent="0.3">
      <c r="B11" s="27"/>
      <c r="C11" s="28"/>
      <c r="D11" s="28"/>
      <c r="E11" s="87"/>
    </row>
    <row r="12" spans="2:8" ht="15" x14ac:dyDescent="0.25">
      <c r="C12" s="2"/>
      <c r="D12" s="2"/>
      <c r="E12" s="2"/>
    </row>
    <row r="13" spans="2:8" ht="15.6" x14ac:dyDescent="0.3">
      <c r="C13" s="37" t="s">
        <v>1</v>
      </c>
      <c r="D13" s="2"/>
      <c r="E13" s="2"/>
    </row>
    <row r="14" spans="2:8" ht="16.2" thickBot="1" x14ac:dyDescent="0.35">
      <c r="C14" s="4"/>
      <c r="D14" s="2"/>
      <c r="E14" s="2"/>
    </row>
    <row r="15" spans="2:8" s="2" customFormat="1" ht="15" x14ac:dyDescent="0.25">
      <c r="B15" s="32"/>
      <c r="C15" s="33"/>
      <c r="D15" s="33"/>
      <c r="E15" s="88"/>
      <c r="F15" s="105"/>
      <c r="G15" s="105"/>
      <c r="H15" s="105"/>
    </row>
    <row r="16" spans="2:8" s="2" customFormat="1" ht="15.6" x14ac:dyDescent="0.3">
      <c r="B16" s="35"/>
      <c r="C16" s="108" t="s">
        <v>102</v>
      </c>
      <c r="D16" s="47"/>
      <c r="E16" s="101"/>
      <c r="F16" s="105"/>
      <c r="G16" s="105"/>
      <c r="H16" s="105"/>
    </row>
    <row r="17" spans="2:8" s="2" customFormat="1" ht="15" x14ac:dyDescent="0.25">
      <c r="B17" s="35"/>
      <c r="C17" s="15" t="s">
        <v>289</v>
      </c>
      <c r="D17" s="75">
        <f>-PMT(D9/12,D8*12,D7+D10)</f>
        <v>1682.0177921121374</v>
      </c>
      <c r="E17" s="92"/>
      <c r="F17" s="105"/>
      <c r="G17" s="105"/>
      <c r="H17" s="105"/>
    </row>
    <row r="18" spans="2:8" s="2" customFormat="1" ht="15" x14ac:dyDescent="0.25">
      <c r="B18" s="35"/>
      <c r="C18" s="15" t="s">
        <v>404</v>
      </c>
      <c r="D18" s="172">
        <f>RATE(D8*12,-D17,D7)</f>
        <v>4.4885391023832526E-3</v>
      </c>
      <c r="E18" s="92"/>
      <c r="F18" s="105"/>
      <c r="G18" s="105"/>
      <c r="H18" s="105"/>
    </row>
    <row r="19" spans="2:8" s="2" customFormat="1" ht="15.6" x14ac:dyDescent="0.3">
      <c r="B19" s="35"/>
      <c r="C19" s="15" t="s">
        <v>174</v>
      </c>
      <c r="D19" s="74">
        <f>D18*12</f>
        <v>5.3862469228599032E-2</v>
      </c>
      <c r="E19" s="92"/>
      <c r="F19" s="105"/>
      <c r="G19" s="105"/>
      <c r="H19" s="105"/>
    </row>
    <row r="20" spans="2:8" s="2" customFormat="1" ht="15.6" x14ac:dyDescent="0.3">
      <c r="B20" s="35"/>
      <c r="C20" s="15" t="s">
        <v>168</v>
      </c>
      <c r="D20" s="74">
        <f>EFFECT(D19,12)</f>
        <v>5.5212267211041111E-2</v>
      </c>
      <c r="E20" s="92"/>
      <c r="F20" s="105"/>
      <c r="G20" s="105"/>
      <c r="H20" s="105"/>
    </row>
    <row r="21" spans="2:8" s="2" customFormat="1" ht="15" x14ac:dyDescent="0.25">
      <c r="B21" s="35"/>
      <c r="C21" s="15"/>
      <c r="D21" s="15"/>
      <c r="E21" s="92"/>
      <c r="F21" s="105"/>
      <c r="G21" s="105"/>
      <c r="H21" s="105"/>
    </row>
    <row r="22" spans="2:8" s="2" customFormat="1" ht="15.6" x14ac:dyDescent="0.3">
      <c r="B22" s="35"/>
      <c r="C22" s="108" t="s">
        <v>103</v>
      </c>
      <c r="D22" s="15"/>
      <c r="E22" s="92"/>
      <c r="F22" s="105"/>
      <c r="G22" s="105"/>
      <c r="H22" s="105"/>
    </row>
    <row r="23" spans="2:8" s="2" customFormat="1" ht="15.6" x14ac:dyDescent="0.3">
      <c r="B23" s="35"/>
      <c r="C23" s="15" t="s">
        <v>174</v>
      </c>
      <c r="D23" s="74">
        <f>D9</f>
        <v>5.2999999999999999E-2</v>
      </c>
      <c r="E23" s="92"/>
      <c r="F23" s="105"/>
      <c r="G23" s="105"/>
      <c r="H23" s="105"/>
    </row>
    <row r="24" spans="2:8" s="2" customFormat="1" ht="15.6" x14ac:dyDescent="0.3">
      <c r="B24" s="35"/>
      <c r="C24" s="15" t="s">
        <v>168</v>
      </c>
      <c r="D24" s="53">
        <f>EFFECT(D23,12)</f>
        <v>5.4306602276802618E-2</v>
      </c>
      <c r="E24" s="92"/>
      <c r="F24" s="105"/>
      <c r="G24" s="105"/>
      <c r="H24" s="105"/>
    </row>
    <row r="25" spans="2:8" s="2" customFormat="1" ht="15.6" thickBot="1" x14ac:dyDescent="0.3">
      <c r="B25" s="36"/>
      <c r="C25" s="17"/>
      <c r="D25" s="17"/>
      <c r="E25" s="98"/>
      <c r="F25" s="105"/>
      <c r="G25" s="105"/>
      <c r="H25" s="105"/>
    </row>
    <row r="26" spans="2:8" s="2" customFormat="1" ht="15" x14ac:dyDescent="0.25"/>
    <row r="27" spans="2:8" s="2" customFormat="1" ht="15" x14ac:dyDescent="0.25"/>
    <row r="28" spans="2:8" s="2" customFormat="1" ht="15" x14ac:dyDescent="0.25"/>
    <row r="29" spans="2:8" s="2" customFormat="1" ht="15" x14ac:dyDescent="0.25"/>
  </sheetData>
  <phoneticPr fontId="0" type="noConversion"/>
  <pageMargins left="0.75" right="0.75" top="1" bottom="1" header="0.5" footer="0.5"/>
  <pageSetup orientation="portrait" horizontalDpi="300" r:id="rId1"/>
  <headerFooter alignWithMargins="0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Sheet11111211211111"/>
  <dimension ref="B1:H29"/>
  <sheetViews>
    <sheetView workbookViewId="0">
      <selection activeCell="C2" sqref="C2"/>
    </sheetView>
  </sheetViews>
  <sheetFormatPr defaultRowHeight="13.2" x14ac:dyDescent="0.25"/>
  <cols>
    <col min="2" max="2" width="3.109375" customWidth="1"/>
    <col min="3" max="3" width="20.6640625" customWidth="1"/>
    <col min="4" max="4" width="15.109375" customWidth="1"/>
    <col min="5" max="5" width="3.109375" customWidth="1"/>
    <col min="8" max="8" width="3.109375" customWidth="1"/>
  </cols>
  <sheetData>
    <row r="1" spans="2:8" ht="17.399999999999999" x14ac:dyDescent="0.3">
      <c r="C1" s="1" t="s">
        <v>253</v>
      </c>
    </row>
    <row r="2" spans="2:8" ht="15" x14ac:dyDescent="0.25">
      <c r="C2" s="2" t="s">
        <v>100</v>
      </c>
    </row>
    <row r="4" spans="2:8" ht="15.6" x14ac:dyDescent="0.3">
      <c r="C4" s="37" t="s">
        <v>0</v>
      </c>
      <c r="D4" s="2"/>
      <c r="E4" s="2"/>
    </row>
    <row r="5" spans="2:8" ht="16.2" thickBot="1" x14ac:dyDescent="0.35">
      <c r="C5" s="4"/>
      <c r="D5" s="2"/>
      <c r="E5" s="2"/>
    </row>
    <row r="6" spans="2:8" ht="15.6" x14ac:dyDescent="0.3">
      <c r="B6" s="6"/>
      <c r="C6" s="7"/>
      <c r="D6" s="8"/>
      <c r="E6" s="81"/>
    </row>
    <row r="7" spans="2:8" ht="15" x14ac:dyDescent="0.25">
      <c r="B7" s="10"/>
      <c r="C7" s="11" t="s">
        <v>96</v>
      </c>
      <c r="D7" s="62">
        <v>1000</v>
      </c>
      <c r="E7" s="84"/>
    </row>
    <row r="8" spans="2:8" ht="15" x14ac:dyDescent="0.25">
      <c r="B8" s="10"/>
      <c r="C8" s="11" t="s">
        <v>20</v>
      </c>
      <c r="D8" s="60">
        <v>0.184</v>
      </c>
      <c r="E8" s="84"/>
    </row>
    <row r="9" spans="2:8" ht="15" x14ac:dyDescent="0.25">
      <c r="B9" s="10"/>
      <c r="C9" s="11" t="s">
        <v>14</v>
      </c>
      <c r="D9" s="61">
        <v>3</v>
      </c>
      <c r="E9" s="84"/>
    </row>
    <row r="10" spans="2:8" ht="15" x14ac:dyDescent="0.25">
      <c r="B10" s="10"/>
      <c r="C10" s="251" t="s">
        <v>405</v>
      </c>
      <c r="D10" s="252">
        <f>D7*(1+D8)^D9</f>
        <v>1659.7975039999997</v>
      </c>
      <c r="E10" s="84"/>
    </row>
    <row r="11" spans="2:8" ht="15" x14ac:dyDescent="0.25">
      <c r="B11" s="10"/>
      <c r="C11" s="251" t="s">
        <v>406</v>
      </c>
      <c r="D11" s="252">
        <f>ROUND(D10/(D9*12),2)</f>
        <v>46.11</v>
      </c>
      <c r="E11" s="84"/>
    </row>
    <row r="12" spans="2:8" ht="15.6" thickBot="1" x14ac:dyDescent="0.3">
      <c r="B12" s="27"/>
      <c r="C12" s="250"/>
      <c r="D12" s="28"/>
      <c r="E12" s="87"/>
    </row>
    <row r="13" spans="2:8" ht="15" x14ac:dyDescent="0.25">
      <c r="C13" s="2"/>
      <c r="D13" s="2"/>
      <c r="E13" s="2"/>
    </row>
    <row r="14" spans="2:8" ht="15.6" x14ac:dyDescent="0.3">
      <c r="C14" s="37" t="s">
        <v>1</v>
      </c>
      <c r="D14" s="2"/>
      <c r="E14" s="2"/>
    </row>
    <row r="15" spans="2:8" ht="16.2" thickBot="1" x14ac:dyDescent="0.35">
      <c r="C15" s="4"/>
      <c r="D15" s="2"/>
      <c r="E15" s="2"/>
    </row>
    <row r="16" spans="2:8" s="2" customFormat="1" ht="15" x14ac:dyDescent="0.25">
      <c r="B16" s="32"/>
      <c r="C16" s="33"/>
      <c r="D16" s="33"/>
      <c r="E16" s="33"/>
      <c r="F16" s="33"/>
      <c r="G16" s="33"/>
      <c r="H16" s="88"/>
    </row>
    <row r="17" spans="2:8" s="2" customFormat="1" ht="15" x14ac:dyDescent="0.25">
      <c r="B17" s="35"/>
      <c r="C17" s="15" t="s">
        <v>404</v>
      </c>
      <c r="D17" s="78">
        <f>RATE(D9*12,-D11,D7)</f>
        <v>3.0447283282557656E-2</v>
      </c>
      <c r="E17" s="15"/>
      <c r="F17" s="15"/>
      <c r="G17" s="15"/>
      <c r="H17" s="92"/>
    </row>
    <row r="18" spans="2:8" s="2" customFormat="1" ht="15.6" x14ac:dyDescent="0.3">
      <c r="B18" s="35"/>
      <c r="C18" s="15"/>
      <c r="D18" s="152"/>
      <c r="E18" s="15"/>
      <c r="F18" s="15"/>
      <c r="G18" s="15"/>
      <c r="H18" s="92"/>
    </row>
    <row r="19" spans="2:8" s="2" customFormat="1" ht="15.6" x14ac:dyDescent="0.3">
      <c r="B19" s="35"/>
      <c r="C19" s="15" t="s">
        <v>390</v>
      </c>
      <c r="D19" s="74">
        <f>D17*12</f>
        <v>0.36536739939069185</v>
      </c>
      <c r="E19" s="15"/>
      <c r="F19" s="15"/>
      <c r="G19" s="15"/>
      <c r="H19" s="92"/>
    </row>
    <row r="20" spans="2:8" s="2" customFormat="1" ht="15.6" x14ac:dyDescent="0.3">
      <c r="B20" s="35"/>
      <c r="C20" s="15" t="s">
        <v>168</v>
      </c>
      <c r="D20" s="74">
        <f>EFFECT(D19,12)</f>
        <v>0.43320839381735743</v>
      </c>
      <c r="E20" s="15"/>
      <c r="F20" s="15"/>
      <c r="G20" s="15"/>
      <c r="H20" s="92"/>
    </row>
    <row r="21" spans="2:8" s="2" customFormat="1" ht="15" x14ac:dyDescent="0.25">
      <c r="B21" s="35"/>
      <c r="C21" s="15"/>
      <c r="D21" s="15"/>
      <c r="E21" s="15"/>
      <c r="F21" s="15"/>
      <c r="G21" s="15"/>
      <c r="H21" s="92"/>
    </row>
    <row r="22" spans="2:8" s="2" customFormat="1" ht="15" x14ac:dyDescent="0.25">
      <c r="B22" s="35"/>
      <c r="C22" s="15" t="s">
        <v>105</v>
      </c>
      <c r="D22" s="15"/>
      <c r="E22" s="15"/>
      <c r="F22" s="15"/>
      <c r="G22" s="15"/>
      <c r="H22" s="92"/>
    </row>
    <row r="23" spans="2:8" s="2" customFormat="1" ht="15.6" x14ac:dyDescent="0.3">
      <c r="B23" s="35"/>
      <c r="C23" s="15" t="s">
        <v>106</v>
      </c>
      <c r="D23" s="109"/>
      <c r="E23" s="15"/>
      <c r="F23" s="15"/>
      <c r="G23" s="15"/>
      <c r="H23" s="92"/>
    </row>
    <row r="24" spans="2:8" s="2" customFormat="1" ht="15.6" x14ac:dyDescent="0.3">
      <c r="B24" s="35"/>
      <c r="C24" s="15" t="s">
        <v>107</v>
      </c>
      <c r="D24" s="47"/>
      <c r="E24" s="15"/>
      <c r="F24" s="15"/>
      <c r="G24" s="15"/>
      <c r="H24" s="92"/>
    </row>
    <row r="25" spans="2:8" s="2" customFormat="1" ht="15.6" thickBot="1" x14ac:dyDescent="0.3">
      <c r="B25" s="36"/>
      <c r="C25" s="17"/>
      <c r="D25" s="17"/>
      <c r="E25" s="17"/>
      <c r="F25" s="17"/>
      <c r="G25" s="17"/>
      <c r="H25" s="98"/>
    </row>
    <row r="26" spans="2:8" s="2" customFormat="1" ht="15" x14ac:dyDescent="0.25"/>
    <row r="27" spans="2:8" s="2" customFormat="1" ht="15" x14ac:dyDescent="0.25"/>
    <row r="28" spans="2:8" s="2" customFormat="1" ht="15" x14ac:dyDescent="0.25"/>
    <row r="29" spans="2:8" s="2" customFormat="1" ht="15" x14ac:dyDescent="0.25"/>
  </sheetData>
  <phoneticPr fontId="0" type="noConversion"/>
  <pageMargins left="0.75" right="0.75" top="1" bottom="1" header="0.5" footer="0.5"/>
  <pageSetup orientation="portrait" horizontalDpi="300" r:id="rId1"/>
  <headerFooter alignWithMargins="0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 codeName="Sheet11111211212"/>
  <dimension ref="B1:E24"/>
  <sheetViews>
    <sheetView workbookViewId="0">
      <selection activeCell="C2" sqref="C2"/>
    </sheetView>
  </sheetViews>
  <sheetFormatPr defaultRowHeight="13.2" x14ac:dyDescent="0.25"/>
  <cols>
    <col min="2" max="2" width="3.109375" customWidth="1"/>
    <col min="3" max="3" width="36.44140625" bestFit="1" customWidth="1"/>
    <col min="4" max="4" width="15.109375" customWidth="1"/>
    <col min="5" max="5" width="3.109375" customWidth="1"/>
  </cols>
  <sheetData>
    <row r="1" spans="2:5" ht="17.399999999999999" x14ac:dyDescent="0.3">
      <c r="C1" s="1" t="s">
        <v>253</v>
      </c>
    </row>
    <row r="2" spans="2:5" ht="15" x14ac:dyDescent="0.25">
      <c r="C2" s="2" t="s">
        <v>104</v>
      </c>
    </row>
    <row r="4" spans="2:5" ht="15.6" x14ac:dyDescent="0.3">
      <c r="C4" s="37" t="s">
        <v>0</v>
      </c>
      <c r="D4" s="2"/>
      <c r="E4" s="2"/>
    </row>
    <row r="5" spans="2:5" ht="16.2" thickBot="1" x14ac:dyDescent="0.35">
      <c r="C5" s="4"/>
      <c r="D5" s="2"/>
      <c r="E5" s="2"/>
    </row>
    <row r="6" spans="2:5" ht="15.6" x14ac:dyDescent="0.3">
      <c r="B6" s="6"/>
      <c r="C6" s="7"/>
      <c r="D6" s="8"/>
      <c r="E6" s="81"/>
    </row>
    <row r="7" spans="2:5" ht="15" x14ac:dyDescent="0.25">
      <c r="B7" s="10"/>
      <c r="C7" s="11" t="s">
        <v>111</v>
      </c>
      <c r="D7" s="62">
        <v>12000</v>
      </c>
      <c r="E7" s="84"/>
    </row>
    <row r="8" spans="2:5" ht="15" x14ac:dyDescent="0.25">
      <c r="B8" s="10"/>
      <c r="C8" s="11" t="s">
        <v>112</v>
      </c>
      <c r="D8" s="60">
        <v>0.186</v>
      </c>
      <c r="E8" s="84"/>
    </row>
    <row r="9" spans="2:5" ht="15" x14ac:dyDescent="0.25">
      <c r="B9" s="10"/>
      <c r="C9" s="11" t="s">
        <v>113</v>
      </c>
      <c r="D9" s="60">
        <v>8.2000000000000003E-2</v>
      </c>
      <c r="E9" s="84"/>
    </row>
    <row r="10" spans="2:5" ht="15" x14ac:dyDescent="0.25">
      <c r="B10" s="10"/>
      <c r="C10" s="11" t="s">
        <v>114</v>
      </c>
      <c r="D10" s="62">
        <v>250</v>
      </c>
      <c r="E10" s="84"/>
    </row>
    <row r="11" spans="2:5" ht="15" x14ac:dyDescent="0.25">
      <c r="B11" s="10"/>
      <c r="C11" s="11" t="s">
        <v>115</v>
      </c>
      <c r="D11" s="99">
        <v>0.02</v>
      </c>
      <c r="E11" s="84"/>
    </row>
    <row r="12" spans="2:5" ht="15.6" thickBot="1" x14ac:dyDescent="0.3">
      <c r="B12" s="27"/>
      <c r="C12" s="28"/>
      <c r="D12" s="28"/>
      <c r="E12" s="87"/>
    </row>
    <row r="13" spans="2:5" ht="15" x14ac:dyDescent="0.25">
      <c r="C13" s="2"/>
      <c r="D13" s="2"/>
      <c r="E13" s="2"/>
    </row>
    <row r="14" spans="2:5" ht="15.6" x14ac:dyDescent="0.3">
      <c r="C14" s="37" t="s">
        <v>1</v>
      </c>
      <c r="D14" s="2"/>
      <c r="E14" s="2"/>
    </row>
    <row r="15" spans="2:5" ht="16.2" thickBot="1" x14ac:dyDescent="0.35">
      <c r="C15" s="4"/>
      <c r="D15" s="2"/>
      <c r="E15" s="2"/>
    </row>
    <row r="16" spans="2:5" s="2" customFormat="1" ht="15" x14ac:dyDescent="0.25">
      <c r="B16" s="32"/>
      <c r="C16" s="33"/>
      <c r="D16" s="33"/>
      <c r="E16" s="88"/>
    </row>
    <row r="17" spans="2:5" s="2" customFormat="1" ht="15" x14ac:dyDescent="0.25">
      <c r="B17" s="35"/>
      <c r="C17" s="89" t="s">
        <v>407</v>
      </c>
      <c r="D17" s="111">
        <f>LN(-1*((D7/D10)*(D8/12)-1))/LN(1/(1+D8/12))</f>
        <v>88.587789815674682</v>
      </c>
      <c r="E17" s="92"/>
    </row>
    <row r="18" spans="2:5" s="2" customFormat="1" ht="15" x14ac:dyDescent="0.25">
      <c r="B18" s="35"/>
      <c r="C18" s="15" t="s">
        <v>408</v>
      </c>
      <c r="D18" s="112">
        <f>LN(-1*((D7/D10)*(D9/12)-1))/LN(1/(1+D9/12))</f>
        <v>58.368806563771564</v>
      </c>
      <c r="E18" s="101"/>
    </row>
    <row r="19" spans="2:5" s="2" customFormat="1" ht="15.6" x14ac:dyDescent="0.3">
      <c r="B19" s="35"/>
      <c r="C19" s="15" t="s">
        <v>370</v>
      </c>
      <c r="D19" s="59">
        <f>D17-D18</f>
        <v>30.218983251903119</v>
      </c>
      <c r="E19" s="101"/>
    </row>
    <row r="20" spans="2:5" s="2" customFormat="1" ht="15.6" x14ac:dyDescent="0.3">
      <c r="B20" s="35"/>
      <c r="C20" s="15"/>
      <c r="D20" s="113"/>
      <c r="E20" s="101"/>
    </row>
    <row r="21" spans="2:5" s="2" customFormat="1" ht="15" x14ac:dyDescent="0.25">
      <c r="B21" s="35"/>
      <c r="C21" s="15" t="s">
        <v>409</v>
      </c>
      <c r="D21" s="114">
        <f>D7*(1+D11)</f>
        <v>12240</v>
      </c>
      <c r="E21" s="101"/>
    </row>
    <row r="22" spans="2:5" s="2" customFormat="1" ht="15" x14ac:dyDescent="0.25">
      <c r="B22" s="35"/>
      <c r="C22" s="15" t="s">
        <v>410</v>
      </c>
      <c r="D22" s="310">
        <f>LN(-1*((D21/D10)*(D9/12)-1))/LN(1/(1+D9/12))</f>
        <v>59.809295859873885</v>
      </c>
      <c r="E22" s="101"/>
    </row>
    <row r="23" spans="2:5" s="2" customFormat="1" ht="15.6" x14ac:dyDescent="0.3">
      <c r="B23" s="35"/>
      <c r="C23" s="15" t="s">
        <v>370</v>
      </c>
      <c r="D23" s="59">
        <f>D17-D22</f>
        <v>28.778493955800798</v>
      </c>
      <c r="E23" s="101"/>
    </row>
    <row r="24" spans="2:5" s="2" customFormat="1" ht="15.6" thickBot="1" x14ac:dyDescent="0.3">
      <c r="B24" s="36"/>
      <c r="C24" s="17"/>
      <c r="D24" s="17"/>
      <c r="E24" s="98"/>
    </row>
  </sheetData>
  <phoneticPr fontId="0" type="noConversion"/>
  <pageMargins left="0.75" right="0.75" top="1" bottom="1" header="0.5" footer="0.5"/>
  <pageSetup orientation="portrait" horizontalDpi="300" r:id="rId1"/>
  <headerFooter alignWithMargins="0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 codeName="Sheet111112112121"/>
  <dimension ref="B1:H59"/>
  <sheetViews>
    <sheetView zoomScaleNormal="100" workbookViewId="0">
      <selection activeCell="C2" sqref="C2"/>
    </sheetView>
  </sheetViews>
  <sheetFormatPr defaultRowHeight="13.2" x14ac:dyDescent="0.25"/>
  <cols>
    <col min="2" max="2" width="3.109375" customWidth="1"/>
    <col min="3" max="3" width="31.109375" customWidth="1"/>
    <col min="4" max="4" width="19.44140625" customWidth="1"/>
    <col min="5" max="5" width="3.109375" customWidth="1"/>
    <col min="8" max="8" width="9.109375" customWidth="1"/>
  </cols>
  <sheetData>
    <row r="1" spans="2:5" ht="17.399999999999999" x14ac:dyDescent="0.3">
      <c r="C1" s="1" t="s">
        <v>253</v>
      </c>
    </row>
    <row r="2" spans="2:5" ht="15" x14ac:dyDescent="0.25">
      <c r="C2" s="2" t="s">
        <v>108</v>
      </c>
    </row>
    <row r="4" spans="2:5" ht="15.6" x14ac:dyDescent="0.3">
      <c r="C4" s="37" t="s">
        <v>0</v>
      </c>
      <c r="D4" s="2"/>
      <c r="E4" s="2"/>
    </row>
    <row r="5" spans="2:5" ht="16.2" thickBot="1" x14ac:dyDescent="0.35">
      <c r="C5" s="4"/>
      <c r="D5" s="206"/>
      <c r="E5" s="2"/>
    </row>
    <row r="6" spans="2:5" ht="15.6" x14ac:dyDescent="0.3">
      <c r="B6" s="6"/>
      <c r="C6" s="7"/>
      <c r="D6" s="8"/>
      <c r="E6" s="81"/>
    </row>
    <row r="7" spans="2:5" ht="15" x14ac:dyDescent="0.25">
      <c r="B7" s="10"/>
      <c r="C7" s="11" t="s">
        <v>117</v>
      </c>
      <c r="D7" s="62">
        <v>300000</v>
      </c>
      <c r="E7" s="84"/>
    </row>
    <row r="8" spans="2:5" ht="15" x14ac:dyDescent="0.25">
      <c r="B8" s="10"/>
      <c r="C8" s="11" t="s">
        <v>109</v>
      </c>
      <c r="D8" s="61">
        <v>65</v>
      </c>
      <c r="E8" s="84"/>
    </row>
    <row r="9" spans="2:5" ht="15" x14ac:dyDescent="0.25">
      <c r="B9" s="10"/>
      <c r="C9" s="11"/>
      <c r="D9" s="61"/>
      <c r="E9" s="84"/>
    </row>
    <row r="10" spans="2:5" ht="15" x14ac:dyDescent="0.25">
      <c r="B10" s="10"/>
      <c r="C10" s="121" t="s">
        <v>3</v>
      </c>
      <c r="D10" s="173" t="s">
        <v>118</v>
      </c>
      <c r="E10" s="84"/>
    </row>
    <row r="11" spans="2:5" ht="15" x14ac:dyDescent="0.25">
      <c r="B11" s="10"/>
      <c r="C11" s="121">
        <v>1</v>
      </c>
      <c r="D11" s="146">
        <v>500</v>
      </c>
      <c r="E11" s="84"/>
    </row>
    <row r="12" spans="2:5" ht="15" x14ac:dyDescent="0.25">
      <c r="B12" s="10"/>
      <c r="C12" s="121">
        <v>2</v>
      </c>
      <c r="D12" s="61">
        <v>600</v>
      </c>
      <c r="E12" s="84"/>
    </row>
    <row r="13" spans="2:5" ht="15" x14ac:dyDescent="0.25">
      <c r="B13" s="10"/>
      <c r="C13" s="121">
        <v>3</v>
      </c>
      <c r="D13" s="61">
        <v>700</v>
      </c>
      <c r="E13" s="84"/>
    </row>
    <row r="14" spans="2:5" ht="15" x14ac:dyDescent="0.25">
      <c r="B14" s="10"/>
      <c r="C14" s="121">
        <v>4</v>
      </c>
      <c r="D14" s="61">
        <v>800</v>
      </c>
      <c r="E14" s="84"/>
    </row>
    <row r="15" spans="2:5" ht="15" x14ac:dyDescent="0.25">
      <c r="B15" s="10"/>
      <c r="C15" s="121">
        <v>5</v>
      </c>
      <c r="D15" s="61">
        <v>900</v>
      </c>
      <c r="E15" s="84"/>
    </row>
    <row r="16" spans="2:5" ht="15" x14ac:dyDescent="0.25">
      <c r="B16" s="10"/>
      <c r="C16" s="121">
        <v>6</v>
      </c>
      <c r="D16" s="61">
        <v>1000</v>
      </c>
      <c r="E16" s="84"/>
    </row>
    <row r="17" spans="2:5" ht="15" x14ac:dyDescent="0.25">
      <c r="B17" s="10"/>
      <c r="C17" s="11"/>
      <c r="D17" s="60"/>
      <c r="E17" s="84"/>
    </row>
    <row r="18" spans="2:5" ht="15" x14ac:dyDescent="0.25">
      <c r="B18" s="10"/>
      <c r="C18" s="11" t="s">
        <v>451</v>
      </c>
      <c r="D18" s="86">
        <v>0.11</v>
      </c>
      <c r="E18" s="84"/>
    </row>
    <row r="19" spans="2:5" ht="15" x14ac:dyDescent="0.25">
      <c r="B19" s="10"/>
      <c r="C19" s="11" t="s">
        <v>14</v>
      </c>
      <c r="D19" s="61">
        <v>6</v>
      </c>
      <c r="E19" s="84"/>
    </row>
    <row r="20" spans="2:5" ht="15" x14ac:dyDescent="0.25">
      <c r="B20" s="10"/>
      <c r="C20" s="11"/>
      <c r="D20" s="61"/>
      <c r="E20" s="84"/>
    </row>
    <row r="21" spans="2:5" ht="15" x14ac:dyDescent="0.25">
      <c r="B21" s="10"/>
      <c r="C21" s="11" t="s">
        <v>452</v>
      </c>
      <c r="D21" s="86">
        <v>7.0000000000000007E-2</v>
      </c>
      <c r="E21" s="84"/>
    </row>
    <row r="22" spans="2:5" ht="15" x14ac:dyDescent="0.25">
      <c r="B22" s="10"/>
      <c r="C22" s="11" t="s">
        <v>14</v>
      </c>
      <c r="D22" s="253">
        <f>D8-D19</f>
        <v>59</v>
      </c>
      <c r="E22" s="84"/>
    </row>
    <row r="23" spans="2:5" ht="15.6" thickBot="1" x14ac:dyDescent="0.3">
      <c r="B23" s="27"/>
      <c r="C23" s="28"/>
      <c r="D23" s="28"/>
      <c r="E23" s="87"/>
    </row>
    <row r="24" spans="2:5" ht="15" x14ac:dyDescent="0.25">
      <c r="C24" s="2"/>
      <c r="D24" s="2"/>
      <c r="E24" s="2"/>
    </row>
    <row r="25" spans="2:5" ht="15.6" x14ac:dyDescent="0.3">
      <c r="C25" s="37" t="s">
        <v>1</v>
      </c>
      <c r="D25" s="2"/>
      <c r="E25" s="2"/>
    </row>
    <row r="26" spans="2:5" ht="16.2" thickBot="1" x14ac:dyDescent="0.35">
      <c r="C26" s="4"/>
      <c r="D26" s="2"/>
      <c r="E26" s="2"/>
    </row>
    <row r="27" spans="2:5" s="2" customFormat="1" ht="15" x14ac:dyDescent="0.25">
      <c r="B27" s="32"/>
      <c r="C27" s="33"/>
      <c r="D27" s="33"/>
      <c r="E27" s="88"/>
    </row>
    <row r="28" spans="2:5" s="2" customFormat="1" ht="15" x14ac:dyDescent="0.25">
      <c r="B28" s="35"/>
      <c r="C28" s="57" t="s">
        <v>3</v>
      </c>
      <c r="D28" s="115" t="s">
        <v>240</v>
      </c>
      <c r="E28" s="92"/>
    </row>
    <row r="29" spans="2:5" s="2" customFormat="1" ht="15" x14ac:dyDescent="0.25">
      <c r="B29" s="35"/>
      <c r="C29" s="15">
        <v>1</v>
      </c>
      <c r="D29" s="91">
        <f t="shared" ref="D29:D34" si="0">FV($D$18,(6-C29),,-D11)</f>
        <v>842.52907755000024</v>
      </c>
      <c r="E29" s="101"/>
    </row>
    <row r="30" spans="2:5" s="2" customFormat="1" ht="15" x14ac:dyDescent="0.25">
      <c r="B30" s="35"/>
      <c r="C30" s="15">
        <v>2</v>
      </c>
      <c r="D30" s="91">
        <f t="shared" si="0"/>
        <v>910.84224600000027</v>
      </c>
      <c r="E30" s="101"/>
    </row>
    <row r="31" spans="2:5" s="2" customFormat="1" ht="15" x14ac:dyDescent="0.25">
      <c r="B31" s="35"/>
      <c r="C31" s="15">
        <v>3</v>
      </c>
      <c r="D31" s="91">
        <f t="shared" si="0"/>
        <v>957.34170000000017</v>
      </c>
      <c r="E31" s="101"/>
    </row>
    <row r="32" spans="2:5" s="2" customFormat="1" ht="15" x14ac:dyDescent="0.25">
      <c r="B32" s="35"/>
      <c r="C32" s="15">
        <v>4</v>
      </c>
      <c r="D32" s="91">
        <f t="shared" si="0"/>
        <v>985.68000000000018</v>
      </c>
      <c r="E32" s="101"/>
    </row>
    <row r="33" spans="2:8" s="2" customFormat="1" ht="15" x14ac:dyDescent="0.25">
      <c r="B33" s="35"/>
      <c r="C33" s="15">
        <v>5</v>
      </c>
      <c r="D33" s="91">
        <f t="shared" si="0"/>
        <v>999.00000000000011</v>
      </c>
      <c r="E33" s="101"/>
    </row>
    <row r="34" spans="2:8" s="2" customFormat="1" ht="15" x14ac:dyDescent="0.25">
      <c r="B34" s="35"/>
      <c r="C34" s="15">
        <v>6</v>
      </c>
      <c r="D34" s="162">
        <f t="shared" si="0"/>
        <v>1000</v>
      </c>
      <c r="E34" s="92"/>
    </row>
    <row r="35" spans="2:8" s="2" customFormat="1" ht="15" x14ac:dyDescent="0.25">
      <c r="B35" s="35"/>
      <c r="C35" s="15" t="s">
        <v>241</v>
      </c>
      <c r="D35" s="75">
        <f>SUM(D29:D34)</f>
        <v>5695.3930235500011</v>
      </c>
      <c r="E35" s="92"/>
    </row>
    <row r="36" spans="2:8" s="2" customFormat="1" ht="15" x14ac:dyDescent="0.25">
      <c r="B36" s="35"/>
      <c r="C36" s="15"/>
      <c r="D36" s="15"/>
      <c r="E36" s="92"/>
    </row>
    <row r="37" spans="2:8" s="2" customFormat="1" ht="15.6" x14ac:dyDescent="0.3">
      <c r="B37" s="35"/>
      <c r="C37" s="15" t="s">
        <v>242</v>
      </c>
      <c r="D37" s="40">
        <f>FV(D21,D22,,-D35)</f>
        <v>308437.07956360077</v>
      </c>
      <c r="E37" s="92"/>
      <c r="H37" s="206"/>
    </row>
    <row r="38" spans="2:8" s="2" customFormat="1" ht="15.6" x14ac:dyDescent="0.3">
      <c r="B38" s="35"/>
      <c r="C38" s="15"/>
      <c r="D38" s="41"/>
      <c r="E38" s="92"/>
    </row>
    <row r="39" spans="2:8" s="2" customFormat="1" ht="15.6" x14ac:dyDescent="0.3">
      <c r="B39" s="35"/>
      <c r="C39" s="174" t="str">
        <f>IF(D37&gt;D7,"The policy is not worth buying; the FV of","You should buy the policy. The FV of the")</f>
        <v>The policy is not worth buying; the FV of</v>
      </c>
      <c r="D39" s="41"/>
      <c r="E39" s="92"/>
    </row>
    <row r="40" spans="2:8" s="2" customFormat="1" ht="15.6" x14ac:dyDescent="0.3">
      <c r="B40" s="35"/>
      <c r="C40" s="174" t="str">
        <f>IF(D37&gt;D7,"the cost of policy is less than the payout at maturity.","cost of the policy is more than the FV of the cost.")</f>
        <v>the cost of policy is less than the payout at maturity.</v>
      </c>
      <c r="D40" s="41"/>
      <c r="E40" s="92"/>
    </row>
    <row r="41" spans="2:8" s="2" customFormat="1" ht="15.6" x14ac:dyDescent="0.3">
      <c r="B41" s="35"/>
      <c r="C41" s="174"/>
      <c r="D41" s="41"/>
      <c r="E41" s="92"/>
    </row>
    <row r="42" spans="2:8" s="2" customFormat="1" ht="15" x14ac:dyDescent="0.25">
      <c r="B42" s="35"/>
      <c r="C42" s="15" t="s">
        <v>437</v>
      </c>
      <c r="D42" s="208">
        <f>D37-D7</f>
        <v>8437.0795636007679</v>
      </c>
      <c r="E42" s="92"/>
    </row>
    <row r="43" spans="2:8" s="2" customFormat="1" ht="15.6" x14ac:dyDescent="0.3">
      <c r="B43" s="35"/>
      <c r="C43" s="174"/>
      <c r="D43" s="41"/>
      <c r="E43" s="92"/>
    </row>
    <row r="44" spans="2:8" s="2" customFormat="1" ht="15.6" x14ac:dyDescent="0.3">
      <c r="B44" s="35"/>
      <c r="C44" s="15" t="s">
        <v>248</v>
      </c>
      <c r="D44" s="41"/>
      <c r="E44" s="92"/>
    </row>
    <row r="45" spans="2:8" s="2" customFormat="1" ht="15.6" x14ac:dyDescent="0.3">
      <c r="B45" s="35"/>
      <c r="C45" s="15" t="s">
        <v>249</v>
      </c>
      <c r="D45" s="41"/>
      <c r="E45" s="92"/>
    </row>
    <row r="46" spans="2:8" s="2" customFormat="1" ht="15.6" x14ac:dyDescent="0.3">
      <c r="B46" s="35"/>
      <c r="C46" s="15"/>
      <c r="D46" s="41"/>
      <c r="E46" s="92"/>
    </row>
    <row r="47" spans="2:8" s="2" customFormat="1" ht="15" x14ac:dyDescent="0.25">
      <c r="B47" s="35"/>
      <c r="C47" s="15" t="s">
        <v>250</v>
      </c>
      <c r="D47" s="91">
        <f>NPV(D18,D11:D16)</f>
        <v>3044.9896879650423</v>
      </c>
      <c r="E47" s="92"/>
    </row>
    <row r="48" spans="2:8" s="2" customFormat="1" ht="15.6" x14ac:dyDescent="0.3">
      <c r="B48" s="35"/>
      <c r="C48" s="174"/>
      <c r="D48" s="41"/>
      <c r="E48" s="92"/>
    </row>
    <row r="49" spans="2:8" s="2" customFormat="1" ht="15.6" x14ac:dyDescent="0.3">
      <c r="B49" s="35"/>
      <c r="C49" s="15" t="s">
        <v>251</v>
      </c>
      <c r="D49" s="41"/>
      <c r="E49" s="92"/>
    </row>
    <row r="50" spans="2:8" s="2" customFormat="1" ht="15" x14ac:dyDescent="0.25">
      <c r="B50" s="35"/>
      <c r="C50" s="15" t="s">
        <v>252</v>
      </c>
      <c r="D50" s="91">
        <f>PV(D21,D22,0,-D7)/((1+D18)^D19)</f>
        <v>2961.6961348551054</v>
      </c>
      <c r="E50" s="92"/>
      <c r="H50" s="307"/>
    </row>
    <row r="51" spans="2:8" s="2" customFormat="1" ht="15" x14ac:dyDescent="0.25">
      <c r="B51" s="35"/>
      <c r="C51" s="15"/>
      <c r="D51" s="91"/>
      <c r="E51" s="92"/>
      <c r="H51" s="307"/>
    </row>
    <row r="52" spans="2:8" s="2" customFormat="1" ht="15" x14ac:dyDescent="0.25">
      <c r="B52" s="35"/>
      <c r="C52" s="15" t="s">
        <v>438</v>
      </c>
      <c r="D52" s="91">
        <f>D47-D50</f>
        <v>83.293553109936965</v>
      </c>
      <c r="E52" s="92"/>
      <c r="H52" s="307"/>
    </row>
    <row r="53" spans="2:8" s="2" customFormat="1" ht="15.6" x14ac:dyDescent="0.3">
      <c r="B53" s="35"/>
      <c r="C53" s="174"/>
      <c r="D53" s="41"/>
      <c r="E53" s="92"/>
    </row>
    <row r="54" spans="2:8" s="2" customFormat="1" ht="15.6" x14ac:dyDescent="0.3">
      <c r="B54" s="35"/>
      <c r="C54" s="15" t="s">
        <v>467</v>
      </c>
      <c r="D54" s="41"/>
      <c r="E54" s="92"/>
    </row>
    <row r="55" spans="2:8" s="2" customFormat="1" ht="15.6" x14ac:dyDescent="0.3">
      <c r="B55" s="35"/>
      <c r="C55" s="15" t="s">
        <v>468</v>
      </c>
      <c r="D55" s="41"/>
      <c r="E55" s="92"/>
    </row>
    <row r="56" spans="2:8" s="2" customFormat="1" ht="15.6" thickBot="1" x14ac:dyDescent="0.3">
      <c r="B56" s="36"/>
      <c r="C56" s="17"/>
      <c r="D56" s="17"/>
      <c r="E56" s="98"/>
    </row>
    <row r="57" spans="2:8" s="2" customFormat="1" ht="15" x14ac:dyDescent="0.25"/>
    <row r="58" spans="2:8" s="2" customFormat="1" ht="15" x14ac:dyDescent="0.25"/>
    <row r="59" spans="2:8" x14ac:dyDescent="0.25">
      <c r="D59" s="31"/>
    </row>
  </sheetData>
  <phoneticPr fontId="0" type="noConversion"/>
  <pageMargins left="0.75" right="0.75" top="1" bottom="1" header="0.5" footer="0.5"/>
  <pageSetup scale="86" orientation="portrait" horizontalDpi="300" r:id="rId1"/>
  <headerFooter alignWithMargins="0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 codeName="Sheet111112112122"/>
  <dimension ref="B1:E28"/>
  <sheetViews>
    <sheetView zoomScaleNormal="100" workbookViewId="0">
      <selection activeCell="C2" sqref="C2"/>
    </sheetView>
  </sheetViews>
  <sheetFormatPr defaultRowHeight="13.2" x14ac:dyDescent="0.25"/>
  <cols>
    <col min="2" max="2" width="3.109375" customWidth="1"/>
    <col min="3" max="3" width="39" customWidth="1"/>
    <col min="4" max="4" width="18.88671875" bestFit="1" customWidth="1"/>
    <col min="5" max="5" width="3.109375" customWidth="1"/>
  </cols>
  <sheetData>
    <row r="1" spans="2:5" ht="17.399999999999999" x14ac:dyDescent="0.3">
      <c r="C1" s="1" t="s">
        <v>253</v>
      </c>
    </row>
    <row r="2" spans="2:5" ht="15" x14ac:dyDescent="0.25">
      <c r="C2" s="2" t="s">
        <v>110</v>
      </c>
    </row>
    <row r="4" spans="2:5" ht="15.6" x14ac:dyDescent="0.3">
      <c r="C4" s="37" t="s">
        <v>0</v>
      </c>
      <c r="D4" s="2"/>
      <c r="E4" s="2"/>
    </row>
    <row r="5" spans="2:5" ht="16.2" thickBot="1" x14ac:dyDescent="0.35">
      <c r="C5" s="4"/>
      <c r="D5" s="2"/>
      <c r="E5" s="2"/>
    </row>
    <row r="6" spans="2:5" ht="15.6" x14ac:dyDescent="0.3">
      <c r="B6" s="6"/>
      <c r="C6" s="7"/>
      <c r="D6" s="8"/>
      <c r="E6" s="81"/>
    </row>
    <row r="7" spans="2:5" ht="15" x14ac:dyDescent="0.25">
      <c r="B7" s="10"/>
      <c r="C7" s="11" t="s">
        <v>214</v>
      </c>
      <c r="D7" s="62">
        <v>5500000</v>
      </c>
      <c r="E7" s="84"/>
    </row>
    <row r="8" spans="2:5" ht="15" x14ac:dyDescent="0.25">
      <c r="B8" s="10"/>
      <c r="C8" s="11" t="s">
        <v>341</v>
      </c>
      <c r="D8" s="146">
        <v>1900000</v>
      </c>
      <c r="E8" s="84"/>
    </row>
    <row r="9" spans="2:5" ht="15" x14ac:dyDescent="0.25">
      <c r="B9" s="10"/>
      <c r="C9" s="11" t="s">
        <v>351</v>
      </c>
      <c r="D9" s="61">
        <v>40</v>
      </c>
      <c r="E9" s="84"/>
    </row>
    <row r="10" spans="2:5" ht="15" x14ac:dyDescent="0.25">
      <c r="B10" s="10"/>
      <c r="C10" s="11" t="s">
        <v>342</v>
      </c>
      <c r="D10" s="86">
        <v>0.09</v>
      </c>
      <c r="E10" s="84"/>
    </row>
    <row r="11" spans="2:5" ht="15" x14ac:dyDescent="0.25">
      <c r="B11" s="10"/>
      <c r="C11" s="11" t="s">
        <v>346</v>
      </c>
      <c r="D11" s="166">
        <v>35000000</v>
      </c>
      <c r="E11" s="84"/>
    </row>
    <row r="12" spans="2:5" ht="15.6" thickBot="1" x14ac:dyDescent="0.3">
      <c r="B12" s="27"/>
      <c r="C12" s="28"/>
      <c r="D12" s="28"/>
      <c r="E12" s="87"/>
    </row>
    <row r="13" spans="2:5" ht="15" x14ac:dyDescent="0.25">
      <c r="C13" s="2"/>
      <c r="D13" s="2"/>
      <c r="E13" s="2"/>
    </row>
    <row r="14" spans="2:5" ht="15.6" x14ac:dyDescent="0.3">
      <c r="C14" s="37" t="s">
        <v>1</v>
      </c>
      <c r="D14" s="2"/>
      <c r="E14" s="2"/>
    </row>
    <row r="15" spans="2:5" ht="16.2" thickBot="1" x14ac:dyDescent="0.35">
      <c r="C15" s="4"/>
      <c r="D15" s="2"/>
      <c r="E15" s="2"/>
    </row>
    <row r="16" spans="2:5" s="2" customFormat="1" ht="15" x14ac:dyDescent="0.25">
      <c r="B16" s="32"/>
      <c r="C16" s="33"/>
      <c r="D16" s="33"/>
      <c r="E16" s="88"/>
    </row>
    <row r="17" spans="2:5" s="2" customFormat="1" ht="15" x14ac:dyDescent="0.25">
      <c r="B17" s="35"/>
      <c r="C17" s="79" t="s">
        <v>343</v>
      </c>
      <c r="D17" s="196">
        <f>((1+(D10/360))^180)-1</f>
        <v>4.6021976999032876E-2</v>
      </c>
      <c r="E17" s="92"/>
    </row>
    <row r="18" spans="2:5" s="2" customFormat="1" ht="15" x14ac:dyDescent="0.25">
      <c r="B18" s="35"/>
      <c r="C18" s="15"/>
      <c r="D18" s="91"/>
      <c r="E18" s="101"/>
    </row>
    <row r="19" spans="2:5" s="2" customFormat="1" ht="15" x14ac:dyDescent="0.25">
      <c r="B19" s="35"/>
      <c r="C19" s="15" t="s">
        <v>344</v>
      </c>
      <c r="D19" s="91">
        <f>PV(D17,D9,-D8)</f>
        <v>34458785.874525927</v>
      </c>
      <c r="E19" s="101"/>
    </row>
    <row r="20" spans="2:5" s="2" customFormat="1" ht="15" x14ac:dyDescent="0.25">
      <c r="B20" s="35"/>
      <c r="C20" s="15"/>
      <c r="D20" s="91"/>
      <c r="E20" s="101"/>
    </row>
    <row r="21" spans="2:5" s="2" customFormat="1" ht="15" x14ac:dyDescent="0.25">
      <c r="B21" s="35"/>
      <c r="C21" s="15" t="s">
        <v>469</v>
      </c>
      <c r="D21" s="91">
        <f>D19/(1+D17)</f>
        <v>32942697.794348337</v>
      </c>
      <c r="E21" s="101"/>
    </row>
    <row r="22" spans="2:5" s="2" customFormat="1" ht="15" x14ac:dyDescent="0.25">
      <c r="B22" s="35"/>
      <c r="C22" s="15"/>
      <c r="D22" s="91"/>
      <c r="E22" s="101"/>
    </row>
    <row r="23" spans="2:5" s="2" customFormat="1" ht="15.6" x14ac:dyDescent="0.3">
      <c r="B23" s="35"/>
      <c r="C23" s="15" t="s">
        <v>345</v>
      </c>
      <c r="D23" s="40">
        <f>D21+D7</f>
        <v>38442697.794348337</v>
      </c>
      <c r="E23" s="92"/>
    </row>
    <row r="24" spans="2:5" s="2" customFormat="1" ht="15.6" x14ac:dyDescent="0.3">
      <c r="B24" s="35"/>
      <c r="C24" s="15"/>
      <c r="D24" s="41"/>
      <c r="E24" s="92"/>
    </row>
    <row r="25" spans="2:5" s="2" customFormat="1" ht="15.6" x14ac:dyDescent="0.3">
      <c r="B25" s="35"/>
      <c r="C25" s="181" t="str">
        <f>IF(D23&gt;D11,"You should not take the offer.","You should take the offer.")</f>
        <v>You should not take the offer.</v>
      </c>
      <c r="D25" s="41"/>
      <c r="E25" s="92"/>
    </row>
    <row r="26" spans="2:5" s="2" customFormat="1" ht="15.6" thickBot="1" x14ac:dyDescent="0.3">
      <c r="B26" s="36"/>
      <c r="C26" s="17"/>
      <c r="D26" s="17"/>
      <c r="E26" s="98"/>
    </row>
    <row r="27" spans="2:5" s="2" customFormat="1" ht="15" x14ac:dyDescent="0.25"/>
    <row r="28" spans="2:5" s="2" customFormat="1" ht="15" x14ac:dyDescent="0.25"/>
  </sheetData>
  <phoneticPr fontId="0" type="noConversion"/>
  <pageMargins left="0.75" right="0.75" top="1" bottom="1" header="0.5" footer="0.5"/>
  <pageSetup scale="86" orientation="portrait" horizontalDpi="300" r:id="rId1"/>
  <headerFooter alignWithMargins="0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 codeName="Sheet1111121121221"/>
  <dimension ref="B1:E30"/>
  <sheetViews>
    <sheetView workbookViewId="0">
      <selection activeCell="C2" sqref="C2"/>
    </sheetView>
  </sheetViews>
  <sheetFormatPr defaultRowHeight="13.2" x14ac:dyDescent="0.25"/>
  <cols>
    <col min="2" max="2" width="3.109375" customWidth="1"/>
    <col min="3" max="3" width="25.88671875" customWidth="1"/>
    <col min="4" max="4" width="16.109375" bestFit="1" customWidth="1"/>
    <col min="5" max="5" width="3.109375" customWidth="1"/>
  </cols>
  <sheetData>
    <row r="1" spans="2:5" ht="17.399999999999999" x14ac:dyDescent="0.3">
      <c r="C1" s="1" t="s">
        <v>253</v>
      </c>
    </row>
    <row r="2" spans="2:5" ht="15" x14ac:dyDescent="0.25">
      <c r="C2" s="2" t="s">
        <v>116</v>
      </c>
    </row>
    <row r="4" spans="2:5" ht="15.6" x14ac:dyDescent="0.3">
      <c r="C4" s="37" t="s">
        <v>0</v>
      </c>
      <c r="D4" s="2"/>
      <c r="E4" s="2"/>
    </row>
    <row r="5" spans="2:5" ht="16.2" thickBot="1" x14ac:dyDescent="0.35">
      <c r="C5" s="4"/>
      <c r="D5" s="2"/>
      <c r="E5" s="2"/>
    </row>
    <row r="6" spans="2:5" ht="15.6" x14ac:dyDescent="0.3">
      <c r="B6" s="6"/>
      <c r="C6" s="7"/>
      <c r="D6" s="8"/>
      <c r="E6" s="81"/>
    </row>
    <row r="7" spans="2:5" ht="15" x14ac:dyDescent="0.25">
      <c r="B7" s="10"/>
      <c r="C7" s="11" t="s">
        <v>80</v>
      </c>
      <c r="D7" s="62">
        <v>9000</v>
      </c>
      <c r="E7" s="84"/>
    </row>
    <row r="8" spans="2:5" ht="15" x14ac:dyDescent="0.25">
      <c r="B8" s="10"/>
      <c r="C8" s="11" t="s">
        <v>14</v>
      </c>
      <c r="D8" s="61">
        <v>6</v>
      </c>
      <c r="E8" s="84"/>
    </row>
    <row r="9" spans="2:5" ht="15" x14ac:dyDescent="0.25">
      <c r="B9" s="10"/>
      <c r="C9" s="11"/>
      <c r="D9" s="61"/>
      <c r="E9" s="84"/>
    </row>
    <row r="10" spans="2:5" ht="15" x14ac:dyDescent="0.25">
      <c r="B10" s="10"/>
      <c r="C10" s="11" t="s">
        <v>78</v>
      </c>
      <c r="D10" s="62">
        <v>20000</v>
      </c>
      <c r="E10" s="84"/>
    </row>
    <row r="11" spans="2:5" ht="15" x14ac:dyDescent="0.25">
      <c r="B11" s="10"/>
      <c r="C11" s="11" t="s">
        <v>14</v>
      </c>
      <c r="D11" s="61">
        <v>4</v>
      </c>
      <c r="E11" s="84"/>
    </row>
    <row r="12" spans="2:5" ht="15.6" thickBot="1" x14ac:dyDescent="0.3">
      <c r="B12" s="27"/>
      <c r="C12" s="28"/>
      <c r="D12" s="28"/>
      <c r="E12" s="87"/>
    </row>
    <row r="13" spans="2:5" ht="15" x14ac:dyDescent="0.25">
      <c r="C13" s="2"/>
      <c r="D13" s="2"/>
      <c r="E13" s="2"/>
    </row>
    <row r="14" spans="2:5" ht="15.6" x14ac:dyDescent="0.3">
      <c r="C14" s="37" t="s">
        <v>1</v>
      </c>
      <c r="D14" s="2"/>
      <c r="E14" s="2"/>
    </row>
    <row r="15" spans="2:5" ht="16.2" thickBot="1" x14ac:dyDescent="0.35">
      <c r="C15" s="4"/>
      <c r="D15" s="2"/>
      <c r="E15" s="2"/>
    </row>
    <row r="16" spans="2:5" s="2" customFormat="1" ht="15" x14ac:dyDescent="0.25">
      <c r="B16" s="32"/>
      <c r="C16" s="33"/>
      <c r="D16" s="33"/>
      <c r="E16" s="88"/>
    </row>
    <row r="17" spans="2:5" s="2" customFormat="1" ht="16.8" x14ac:dyDescent="0.4">
      <c r="B17" s="35"/>
      <c r="C17" s="156" t="s">
        <v>3</v>
      </c>
      <c r="D17" s="155" t="s">
        <v>4</v>
      </c>
      <c r="E17" s="92"/>
    </row>
    <row r="18" spans="2:5" s="2" customFormat="1" ht="15" x14ac:dyDescent="0.25">
      <c r="B18" s="35"/>
      <c r="C18" s="57">
        <v>1</v>
      </c>
      <c r="D18" s="157">
        <f t="shared" ref="D18:D23" si="0">-$D$7</f>
        <v>-9000</v>
      </c>
      <c r="E18" s="92"/>
    </row>
    <row r="19" spans="2:5" s="2" customFormat="1" ht="15" x14ac:dyDescent="0.25">
      <c r="B19" s="35"/>
      <c r="C19" s="57">
        <v>2</v>
      </c>
      <c r="D19" s="157">
        <f t="shared" si="0"/>
        <v>-9000</v>
      </c>
      <c r="E19" s="92"/>
    </row>
    <row r="20" spans="2:5" s="2" customFormat="1" ht="15" x14ac:dyDescent="0.25">
      <c r="B20" s="35"/>
      <c r="C20" s="57">
        <v>3</v>
      </c>
      <c r="D20" s="157">
        <f t="shared" si="0"/>
        <v>-9000</v>
      </c>
      <c r="E20" s="92"/>
    </row>
    <row r="21" spans="2:5" s="2" customFormat="1" ht="15" x14ac:dyDescent="0.25">
      <c r="B21" s="35"/>
      <c r="C21" s="57">
        <v>4</v>
      </c>
      <c r="D21" s="157">
        <f t="shared" si="0"/>
        <v>-9000</v>
      </c>
      <c r="E21" s="92"/>
    </row>
    <row r="22" spans="2:5" s="2" customFormat="1" ht="15" x14ac:dyDescent="0.25">
      <c r="B22" s="35"/>
      <c r="C22" s="57">
        <v>5</v>
      </c>
      <c r="D22" s="157">
        <f t="shared" si="0"/>
        <v>-9000</v>
      </c>
      <c r="E22" s="92"/>
    </row>
    <row r="23" spans="2:5" s="2" customFormat="1" ht="15" x14ac:dyDescent="0.25">
      <c r="B23" s="35"/>
      <c r="C23" s="57">
        <v>6</v>
      </c>
      <c r="D23" s="157">
        <f t="shared" si="0"/>
        <v>-9000</v>
      </c>
      <c r="E23" s="92"/>
    </row>
    <row r="24" spans="2:5" s="2" customFormat="1" ht="15" x14ac:dyDescent="0.25">
      <c r="B24" s="35"/>
      <c r="C24" s="57">
        <v>7</v>
      </c>
      <c r="D24" s="157">
        <f>$D$10</f>
        <v>20000</v>
      </c>
      <c r="E24" s="92"/>
    </row>
    <row r="25" spans="2:5" s="2" customFormat="1" ht="15" x14ac:dyDescent="0.25">
      <c r="B25" s="35"/>
      <c r="C25" s="57">
        <v>8</v>
      </c>
      <c r="D25" s="157">
        <f>$D$10</f>
        <v>20000</v>
      </c>
      <c r="E25" s="92"/>
    </row>
    <row r="26" spans="2:5" s="2" customFormat="1" ht="15" x14ac:dyDescent="0.25">
      <c r="B26" s="35"/>
      <c r="C26" s="15">
        <v>9</v>
      </c>
      <c r="D26" s="157">
        <f>$D$10</f>
        <v>20000</v>
      </c>
      <c r="E26" s="101"/>
    </row>
    <row r="27" spans="2:5" s="2" customFormat="1" ht="15" x14ac:dyDescent="0.25">
      <c r="B27" s="35"/>
      <c r="C27" s="15">
        <v>10</v>
      </c>
      <c r="D27" s="157">
        <f>$D$10</f>
        <v>20000</v>
      </c>
      <c r="E27" s="101"/>
    </row>
    <row r="28" spans="2:5" s="2" customFormat="1" ht="15.6" x14ac:dyDescent="0.3">
      <c r="B28" s="35"/>
      <c r="C28" s="15"/>
      <c r="D28" s="113"/>
      <c r="E28" s="101"/>
    </row>
    <row r="29" spans="2:5" s="2" customFormat="1" ht="15.6" x14ac:dyDescent="0.3">
      <c r="B29" s="35"/>
      <c r="C29" s="15" t="s">
        <v>470</v>
      </c>
      <c r="D29" s="254">
        <f>IRR(D18:D27)</f>
        <v>8.0698197576830166E-2</v>
      </c>
      <c r="E29" s="101"/>
    </row>
    <row r="30" spans="2:5" s="2" customFormat="1" ht="15.6" thickBot="1" x14ac:dyDescent="0.3">
      <c r="B30" s="36"/>
      <c r="C30" s="17"/>
      <c r="D30" s="17"/>
      <c r="E30" s="98"/>
    </row>
  </sheetData>
  <phoneticPr fontId="0" type="noConversion"/>
  <pageMargins left="0.75" right="0.75" top="1" bottom="1" header="0.5" footer="0.5"/>
  <pageSetup orientation="portrait" horizont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111111"/>
  <dimension ref="B1:G11"/>
  <sheetViews>
    <sheetView workbookViewId="0">
      <selection activeCell="C2" sqref="C2"/>
    </sheetView>
  </sheetViews>
  <sheetFormatPr defaultRowHeight="15" x14ac:dyDescent="0.25"/>
  <cols>
    <col min="2" max="2" width="3.109375" customWidth="1"/>
    <col min="3" max="3" width="19.88671875" customWidth="1"/>
    <col min="4" max="4" width="13.5546875" style="2" customWidth="1"/>
    <col min="5" max="5" width="12.88671875" bestFit="1" customWidth="1"/>
    <col min="6" max="6" width="15.44140625" bestFit="1" customWidth="1"/>
    <col min="7" max="7" width="3.109375" customWidth="1"/>
  </cols>
  <sheetData>
    <row r="1" spans="2:7" ht="17.399999999999999" x14ac:dyDescent="0.3">
      <c r="C1" s="1" t="s">
        <v>253</v>
      </c>
    </row>
    <row r="2" spans="2:7" x14ac:dyDescent="0.25">
      <c r="C2" s="2" t="s">
        <v>17</v>
      </c>
    </row>
    <row r="4" spans="2:7" ht="15.6" x14ac:dyDescent="0.3">
      <c r="C4" s="37" t="s">
        <v>0</v>
      </c>
      <c r="D4" s="37" t="s">
        <v>1</v>
      </c>
    </row>
    <row r="5" spans="2:7" ht="16.2" thickBot="1" x14ac:dyDescent="0.35">
      <c r="C5" s="4"/>
      <c r="D5" s="5"/>
      <c r="E5" s="2"/>
    </row>
    <row r="6" spans="2:7" s="2" customFormat="1" ht="15.6" x14ac:dyDescent="0.3">
      <c r="B6" s="116"/>
      <c r="C6" s="7"/>
      <c r="D6" s="33"/>
      <c r="E6" s="8"/>
      <c r="F6" s="8"/>
      <c r="G6" s="81"/>
    </row>
    <row r="7" spans="2:7" s="2" customFormat="1" x14ac:dyDescent="0.25">
      <c r="B7" s="117"/>
      <c r="C7" s="119" t="s">
        <v>145</v>
      </c>
      <c r="D7" s="187" t="s">
        <v>254</v>
      </c>
      <c r="E7" s="119" t="s">
        <v>20</v>
      </c>
      <c r="F7" s="119" t="s">
        <v>48</v>
      </c>
      <c r="G7" s="84"/>
    </row>
    <row r="8" spans="2:7" s="2" customFormat="1" ht="15" customHeight="1" x14ac:dyDescent="0.3">
      <c r="B8" s="117"/>
      <c r="C8" s="142">
        <v>1</v>
      </c>
      <c r="D8" s="55">
        <f>LN(F8/C8)/LN(1+E8)</f>
        <v>11.433426878252934</v>
      </c>
      <c r="E8" s="138">
        <v>6.25E-2</v>
      </c>
      <c r="F8" s="142">
        <v>2</v>
      </c>
      <c r="G8" s="84"/>
    </row>
    <row r="9" spans="2:7" s="2" customFormat="1" ht="15" customHeight="1" x14ac:dyDescent="0.3">
      <c r="B9" s="117"/>
      <c r="C9" s="188">
        <v>1</v>
      </c>
      <c r="D9" s="55">
        <f>LN(F9/C9)/LN(1+E9)</f>
        <v>22.866853756505868</v>
      </c>
      <c r="E9" s="308">
        <f>E8</f>
        <v>6.25E-2</v>
      </c>
      <c r="F9" s="188">
        <v>4</v>
      </c>
      <c r="G9" s="84"/>
    </row>
    <row r="10" spans="2:7" ht="15.6" thickBot="1" x14ac:dyDescent="0.3">
      <c r="B10" s="27"/>
      <c r="C10" s="185"/>
      <c r="D10" s="17"/>
      <c r="E10" s="185"/>
      <c r="F10" s="185"/>
      <c r="G10" s="186"/>
    </row>
    <row r="11" spans="2:7" x14ac:dyDescent="0.25">
      <c r="B11" s="106"/>
      <c r="C11" s="106"/>
      <c r="D11" s="105"/>
      <c r="E11" s="106"/>
    </row>
  </sheetData>
  <phoneticPr fontId="23" type="noConversion"/>
  <pageMargins left="0.75" right="0.75" top="1" bottom="1" header="0.5" footer="0.5"/>
  <pageSetup orientation="portrait" horizontalDpi="300" r:id="rId1"/>
  <headerFooter alignWithMargins="0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 codeName="Sheet11111211212211"/>
  <dimension ref="B1:G20"/>
  <sheetViews>
    <sheetView workbookViewId="0">
      <selection activeCell="C2" sqref="C2"/>
    </sheetView>
  </sheetViews>
  <sheetFormatPr defaultRowHeight="13.2" x14ac:dyDescent="0.25"/>
  <cols>
    <col min="2" max="2" width="3.109375" customWidth="1"/>
    <col min="3" max="3" width="25.88671875" customWidth="1"/>
    <col min="4" max="4" width="16.109375" bestFit="1" customWidth="1"/>
    <col min="5" max="5" width="3.109375" customWidth="1"/>
    <col min="7" max="7" width="9.109375" customWidth="1"/>
  </cols>
  <sheetData>
    <row r="1" spans="2:7" ht="17.399999999999999" x14ac:dyDescent="0.3">
      <c r="C1" s="1" t="s">
        <v>253</v>
      </c>
    </row>
    <row r="2" spans="2:7" ht="15" x14ac:dyDescent="0.25">
      <c r="C2" s="2" t="s">
        <v>340</v>
      </c>
    </row>
    <row r="4" spans="2:7" ht="15.6" x14ac:dyDescent="0.3">
      <c r="C4" s="37" t="s">
        <v>0</v>
      </c>
      <c r="D4" s="2"/>
      <c r="E4" s="2"/>
    </row>
    <row r="5" spans="2:7" ht="16.2" thickBot="1" x14ac:dyDescent="0.35">
      <c r="C5" s="4"/>
      <c r="D5" s="2"/>
      <c r="E5" s="2"/>
    </row>
    <row r="6" spans="2:7" ht="15.6" x14ac:dyDescent="0.3">
      <c r="B6" s="6"/>
      <c r="C6" s="7"/>
      <c r="D6" s="8"/>
      <c r="E6" s="81"/>
    </row>
    <row r="7" spans="2:7" ht="15.6" x14ac:dyDescent="0.3">
      <c r="B7" s="10"/>
      <c r="C7" s="18" t="s">
        <v>121</v>
      </c>
      <c r="D7" s="11"/>
      <c r="E7" s="84"/>
    </row>
    <row r="8" spans="2:7" ht="15" x14ac:dyDescent="0.25">
      <c r="B8" s="10"/>
      <c r="C8" s="11" t="s">
        <v>80</v>
      </c>
      <c r="D8" s="62">
        <v>25000</v>
      </c>
      <c r="E8" s="84"/>
      <c r="G8" s="297"/>
    </row>
    <row r="9" spans="2:7" ht="15" x14ac:dyDescent="0.25">
      <c r="B9" s="10"/>
      <c r="C9" s="11" t="s">
        <v>14</v>
      </c>
      <c r="D9" s="139" t="s">
        <v>122</v>
      </c>
      <c r="E9" s="84"/>
    </row>
    <row r="10" spans="2:7" ht="15" x14ac:dyDescent="0.25">
      <c r="B10" s="10"/>
      <c r="C10" s="11"/>
      <c r="D10" s="61"/>
      <c r="E10" s="84"/>
    </row>
    <row r="11" spans="2:7" ht="15.6" x14ac:dyDescent="0.3">
      <c r="B11" s="10"/>
      <c r="C11" s="18" t="s">
        <v>123</v>
      </c>
      <c r="D11" s="61"/>
      <c r="E11" s="84"/>
    </row>
    <row r="12" spans="2:7" ht="15" x14ac:dyDescent="0.25">
      <c r="B12" s="10"/>
      <c r="C12" s="11" t="s">
        <v>78</v>
      </c>
      <c r="D12" s="62">
        <v>51000</v>
      </c>
      <c r="E12" s="84"/>
      <c r="G12" s="31"/>
    </row>
    <row r="13" spans="2:7" ht="15" x14ac:dyDescent="0.25">
      <c r="B13" s="10"/>
      <c r="C13" s="11" t="s">
        <v>14</v>
      </c>
      <c r="D13" s="61">
        <v>10</v>
      </c>
      <c r="E13" s="84"/>
    </row>
    <row r="14" spans="2:7" ht="15.6" thickBot="1" x14ac:dyDescent="0.3">
      <c r="B14" s="27"/>
      <c r="C14" s="28"/>
      <c r="D14" s="28"/>
      <c r="E14" s="87"/>
    </row>
    <row r="15" spans="2:7" ht="15" x14ac:dyDescent="0.25">
      <c r="C15" s="2"/>
      <c r="D15" s="2"/>
      <c r="E15" s="2"/>
    </row>
    <row r="16" spans="2:7" ht="15.6" x14ac:dyDescent="0.3">
      <c r="C16" s="37" t="s">
        <v>1</v>
      </c>
      <c r="D16" s="2"/>
      <c r="E16" s="2"/>
    </row>
    <row r="17" spans="2:5" ht="16.2" thickBot="1" x14ac:dyDescent="0.35">
      <c r="C17" s="4"/>
      <c r="D17" s="2"/>
      <c r="E17" s="2"/>
    </row>
    <row r="18" spans="2:5" s="2" customFormat="1" ht="15" x14ac:dyDescent="0.25">
      <c r="B18" s="32"/>
      <c r="C18" s="33"/>
      <c r="D18" s="33"/>
      <c r="E18" s="88"/>
    </row>
    <row r="19" spans="2:5" s="2" customFormat="1" ht="15.6" x14ac:dyDescent="0.3">
      <c r="B19" s="35"/>
      <c r="C19" s="255" t="s">
        <v>411</v>
      </c>
      <c r="D19" s="256">
        <f>(1/(1-(D8/D12))^(1/D13))-1</f>
        <v>6.9694302943088537E-2</v>
      </c>
      <c r="E19" s="92"/>
    </row>
    <row r="20" spans="2:5" s="2" customFormat="1" ht="15.6" thickBot="1" x14ac:dyDescent="0.3">
      <c r="B20" s="36"/>
      <c r="C20" s="17"/>
      <c r="D20" s="17"/>
      <c r="E20" s="98"/>
    </row>
  </sheetData>
  <phoneticPr fontId="0" type="noConversion"/>
  <pageMargins left="0.75" right="0.75" top="1" bottom="1" header="0.5" footer="0.5"/>
  <pageSetup orientation="portrait" horizontalDpi="300" r:id="rId1"/>
  <headerFooter alignWithMargins="0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 codeName="Sheet111112112122111"/>
  <dimension ref="B1:E27"/>
  <sheetViews>
    <sheetView workbookViewId="0">
      <selection activeCell="C2" sqref="C2"/>
    </sheetView>
  </sheetViews>
  <sheetFormatPr defaultRowHeight="13.2" x14ac:dyDescent="0.25"/>
  <cols>
    <col min="2" max="2" width="3.109375" customWidth="1"/>
    <col min="3" max="3" width="30.109375" bestFit="1" customWidth="1"/>
    <col min="4" max="4" width="16.109375" bestFit="1" customWidth="1"/>
    <col min="5" max="5" width="3.109375" customWidth="1"/>
  </cols>
  <sheetData>
    <row r="1" spans="2:5" ht="17.399999999999999" x14ac:dyDescent="0.3">
      <c r="C1" s="1" t="s">
        <v>253</v>
      </c>
    </row>
    <row r="2" spans="2:5" ht="15" x14ac:dyDescent="0.25">
      <c r="C2" s="2" t="s">
        <v>119</v>
      </c>
    </row>
    <row r="4" spans="2:5" ht="15.6" x14ac:dyDescent="0.3">
      <c r="C4" s="37" t="s">
        <v>0</v>
      </c>
      <c r="D4" s="2"/>
      <c r="E4" s="2"/>
    </row>
    <row r="5" spans="2:5" ht="16.2" thickBot="1" x14ac:dyDescent="0.35">
      <c r="C5" s="4"/>
      <c r="D5" s="2"/>
      <c r="E5" s="2"/>
    </row>
    <row r="6" spans="2:5" ht="15.6" x14ac:dyDescent="0.3">
      <c r="B6" s="6"/>
      <c r="C6" s="7"/>
      <c r="D6" s="8"/>
      <c r="E6" s="81"/>
    </row>
    <row r="7" spans="2:5" ht="15" x14ac:dyDescent="0.25">
      <c r="B7" s="10"/>
      <c r="C7" s="11" t="s">
        <v>80</v>
      </c>
      <c r="D7" s="62">
        <v>50000</v>
      </c>
      <c r="E7" s="84"/>
    </row>
    <row r="8" spans="2:5" ht="15" x14ac:dyDescent="0.25">
      <c r="B8" s="10"/>
      <c r="C8" s="11" t="s">
        <v>14</v>
      </c>
      <c r="D8" s="139" t="s">
        <v>122</v>
      </c>
      <c r="E8" s="84"/>
    </row>
    <row r="9" spans="2:5" ht="15" x14ac:dyDescent="0.25">
      <c r="B9" s="10"/>
      <c r="C9" s="11" t="s">
        <v>5</v>
      </c>
      <c r="D9" s="86">
        <v>0.09</v>
      </c>
      <c r="E9" s="84"/>
    </row>
    <row r="10" spans="2:5" ht="15" x14ac:dyDescent="0.25">
      <c r="B10" s="10"/>
      <c r="C10" s="11" t="s">
        <v>161</v>
      </c>
      <c r="D10" s="141">
        <v>365</v>
      </c>
      <c r="E10" s="84"/>
    </row>
    <row r="11" spans="2:5" ht="15.6" x14ac:dyDescent="0.3">
      <c r="B11" s="153"/>
      <c r="C11" s="11" t="s">
        <v>162</v>
      </c>
      <c r="D11" s="141">
        <v>4</v>
      </c>
      <c r="E11" s="84"/>
    </row>
    <row r="12" spans="2:5" ht="15.6" thickBot="1" x14ac:dyDescent="0.3">
      <c r="B12" s="27"/>
      <c r="C12" s="28"/>
      <c r="D12" s="28"/>
      <c r="E12" s="87"/>
    </row>
    <row r="13" spans="2:5" ht="15" x14ac:dyDescent="0.25">
      <c r="C13" s="2"/>
      <c r="D13" s="2"/>
      <c r="E13" s="2"/>
    </row>
    <row r="14" spans="2:5" ht="15.6" x14ac:dyDescent="0.3">
      <c r="C14" s="37" t="s">
        <v>1</v>
      </c>
      <c r="D14" s="2"/>
      <c r="E14" s="2"/>
    </row>
    <row r="15" spans="2:5" ht="16.2" thickBot="1" x14ac:dyDescent="0.35">
      <c r="C15" s="4"/>
      <c r="D15" s="2"/>
      <c r="E15" s="2"/>
    </row>
    <row r="16" spans="2:5" s="2" customFormat="1" ht="15" x14ac:dyDescent="0.25">
      <c r="B16" s="32"/>
      <c r="C16" s="33"/>
      <c r="D16" s="33"/>
      <c r="E16" s="88"/>
    </row>
    <row r="17" spans="2:5" s="2" customFormat="1" ht="15.6" x14ac:dyDescent="0.3">
      <c r="B17" s="151"/>
      <c r="C17" s="15" t="s">
        <v>168</v>
      </c>
      <c r="D17" s="56">
        <f>EFFECT(D9,D10)</f>
        <v>9.4162144930034941E-2</v>
      </c>
      <c r="E17" s="92"/>
    </row>
    <row r="18" spans="2:5" s="2" customFormat="1" ht="15.6" x14ac:dyDescent="0.3">
      <c r="B18" s="151"/>
      <c r="C18" s="15" t="s">
        <v>412</v>
      </c>
      <c r="D18" s="56">
        <f>(1+D17)^2-1</f>
        <v>0.19719079939789474</v>
      </c>
      <c r="E18" s="92"/>
    </row>
    <row r="19" spans="2:5" s="2" customFormat="1" ht="15.6" x14ac:dyDescent="0.3">
      <c r="B19" s="151"/>
      <c r="C19" s="15"/>
      <c r="D19" s="15"/>
      <c r="E19" s="92"/>
    </row>
    <row r="20" spans="2:5" s="2" customFormat="1" ht="15.6" x14ac:dyDescent="0.3">
      <c r="B20" s="151"/>
      <c r="C20" s="15" t="s">
        <v>440</v>
      </c>
      <c r="D20" s="75">
        <f>D7/D18</f>
        <v>253561.52595694488</v>
      </c>
      <c r="E20" s="92"/>
    </row>
    <row r="21" spans="2:5" s="2" customFormat="1" ht="15.6" x14ac:dyDescent="0.3">
      <c r="B21" s="151"/>
      <c r="C21" s="15"/>
      <c r="D21" s="75"/>
      <c r="E21" s="92"/>
    </row>
    <row r="22" spans="2:5" s="2" customFormat="1" ht="15.6" x14ac:dyDescent="0.3">
      <c r="B22" s="151"/>
      <c r="C22" s="15" t="s">
        <v>471</v>
      </c>
      <c r="D22" s="15"/>
      <c r="E22" s="92"/>
    </row>
    <row r="23" spans="2:5" s="2" customFormat="1" ht="15.6" x14ac:dyDescent="0.3">
      <c r="B23" s="151"/>
      <c r="C23" s="89" t="s">
        <v>472</v>
      </c>
      <c r="D23" s="39">
        <f>D20*(1+D17)</f>
        <v>277437.42311278352</v>
      </c>
      <c r="E23" s="92"/>
    </row>
    <row r="24" spans="2:5" s="2" customFormat="1" ht="15.6" x14ac:dyDescent="0.3">
      <c r="B24" s="151"/>
      <c r="C24" s="89"/>
      <c r="D24" s="24"/>
      <c r="E24" s="92"/>
    </row>
    <row r="25" spans="2:5" s="2" customFormat="1" ht="15.6" x14ac:dyDescent="0.3">
      <c r="B25" s="151"/>
      <c r="C25" s="89" t="s">
        <v>471</v>
      </c>
      <c r="D25" s="305"/>
      <c r="E25" s="92"/>
    </row>
    <row r="26" spans="2:5" s="2" customFormat="1" ht="15.6" x14ac:dyDescent="0.3">
      <c r="B26" s="151"/>
      <c r="C26" s="89" t="str">
        <f>"  begin in "&amp;D11&amp;" years"</f>
        <v xml:space="preserve">  begin in 4 years</v>
      </c>
      <c r="D26" s="39">
        <f>D23/(1+D17)^(D11-1)</f>
        <v>211797.08872175514</v>
      </c>
      <c r="E26" s="92"/>
    </row>
    <row r="27" spans="2:5" s="2" customFormat="1" ht="15.6" thickBot="1" x14ac:dyDescent="0.3">
      <c r="B27" s="36"/>
      <c r="C27" s="17"/>
      <c r="D27" s="17"/>
      <c r="E27" s="98"/>
    </row>
  </sheetData>
  <phoneticPr fontId="0" type="noConversion"/>
  <pageMargins left="0.75" right="0.75" top="1" bottom="1" header="0.5" footer="0.5"/>
  <pageSetup orientation="portrait" horizontalDpi="300" r:id="rId1"/>
  <headerFooter alignWithMargins="0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 codeName="Sheet1111121121221112"/>
  <dimension ref="B1:L4540"/>
  <sheetViews>
    <sheetView workbookViewId="0">
      <selection activeCell="C3" sqref="C3"/>
    </sheetView>
  </sheetViews>
  <sheetFormatPr defaultRowHeight="13.2" x14ac:dyDescent="0.25"/>
  <cols>
    <col min="2" max="2" width="3.109375" customWidth="1"/>
    <col min="3" max="3" width="26.5546875" customWidth="1"/>
    <col min="4" max="4" width="7.109375" customWidth="1"/>
    <col min="5" max="5" width="2.5546875" bestFit="1" customWidth="1"/>
    <col min="6" max="6" width="8.6640625" customWidth="1"/>
    <col min="7" max="7" width="2.33203125" customWidth="1"/>
    <col min="8" max="8" width="2.88671875" customWidth="1"/>
    <col min="9" max="9" width="2.33203125" customWidth="1"/>
    <col min="10" max="10" width="13.109375" bestFit="1" customWidth="1"/>
    <col min="12" max="12" width="3.109375" customWidth="1"/>
  </cols>
  <sheetData>
    <row r="1" spans="2:12" ht="17.399999999999999" x14ac:dyDescent="0.3">
      <c r="C1" s="1" t="s">
        <v>253</v>
      </c>
    </row>
    <row r="2" spans="2:12" ht="15" x14ac:dyDescent="0.25">
      <c r="C2" s="2" t="s">
        <v>120</v>
      </c>
    </row>
    <row r="4" spans="2:12" ht="15.6" x14ac:dyDescent="0.3">
      <c r="C4" s="37" t="s">
        <v>0</v>
      </c>
      <c r="D4" s="2"/>
      <c r="E4" s="2"/>
    </row>
    <row r="5" spans="2:12" s="2" customFormat="1" ht="16.2" thickBot="1" x14ac:dyDescent="0.35">
      <c r="C5" s="4"/>
    </row>
    <row r="6" spans="2:12" s="2" customFormat="1" ht="15.6" x14ac:dyDescent="0.3">
      <c r="B6" s="116"/>
      <c r="C6" s="7"/>
      <c r="D6" s="8"/>
      <c r="E6" s="8"/>
      <c r="F6" s="8"/>
      <c r="G6" s="8"/>
      <c r="H6" s="8"/>
      <c r="I6" s="8"/>
      <c r="J6" s="8"/>
      <c r="K6" s="8"/>
      <c r="L6" s="81"/>
    </row>
    <row r="7" spans="2:12" s="2" customFormat="1" ht="15" x14ac:dyDescent="0.25">
      <c r="B7" s="117"/>
      <c r="C7" s="11" t="s">
        <v>125</v>
      </c>
      <c r="D7" s="118" t="s">
        <v>126</v>
      </c>
      <c r="E7" s="11" t="s">
        <v>127</v>
      </c>
      <c r="F7" s="119" t="s">
        <v>126</v>
      </c>
      <c r="G7" s="11" t="s">
        <v>127</v>
      </c>
      <c r="H7" s="102" t="s">
        <v>128</v>
      </c>
      <c r="I7" s="11" t="s">
        <v>127</v>
      </c>
      <c r="J7" s="119" t="s">
        <v>126</v>
      </c>
      <c r="K7" s="11"/>
      <c r="L7" s="84"/>
    </row>
    <row r="8" spans="2:12" s="2" customFormat="1" ht="15" x14ac:dyDescent="0.25">
      <c r="B8" s="117"/>
      <c r="C8" s="11"/>
      <c r="D8" s="120" t="s">
        <v>129</v>
      </c>
      <c r="E8" s="11"/>
      <c r="F8" s="102" t="s">
        <v>130</v>
      </c>
      <c r="G8" s="11"/>
      <c r="H8" s="11"/>
      <c r="I8" s="11"/>
      <c r="J8" s="102" t="s">
        <v>131</v>
      </c>
      <c r="K8" s="11"/>
      <c r="L8" s="84"/>
    </row>
    <row r="9" spans="2:12" s="2" customFormat="1" ht="15" x14ac:dyDescent="0.25">
      <c r="B9" s="117"/>
      <c r="C9" s="11"/>
      <c r="D9" s="13"/>
      <c r="E9" s="11"/>
      <c r="F9" s="11"/>
      <c r="G9" s="11"/>
      <c r="H9" s="11"/>
      <c r="I9" s="11"/>
      <c r="J9" s="11"/>
      <c r="K9" s="11"/>
      <c r="L9" s="84"/>
    </row>
    <row r="10" spans="2:12" s="2" customFormat="1" ht="15" x14ac:dyDescent="0.25">
      <c r="B10" s="117"/>
      <c r="C10" s="11" t="s">
        <v>132</v>
      </c>
      <c r="D10" s="11"/>
      <c r="E10" s="11" t="s">
        <v>127</v>
      </c>
      <c r="F10" s="119" t="s">
        <v>126</v>
      </c>
      <c r="G10" s="102" t="s">
        <v>127</v>
      </c>
      <c r="H10" s="102" t="s">
        <v>128</v>
      </c>
      <c r="I10" s="102" t="s">
        <v>127</v>
      </c>
      <c r="J10" s="119" t="s">
        <v>126</v>
      </c>
      <c r="K10" s="11"/>
      <c r="L10" s="84"/>
    </row>
    <row r="11" spans="2:12" s="2" customFormat="1" ht="15" x14ac:dyDescent="0.25">
      <c r="B11" s="117"/>
      <c r="C11" s="11"/>
      <c r="D11" s="11"/>
      <c r="E11" s="11"/>
      <c r="F11" s="102" t="s">
        <v>129</v>
      </c>
      <c r="G11" s="102"/>
      <c r="H11" s="102"/>
      <c r="I11" s="102"/>
      <c r="J11" s="102" t="s">
        <v>133</v>
      </c>
      <c r="K11" s="11"/>
      <c r="L11" s="84"/>
    </row>
    <row r="12" spans="2:12" s="2" customFormat="1" ht="15" x14ac:dyDescent="0.25">
      <c r="B12" s="117"/>
      <c r="C12" s="11"/>
      <c r="D12" s="11"/>
      <c r="E12" s="11"/>
      <c r="F12" s="11"/>
      <c r="G12" s="11"/>
      <c r="H12" s="11"/>
      <c r="I12" s="11"/>
      <c r="J12" s="11"/>
      <c r="K12" s="11"/>
      <c r="L12" s="84"/>
    </row>
    <row r="13" spans="2:12" s="2" customFormat="1" ht="15" x14ac:dyDescent="0.25">
      <c r="B13" s="117"/>
      <c r="C13" s="11" t="s">
        <v>134</v>
      </c>
      <c r="D13" s="11"/>
      <c r="E13" s="11"/>
      <c r="F13" s="119" t="s">
        <v>126</v>
      </c>
      <c r="G13" s="11" t="s">
        <v>127</v>
      </c>
      <c r="H13" s="11" t="s">
        <v>128</v>
      </c>
      <c r="I13" s="11" t="s">
        <v>127</v>
      </c>
      <c r="J13" s="119" t="s">
        <v>126</v>
      </c>
      <c r="K13" s="11"/>
      <c r="L13" s="84"/>
    </row>
    <row r="14" spans="2:12" s="2" customFormat="1" ht="15" x14ac:dyDescent="0.25">
      <c r="B14" s="117"/>
      <c r="C14" s="11"/>
      <c r="D14" s="11"/>
      <c r="E14" s="11"/>
      <c r="F14" s="102" t="s">
        <v>129</v>
      </c>
      <c r="G14" s="11"/>
      <c r="H14" s="11"/>
      <c r="I14" s="11"/>
      <c r="J14" s="102" t="s">
        <v>131</v>
      </c>
      <c r="K14" s="11"/>
      <c r="L14" s="84"/>
    </row>
    <row r="15" spans="2:12" s="2" customFormat="1" ht="15" x14ac:dyDescent="0.25">
      <c r="B15" s="117"/>
      <c r="C15" s="11"/>
      <c r="D15" s="11"/>
      <c r="E15" s="11"/>
      <c r="F15" s="11"/>
      <c r="G15" s="11"/>
      <c r="H15" s="11"/>
      <c r="I15" s="11"/>
      <c r="J15" s="11"/>
      <c r="K15" s="11"/>
      <c r="L15" s="84"/>
    </row>
    <row r="16" spans="2:12" s="2" customFormat="1" ht="15" x14ac:dyDescent="0.25">
      <c r="B16" s="117"/>
      <c r="C16" s="11"/>
      <c r="D16" s="121" t="s">
        <v>135</v>
      </c>
      <c r="E16" s="11"/>
      <c r="F16" s="11"/>
      <c r="G16" s="11"/>
      <c r="H16" s="11"/>
      <c r="I16" s="11"/>
      <c r="J16" s="11"/>
      <c r="K16" s="11"/>
      <c r="L16" s="84"/>
    </row>
    <row r="17" spans="2:12" s="2" customFormat="1" ht="15" x14ac:dyDescent="0.25">
      <c r="B17" s="117"/>
      <c r="C17" s="11"/>
      <c r="D17" s="11"/>
      <c r="E17" s="11"/>
      <c r="F17" s="11"/>
      <c r="G17" s="11"/>
      <c r="H17" s="11"/>
      <c r="I17" s="11"/>
      <c r="J17" s="11"/>
      <c r="K17" s="11"/>
      <c r="L17" s="84"/>
    </row>
    <row r="18" spans="2:12" s="2" customFormat="1" ht="17.399999999999999" x14ac:dyDescent="0.25">
      <c r="B18" s="117"/>
      <c r="C18" s="11" t="s">
        <v>178</v>
      </c>
      <c r="D18" s="11"/>
      <c r="E18" s="11"/>
      <c r="F18" s="11"/>
      <c r="G18" s="11"/>
      <c r="H18" s="11"/>
      <c r="I18" s="11"/>
      <c r="J18" s="11"/>
      <c r="K18" s="11"/>
      <c r="L18" s="84"/>
    </row>
    <row r="19" spans="2:12" s="2" customFormat="1" ht="15" x14ac:dyDescent="0.25">
      <c r="B19" s="117"/>
      <c r="C19" s="11"/>
      <c r="D19" s="11"/>
      <c r="E19" s="11"/>
      <c r="F19" s="11"/>
      <c r="G19" s="11"/>
      <c r="H19" s="11"/>
      <c r="I19" s="11"/>
      <c r="J19" s="11"/>
      <c r="K19" s="11"/>
      <c r="L19" s="84"/>
    </row>
    <row r="20" spans="2:12" s="2" customFormat="1" ht="17.399999999999999" x14ac:dyDescent="0.25">
      <c r="B20" s="117"/>
      <c r="C20" s="11" t="s">
        <v>179</v>
      </c>
      <c r="D20" s="11"/>
      <c r="E20" s="11"/>
      <c r="F20" s="11"/>
      <c r="G20" s="11"/>
      <c r="H20" s="11"/>
      <c r="I20" s="11"/>
      <c r="J20" s="11"/>
      <c r="K20" s="11"/>
      <c r="L20" s="84"/>
    </row>
    <row r="21" spans="2:12" s="2" customFormat="1" ht="15" x14ac:dyDescent="0.25">
      <c r="B21" s="117"/>
      <c r="C21" s="11"/>
      <c r="D21" s="11"/>
      <c r="E21" s="11"/>
      <c r="F21" s="11"/>
      <c r="G21" s="11"/>
      <c r="H21" s="11"/>
      <c r="I21" s="11"/>
      <c r="J21" s="11"/>
      <c r="K21" s="11"/>
      <c r="L21" s="84"/>
    </row>
    <row r="22" spans="2:12" s="2" customFormat="1" ht="17.399999999999999" x14ac:dyDescent="0.25">
      <c r="B22" s="117"/>
      <c r="C22" s="11" t="s">
        <v>180</v>
      </c>
      <c r="D22" s="11"/>
      <c r="E22" s="11"/>
      <c r="F22" s="11"/>
      <c r="G22" s="11"/>
      <c r="H22" s="11"/>
      <c r="I22" s="11"/>
      <c r="J22" s="11"/>
      <c r="K22" s="11"/>
      <c r="L22" s="84"/>
    </row>
    <row r="23" spans="2:12" s="2" customFormat="1" ht="15" x14ac:dyDescent="0.25">
      <c r="B23" s="117"/>
      <c r="C23" s="11"/>
      <c r="D23" s="11"/>
      <c r="E23" s="11"/>
      <c r="F23" s="11"/>
      <c r="G23" s="11"/>
      <c r="H23" s="11"/>
      <c r="I23" s="11"/>
      <c r="J23" s="11"/>
      <c r="K23" s="11"/>
      <c r="L23" s="84"/>
    </row>
    <row r="24" spans="2:12" s="2" customFormat="1" ht="15" x14ac:dyDescent="0.25">
      <c r="B24" s="117"/>
      <c r="C24" s="11"/>
      <c r="D24" s="11" t="s">
        <v>136</v>
      </c>
      <c r="E24" s="11"/>
      <c r="F24" s="11"/>
      <c r="G24" s="11"/>
      <c r="H24" s="11"/>
      <c r="I24" s="11"/>
      <c r="J24" s="11"/>
      <c r="K24" s="11"/>
      <c r="L24" s="84"/>
    </row>
    <row r="25" spans="2:12" s="2" customFormat="1" ht="15.6" thickBot="1" x14ac:dyDescent="0.3">
      <c r="B25" s="122"/>
      <c r="C25" s="28"/>
      <c r="D25" s="28"/>
      <c r="E25" s="28"/>
      <c r="F25" s="28"/>
      <c r="G25" s="28"/>
      <c r="H25" s="28"/>
      <c r="I25" s="28"/>
      <c r="J25" s="28"/>
      <c r="K25" s="28"/>
      <c r="L25" s="87"/>
    </row>
    <row r="26" spans="2:12" s="2" customFormat="1" ht="15" x14ac:dyDescent="0.25"/>
    <row r="27" spans="2:12" s="2" customFormat="1" ht="15" x14ac:dyDescent="0.25"/>
    <row r="28" spans="2:12" s="2" customFormat="1" ht="15" x14ac:dyDescent="0.25"/>
    <row r="29" spans="2:12" s="2" customFormat="1" ht="15" x14ac:dyDescent="0.25"/>
    <row r="30" spans="2:12" s="2" customFormat="1" ht="15" x14ac:dyDescent="0.25"/>
    <row r="31" spans="2:12" s="2" customFormat="1" ht="15" x14ac:dyDescent="0.25"/>
    <row r="32" spans="2:12" s="2" customFormat="1" ht="15" x14ac:dyDescent="0.25"/>
    <row r="33" s="2" customFormat="1" ht="15" x14ac:dyDescent="0.25"/>
    <row r="34" s="2" customFormat="1" ht="15" x14ac:dyDescent="0.25"/>
    <row r="35" s="2" customFormat="1" ht="15" x14ac:dyDescent="0.25"/>
    <row r="36" s="2" customFormat="1" ht="15" x14ac:dyDescent="0.25"/>
    <row r="37" s="2" customFormat="1" ht="15" x14ac:dyDescent="0.25"/>
    <row r="38" s="2" customFormat="1" ht="15" x14ac:dyDescent="0.25"/>
    <row r="39" s="2" customFormat="1" ht="15" x14ac:dyDescent="0.25"/>
    <row r="40" s="2" customFormat="1" ht="15" x14ac:dyDescent="0.25"/>
    <row r="41" s="2" customFormat="1" ht="15" x14ac:dyDescent="0.25"/>
    <row r="42" s="2" customFormat="1" ht="15" x14ac:dyDescent="0.25"/>
    <row r="43" s="2" customFormat="1" ht="15" x14ac:dyDescent="0.25"/>
    <row r="44" s="2" customFormat="1" ht="15" x14ac:dyDescent="0.25"/>
    <row r="45" s="2" customFormat="1" ht="15" x14ac:dyDescent="0.25"/>
    <row r="46" s="2" customFormat="1" ht="15" x14ac:dyDescent="0.25"/>
    <row r="47" s="2" customFormat="1" ht="15" x14ac:dyDescent="0.25"/>
    <row r="48" s="2" customFormat="1" ht="15" x14ac:dyDescent="0.25"/>
    <row r="49" s="2" customFormat="1" ht="15" x14ac:dyDescent="0.25"/>
    <row r="50" s="2" customFormat="1" ht="15" x14ac:dyDescent="0.25"/>
    <row r="51" s="2" customFormat="1" ht="15" x14ac:dyDescent="0.25"/>
    <row r="52" s="2" customFormat="1" ht="15" x14ac:dyDescent="0.25"/>
    <row r="53" s="2" customFormat="1" ht="15" x14ac:dyDescent="0.25"/>
    <row r="54" s="2" customFormat="1" ht="15" x14ac:dyDescent="0.25"/>
    <row r="55" s="2" customFormat="1" ht="15" x14ac:dyDescent="0.25"/>
    <row r="56" s="2" customFormat="1" ht="15" x14ac:dyDescent="0.25"/>
    <row r="57" s="2" customFormat="1" ht="15" x14ac:dyDescent="0.25"/>
    <row r="58" s="2" customFormat="1" ht="15" x14ac:dyDescent="0.25"/>
    <row r="59" s="2" customFormat="1" ht="15" x14ac:dyDescent="0.25"/>
    <row r="60" s="2" customFormat="1" ht="15" x14ac:dyDescent="0.25"/>
    <row r="61" s="2" customFormat="1" ht="15" x14ac:dyDescent="0.25"/>
    <row r="62" s="2" customFormat="1" ht="15" x14ac:dyDescent="0.25"/>
    <row r="63" s="2" customFormat="1" ht="15" x14ac:dyDescent="0.25"/>
    <row r="64" s="2" customFormat="1" ht="15" x14ac:dyDescent="0.25"/>
    <row r="65" s="2" customFormat="1" ht="15" x14ac:dyDescent="0.25"/>
    <row r="66" s="2" customFormat="1" ht="15" x14ac:dyDescent="0.25"/>
    <row r="67" s="2" customFormat="1" ht="15" x14ac:dyDescent="0.25"/>
    <row r="68" s="2" customFormat="1" ht="15" x14ac:dyDescent="0.25"/>
    <row r="69" s="2" customFormat="1" ht="15" x14ac:dyDescent="0.25"/>
    <row r="70" s="2" customFormat="1" ht="15" x14ac:dyDescent="0.25"/>
    <row r="71" s="2" customFormat="1" ht="15" x14ac:dyDescent="0.25"/>
    <row r="72" s="2" customFormat="1" ht="15" x14ac:dyDescent="0.25"/>
    <row r="73" s="2" customFormat="1" ht="15" x14ac:dyDescent="0.25"/>
    <row r="74" s="2" customFormat="1" ht="15" x14ac:dyDescent="0.25"/>
    <row r="75" s="2" customFormat="1" ht="15" x14ac:dyDescent="0.25"/>
    <row r="76" s="2" customFormat="1" ht="15" x14ac:dyDescent="0.25"/>
    <row r="77" s="2" customFormat="1" ht="15" x14ac:dyDescent="0.25"/>
    <row r="78" s="2" customFormat="1" ht="15" x14ac:dyDescent="0.25"/>
    <row r="79" s="2" customFormat="1" ht="15" x14ac:dyDescent="0.25"/>
    <row r="80" s="2" customFormat="1" ht="15" x14ac:dyDescent="0.25"/>
    <row r="81" s="2" customFormat="1" ht="15" x14ac:dyDescent="0.25"/>
    <row r="82" s="2" customFormat="1" ht="15" x14ac:dyDescent="0.25"/>
    <row r="83" s="2" customFormat="1" ht="15" x14ac:dyDescent="0.25"/>
    <row r="84" s="2" customFormat="1" ht="15" x14ac:dyDescent="0.25"/>
    <row r="85" s="2" customFormat="1" ht="15" x14ac:dyDescent="0.25"/>
    <row r="86" s="2" customFormat="1" ht="15" x14ac:dyDescent="0.25"/>
    <row r="87" s="2" customFormat="1" ht="15" x14ac:dyDescent="0.25"/>
    <row r="88" s="2" customFormat="1" ht="15" x14ac:dyDescent="0.25"/>
    <row r="89" s="2" customFormat="1" ht="15" x14ac:dyDescent="0.25"/>
    <row r="90" s="2" customFormat="1" ht="15" x14ac:dyDescent="0.25"/>
    <row r="91" s="2" customFormat="1" ht="15" x14ac:dyDescent="0.25"/>
    <row r="92" s="2" customFormat="1" ht="15" x14ac:dyDescent="0.25"/>
    <row r="93" s="2" customFormat="1" ht="15" x14ac:dyDescent="0.25"/>
    <row r="94" s="2" customFormat="1" ht="15" x14ac:dyDescent="0.25"/>
    <row r="95" s="2" customFormat="1" ht="15" x14ac:dyDescent="0.25"/>
    <row r="96" s="2" customFormat="1" ht="15" x14ac:dyDescent="0.25"/>
    <row r="97" s="2" customFormat="1" ht="15" x14ac:dyDescent="0.25"/>
    <row r="98" s="2" customFormat="1" ht="15" x14ac:dyDescent="0.25"/>
    <row r="99" s="2" customFormat="1" ht="15" x14ac:dyDescent="0.25"/>
    <row r="100" s="2" customFormat="1" ht="15" x14ac:dyDescent="0.25"/>
    <row r="101" s="2" customFormat="1" ht="15" x14ac:dyDescent="0.25"/>
    <row r="102" s="2" customFormat="1" ht="15" x14ac:dyDescent="0.25"/>
    <row r="103" s="2" customFormat="1" ht="15" x14ac:dyDescent="0.25"/>
    <row r="104" s="2" customFormat="1" ht="15" x14ac:dyDescent="0.25"/>
    <row r="105" s="2" customFormat="1" ht="15" x14ac:dyDescent="0.25"/>
    <row r="106" s="2" customFormat="1" ht="15" x14ac:dyDescent="0.25"/>
    <row r="107" s="2" customFormat="1" ht="15" x14ac:dyDescent="0.25"/>
    <row r="108" s="2" customFormat="1" ht="15" x14ac:dyDescent="0.25"/>
    <row r="109" s="2" customFormat="1" ht="15" x14ac:dyDescent="0.25"/>
    <row r="110" s="2" customFormat="1" ht="15" x14ac:dyDescent="0.25"/>
    <row r="111" s="2" customFormat="1" ht="15" x14ac:dyDescent="0.25"/>
    <row r="112" s="2" customFormat="1" ht="15" x14ac:dyDescent="0.25"/>
    <row r="113" s="2" customFormat="1" ht="15" x14ac:dyDescent="0.25"/>
    <row r="114" s="2" customFormat="1" ht="15" x14ac:dyDescent="0.25"/>
    <row r="115" s="2" customFormat="1" ht="15" x14ac:dyDescent="0.25"/>
    <row r="116" s="2" customFormat="1" ht="15" x14ac:dyDescent="0.25"/>
    <row r="117" s="2" customFormat="1" ht="15" x14ac:dyDescent="0.25"/>
    <row r="118" s="2" customFormat="1" ht="15" x14ac:dyDescent="0.25"/>
    <row r="119" s="2" customFormat="1" ht="15" x14ac:dyDescent="0.25"/>
    <row r="120" s="2" customFormat="1" ht="15" x14ac:dyDescent="0.25"/>
    <row r="121" s="2" customFormat="1" ht="15" x14ac:dyDescent="0.25"/>
    <row r="122" s="2" customFormat="1" ht="15" x14ac:dyDescent="0.25"/>
    <row r="123" s="2" customFormat="1" ht="15" x14ac:dyDescent="0.25"/>
    <row r="124" s="2" customFormat="1" ht="15" x14ac:dyDescent="0.25"/>
    <row r="125" s="2" customFormat="1" ht="15" x14ac:dyDescent="0.25"/>
    <row r="126" s="2" customFormat="1" ht="15" x14ac:dyDescent="0.25"/>
    <row r="127" s="2" customFormat="1" ht="15" x14ac:dyDescent="0.25"/>
    <row r="128" s="2" customFormat="1" ht="15" x14ac:dyDescent="0.25"/>
    <row r="129" s="2" customFormat="1" ht="15" x14ac:dyDescent="0.25"/>
    <row r="130" s="2" customFormat="1" ht="15" x14ac:dyDescent="0.25"/>
    <row r="131" s="2" customFormat="1" ht="15" x14ac:dyDescent="0.25"/>
    <row r="132" s="2" customFormat="1" ht="15" x14ac:dyDescent="0.25"/>
    <row r="133" s="2" customFormat="1" ht="15" x14ac:dyDescent="0.25"/>
    <row r="134" s="2" customFormat="1" ht="15" x14ac:dyDescent="0.25"/>
    <row r="135" s="2" customFormat="1" ht="15" x14ac:dyDescent="0.25"/>
    <row r="136" s="2" customFormat="1" ht="15" x14ac:dyDescent="0.25"/>
    <row r="137" s="2" customFormat="1" ht="15" x14ac:dyDescent="0.25"/>
    <row r="138" s="2" customFormat="1" ht="15" x14ac:dyDescent="0.25"/>
    <row r="139" s="2" customFormat="1" ht="15" x14ac:dyDescent="0.25"/>
    <row r="140" s="2" customFormat="1" ht="15" x14ac:dyDescent="0.25"/>
    <row r="141" s="2" customFormat="1" ht="15" x14ac:dyDescent="0.25"/>
    <row r="142" s="2" customFormat="1" ht="15" x14ac:dyDescent="0.25"/>
    <row r="143" s="2" customFormat="1" ht="15" x14ac:dyDescent="0.25"/>
    <row r="144" s="2" customFormat="1" ht="15" x14ac:dyDescent="0.25"/>
    <row r="145" s="2" customFormat="1" ht="15" x14ac:dyDescent="0.25"/>
    <row r="146" s="2" customFormat="1" ht="15" x14ac:dyDescent="0.25"/>
    <row r="147" s="2" customFormat="1" ht="15" x14ac:dyDescent="0.25"/>
    <row r="148" s="2" customFormat="1" ht="15" x14ac:dyDescent="0.25"/>
    <row r="149" s="2" customFormat="1" ht="15" x14ac:dyDescent="0.25"/>
    <row r="150" s="2" customFormat="1" ht="15" x14ac:dyDescent="0.25"/>
    <row r="151" s="2" customFormat="1" ht="15" x14ac:dyDescent="0.25"/>
    <row r="152" s="2" customFormat="1" ht="15" x14ac:dyDescent="0.25"/>
    <row r="153" s="2" customFormat="1" ht="15" x14ac:dyDescent="0.25"/>
    <row r="154" s="2" customFormat="1" ht="15" x14ac:dyDescent="0.25"/>
    <row r="155" s="2" customFormat="1" ht="15" x14ac:dyDescent="0.25"/>
    <row r="156" s="2" customFormat="1" ht="15" x14ac:dyDescent="0.25"/>
    <row r="157" s="2" customFormat="1" ht="15" x14ac:dyDescent="0.25"/>
    <row r="158" s="2" customFormat="1" ht="15" x14ac:dyDescent="0.25"/>
    <row r="159" s="2" customFormat="1" ht="15" x14ac:dyDescent="0.25"/>
    <row r="160" s="2" customFormat="1" ht="15" x14ac:dyDescent="0.25"/>
    <row r="161" s="2" customFormat="1" ht="15" x14ac:dyDescent="0.25"/>
    <row r="162" s="2" customFormat="1" ht="15" x14ac:dyDescent="0.25"/>
    <row r="163" s="2" customFormat="1" ht="15" x14ac:dyDescent="0.25"/>
    <row r="164" s="2" customFormat="1" ht="15" x14ac:dyDescent="0.25"/>
    <row r="165" s="2" customFormat="1" ht="15" x14ac:dyDescent="0.25"/>
    <row r="166" s="2" customFormat="1" ht="15" x14ac:dyDescent="0.25"/>
    <row r="167" s="2" customFormat="1" ht="15" x14ac:dyDescent="0.25"/>
    <row r="168" s="2" customFormat="1" ht="15" x14ac:dyDescent="0.25"/>
    <row r="169" s="2" customFormat="1" ht="15" x14ac:dyDescent="0.25"/>
    <row r="170" s="2" customFormat="1" ht="15" x14ac:dyDescent="0.25"/>
    <row r="171" s="2" customFormat="1" ht="15" x14ac:dyDescent="0.25"/>
    <row r="172" s="2" customFormat="1" ht="15" x14ac:dyDescent="0.25"/>
    <row r="173" s="2" customFormat="1" ht="15" x14ac:dyDescent="0.25"/>
    <row r="174" s="2" customFormat="1" ht="15" x14ac:dyDescent="0.25"/>
    <row r="175" s="2" customFormat="1" ht="15" x14ac:dyDescent="0.25"/>
    <row r="176" s="2" customFormat="1" ht="15" x14ac:dyDescent="0.25"/>
    <row r="177" s="2" customFormat="1" ht="15" x14ac:dyDescent="0.25"/>
    <row r="178" s="2" customFormat="1" ht="15" x14ac:dyDescent="0.25"/>
    <row r="179" s="2" customFormat="1" ht="15" x14ac:dyDescent="0.25"/>
    <row r="180" s="2" customFormat="1" ht="15" x14ac:dyDescent="0.25"/>
    <row r="181" s="2" customFormat="1" ht="15" x14ac:dyDescent="0.25"/>
    <row r="182" s="2" customFormat="1" ht="15" x14ac:dyDescent="0.25"/>
    <row r="183" s="2" customFormat="1" ht="15" x14ac:dyDescent="0.25"/>
    <row r="184" s="2" customFormat="1" ht="15" x14ac:dyDescent="0.25"/>
    <row r="185" s="2" customFormat="1" ht="15" x14ac:dyDescent="0.25"/>
    <row r="186" s="2" customFormat="1" ht="15" x14ac:dyDescent="0.25"/>
    <row r="187" s="2" customFormat="1" ht="15" x14ac:dyDescent="0.25"/>
    <row r="188" s="2" customFormat="1" ht="15" x14ac:dyDescent="0.25"/>
    <row r="189" s="2" customFormat="1" ht="15" x14ac:dyDescent="0.25"/>
    <row r="190" s="2" customFormat="1" ht="15" x14ac:dyDescent="0.25"/>
    <row r="191" s="2" customFormat="1" ht="15" x14ac:dyDescent="0.25"/>
    <row r="192" s="2" customFormat="1" ht="15" x14ac:dyDescent="0.25"/>
    <row r="193" s="2" customFormat="1" ht="15" x14ac:dyDescent="0.25"/>
    <row r="194" s="2" customFormat="1" ht="15" x14ac:dyDescent="0.25"/>
    <row r="195" s="2" customFormat="1" ht="15" x14ac:dyDescent="0.25"/>
    <row r="196" s="2" customFormat="1" ht="15" x14ac:dyDescent="0.25"/>
    <row r="197" s="2" customFormat="1" ht="15" x14ac:dyDescent="0.25"/>
    <row r="198" s="2" customFormat="1" ht="15" x14ac:dyDescent="0.25"/>
    <row r="199" s="2" customFormat="1" ht="15" x14ac:dyDescent="0.25"/>
    <row r="200" s="2" customFormat="1" ht="15" x14ac:dyDescent="0.25"/>
    <row r="201" s="2" customFormat="1" ht="15" x14ac:dyDescent="0.25"/>
    <row r="202" s="2" customFormat="1" ht="15" x14ac:dyDescent="0.25"/>
    <row r="203" s="2" customFormat="1" ht="15" x14ac:dyDescent="0.25"/>
    <row r="204" s="2" customFormat="1" ht="15" x14ac:dyDescent="0.25"/>
    <row r="205" s="2" customFormat="1" ht="15" x14ac:dyDescent="0.25"/>
    <row r="206" s="2" customFormat="1" ht="15" x14ac:dyDescent="0.25"/>
    <row r="207" s="2" customFormat="1" ht="15" x14ac:dyDescent="0.25"/>
    <row r="208" s="2" customFormat="1" ht="15" x14ac:dyDescent="0.25"/>
    <row r="209" s="2" customFormat="1" ht="15" x14ac:dyDescent="0.25"/>
    <row r="210" s="2" customFormat="1" ht="15" x14ac:dyDescent="0.25"/>
    <row r="211" s="2" customFormat="1" ht="15" x14ac:dyDescent="0.25"/>
    <row r="212" s="2" customFormat="1" ht="15" x14ac:dyDescent="0.25"/>
    <row r="213" s="2" customFormat="1" ht="15" x14ac:dyDescent="0.25"/>
    <row r="214" s="2" customFormat="1" ht="15" x14ac:dyDescent="0.25"/>
    <row r="215" s="2" customFormat="1" ht="15" x14ac:dyDescent="0.25"/>
    <row r="216" s="2" customFormat="1" ht="15" x14ac:dyDescent="0.25"/>
    <row r="217" s="2" customFormat="1" ht="15" x14ac:dyDescent="0.25"/>
    <row r="218" s="2" customFormat="1" ht="15" x14ac:dyDescent="0.25"/>
    <row r="219" s="2" customFormat="1" ht="15" x14ac:dyDescent="0.25"/>
    <row r="220" s="2" customFormat="1" ht="15" x14ac:dyDescent="0.25"/>
    <row r="221" s="2" customFormat="1" ht="15" x14ac:dyDescent="0.25"/>
    <row r="222" s="2" customFormat="1" ht="15" x14ac:dyDescent="0.25"/>
    <row r="223" s="2" customFormat="1" ht="15" x14ac:dyDescent="0.25"/>
    <row r="224" s="2" customFormat="1" ht="15" x14ac:dyDescent="0.25"/>
    <row r="225" s="2" customFormat="1" ht="15" x14ac:dyDescent="0.25"/>
    <row r="226" s="2" customFormat="1" ht="15" x14ac:dyDescent="0.25"/>
    <row r="227" s="2" customFormat="1" ht="15" x14ac:dyDescent="0.25"/>
    <row r="228" s="2" customFormat="1" ht="15" x14ac:dyDescent="0.25"/>
    <row r="229" s="2" customFormat="1" ht="15" x14ac:dyDescent="0.25"/>
    <row r="230" s="2" customFormat="1" ht="15" x14ac:dyDescent="0.25"/>
    <row r="231" s="2" customFormat="1" ht="15" x14ac:dyDescent="0.25"/>
    <row r="232" s="2" customFormat="1" ht="15" x14ac:dyDescent="0.25"/>
    <row r="233" s="2" customFormat="1" ht="15" x14ac:dyDescent="0.25"/>
    <row r="234" s="2" customFormat="1" ht="15" x14ac:dyDescent="0.25"/>
    <row r="235" s="2" customFormat="1" ht="15" x14ac:dyDescent="0.25"/>
    <row r="236" s="2" customFormat="1" ht="15" x14ac:dyDescent="0.25"/>
    <row r="237" s="2" customFormat="1" ht="15" x14ac:dyDescent="0.25"/>
    <row r="238" s="2" customFormat="1" ht="15" x14ac:dyDescent="0.25"/>
    <row r="239" s="2" customFormat="1" ht="15" x14ac:dyDescent="0.25"/>
    <row r="240" s="2" customFormat="1" ht="15" x14ac:dyDescent="0.25"/>
    <row r="241" s="2" customFormat="1" ht="15" x14ac:dyDescent="0.25"/>
    <row r="242" s="2" customFormat="1" ht="15" x14ac:dyDescent="0.25"/>
    <row r="243" s="2" customFormat="1" ht="15" x14ac:dyDescent="0.25"/>
    <row r="244" s="2" customFormat="1" ht="15" x14ac:dyDescent="0.25"/>
    <row r="245" s="2" customFormat="1" ht="15" x14ac:dyDescent="0.25"/>
    <row r="246" s="2" customFormat="1" ht="15" x14ac:dyDescent="0.25"/>
    <row r="247" s="2" customFormat="1" ht="15" x14ac:dyDescent="0.25"/>
    <row r="248" s="2" customFormat="1" ht="15" x14ac:dyDescent="0.25"/>
    <row r="249" s="2" customFormat="1" ht="15" x14ac:dyDescent="0.25"/>
    <row r="250" s="2" customFormat="1" ht="15" x14ac:dyDescent="0.25"/>
    <row r="251" s="2" customFormat="1" ht="15" x14ac:dyDescent="0.25"/>
    <row r="252" s="2" customFormat="1" ht="15" x14ac:dyDescent="0.25"/>
    <row r="253" s="2" customFormat="1" ht="15" x14ac:dyDescent="0.25"/>
    <row r="254" s="2" customFormat="1" ht="15" x14ac:dyDescent="0.25"/>
    <row r="255" s="2" customFormat="1" ht="15" x14ac:dyDescent="0.25"/>
    <row r="256" s="2" customFormat="1" ht="15" x14ac:dyDescent="0.25"/>
    <row r="257" s="2" customFormat="1" ht="15" x14ac:dyDescent="0.25"/>
    <row r="258" s="2" customFormat="1" ht="15" x14ac:dyDescent="0.25"/>
    <row r="259" s="2" customFormat="1" ht="15" x14ac:dyDescent="0.25"/>
    <row r="260" s="2" customFormat="1" ht="15" x14ac:dyDescent="0.25"/>
    <row r="261" s="2" customFormat="1" ht="15" x14ac:dyDescent="0.25"/>
    <row r="262" s="2" customFormat="1" ht="15" x14ac:dyDescent="0.25"/>
    <row r="263" s="2" customFormat="1" ht="15" x14ac:dyDescent="0.25"/>
    <row r="264" s="2" customFormat="1" ht="15" x14ac:dyDescent="0.25"/>
    <row r="265" s="2" customFormat="1" ht="15" x14ac:dyDescent="0.25"/>
    <row r="266" s="2" customFormat="1" ht="15" x14ac:dyDescent="0.25"/>
    <row r="267" s="2" customFormat="1" ht="15" x14ac:dyDescent="0.25"/>
    <row r="268" s="2" customFormat="1" ht="15" x14ac:dyDescent="0.25"/>
    <row r="269" s="2" customFormat="1" ht="15" x14ac:dyDescent="0.25"/>
    <row r="270" s="2" customFormat="1" ht="15" x14ac:dyDescent="0.25"/>
    <row r="271" s="2" customFormat="1" ht="15" x14ac:dyDescent="0.25"/>
    <row r="272" s="2" customFormat="1" ht="15" x14ac:dyDescent="0.25"/>
    <row r="273" s="2" customFormat="1" ht="15" x14ac:dyDescent="0.25"/>
    <row r="274" s="2" customFormat="1" ht="15" x14ac:dyDescent="0.25"/>
    <row r="275" s="2" customFormat="1" ht="15" x14ac:dyDescent="0.25"/>
    <row r="276" s="2" customFormat="1" ht="15" x14ac:dyDescent="0.25"/>
    <row r="277" s="2" customFormat="1" ht="15" x14ac:dyDescent="0.25"/>
    <row r="278" s="2" customFormat="1" ht="15" x14ac:dyDescent="0.25"/>
    <row r="279" s="2" customFormat="1" ht="15" x14ac:dyDescent="0.25"/>
    <row r="280" s="2" customFormat="1" ht="15" x14ac:dyDescent="0.25"/>
    <row r="281" s="2" customFormat="1" ht="15" x14ac:dyDescent="0.25"/>
    <row r="282" s="2" customFormat="1" ht="15" x14ac:dyDescent="0.25"/>
    <row r="283" s="2" customFormat="1" ht="15" x14ac:dyDescent="0.25"/>
    <row r="284" s="2" customFormat="1" ht="15" x14ac:dyDescent="0.25"/>
    <row r="285" s="2" customFormat="1" ht="15" x14ac:dyDescent="0.25"/>
    <row r="286" s="2" customFormat="1" ht="15" x14ac:dyDescent="0.25"/>
    <row r="287" s="2" customFormat="1" ht="15" x14ac:dyDescent="0.25"/>
    <row r="288" s="2" customFormat="1" ht="15" x14ac:dyDescent="0.25"/>
    <row r="289" s="2" customFormat="1" ht="15" x14ac:dyDescent="0.25"/>
    <row r="290" s="2" customFormat="1" ht="15" x14ac:dyDescent="0.25"/>
    <row r="291" s="2" customFormat="1" ht="15" x14ac:dyDescent="0.25"/>
    <row r="292" s="2" customFormat="1" ht="15" x14ac:dyDescent="0.25"/>
    <row r="293" s="2" customFormat="1" ht="15" x14ac:dyDescent="0.25"/>
    <row r="294" s="2" customFormat="1" ht="15" x14ac:dyDescent="0.25"/>
    <row r="295" s="2" customFormat="1" ht="15" x14ac:dyDescent="0.25"/>
    <row r="296" s="2" customFormat="1" ht="15" x14ac:dyDescent="0.25"/>
    <row r="297" s="2" customFormat="1" ht="15" x14ac:dyDescent="0.25"/>
    <row r="298" s="2" customFormat="1" ht="15" x14ac:dyDescent="0.25"/>
    <row r="299" s="2" customFormat="1" ht="15" x14ac:dyDescent="0.25"/>
    <row r="300" s="2" customFormat="1" ht="15" x14ac:dyDescent="0.25"/>
    <row r="301" s="2" customFormat="1" ht="15" x14ac:dyDescent="0.25"/>
    <row r="302" s="2" customFormat="1" ht="15" x14ac:dyDescent="0.25"/>
    <row r="303" s="2" customFormat="1" ht="15" x14ac:dyDescent="0.25"/>
    <row r="304" s="2" customFormat="1" ht="15" x14ac:dyDescent="0.25"/>
    <row r="305" s="2" customFormat="1" ht="15" x14ac:dyDescent="0.25"/>
    <row r="306" s="2" customFormat="1" ht="15" x14ac:dyDescent="0.25"/>
    <row r="307" s="2" customFormat="1" ht="15" x14ac:dyDescent="0.25"/>
    <row r="308" s="2" customFormat="1" ht="15" x14ac:dyDescent="0.25"/>
    <row r="309" s="2" customFormat="1" ht="15" x14ac:dyDescent="0.25"/>
    <row r="310" s="2" customFormat="1" ht="15" x14ac:dyDescent="0.25"/>
    <row r="311" s="2" customFormat="1" ht="15" x14ac:dyDescent="0.25"/>
    <row r="312" s="2" customFormat="1" ht="15" x14ac:dyDescent="0.25"/>
    <row r="313" s="2" customFormat="1" ht="15" x14ac:dyDescent="0.25"/>
    <row r="314" s="2" customFormat="1" ht="15" x14ac:dyDescent="0.25"/>
    <row r="315" s="2" customFormat="1" ht="15" x14ac:dyDescent="0.25"/>
    <row r="316" s="2" customFormat="1" ht="15" x14ac:dyDescent="0.25"/>
    <row r="317" s="2" customFormat="1" ht="15" x14ac:dyDescent="0.25"/>
    <row r="318" s="2" customFormat="1" ht="15" x14ac:dyDescent="0.25"/>
    <row r="319" s="2" customFormat="1" ht="15" x14ac:dyDescent="0.25"/>
    <row r="320" s="2" customFormat="1" ht="15" x14ac:dyDescent="0.25"/>
    <row r="321" s="2" customFormat="1" ht="15" x14ac:dyDescent="0.25"/>
    <row r="322" s="2" customFormat="1" ht="15" x14ac:dyDescent="0.25"/>
    <row r="323" s="2" customFormat="1" ht="15" x14ac:dyDescent="0.25"/>
    <row r="324" s="2" customFormat="1" ht="15" x14ac:dyDescent="0.25"/>
    <row r="325" s="2" customFormat="1" ht="15" x14ac:dyDescent="0.25"/>
    <row r="326" s="2" customFormat="1" ht="15" x14ac:dyDescent="0.25"/>
    <row r="327" s="2" customFormat="1" ht="15" x14ac:dyDescent="0.25"/>
    <row r="328" s="2" customFormat="1" ht="15" x14ac:dyDescent="0.25"/>
    <row r="329" s="2" customFormat="1" ht="15" x14ac:dyDescent="0.25"/>
    <row r="330" s="2" customFormat="1" ht="15" x14ac:dyDescent="0.25"/>
    <row r="331" s="2" customFormat="1" ht="15" x14ac:dyDescent="0.25"/>
    <row r="332" s="2" customFormat="1" ht="15" x14ac:dyDescent="0.25"/>
    <row r="333" s="2" customFormat="1" ht="15" x14ac:dyDescent="0.25"/>
    <row r="334" s="2" customFormat="1" ht="15" x14ac:dyDescent="0.25"/>
    <row r="335" s="2" customFormat="1" ht="15" x14ac:dyDescent="0.25"/>
    <row r="336" s="2" customFormat="1" ht="15" x14ac:dyDescent="0.25"/>
    <row r="337" s="2" customFormat="1" ht="15" x14ac:dyDescent="0.25"/>
    <row r="338" s="2" customFormat="1" ht="15" x14ac:dyDescent="0.25"/>
    <row r="339" s="2" customFormat="1" ht="15" x14ac:dyDescent="0.25"/>
    <row r="340" s="2" customFormat="1" ht="15" x14ac:dyDescent="0.25"/>
    <row r="341" s="2" customFormat="1" ht="15" x14ac:dyDescent="0.25"/>
    <row r="342" s="2" customFormat="1" ht="15" x14ac:dyDescent="0.25"/>
    <row r="343" s="2" customFormat="1" ht="15" x14ac:dyDescent="0.25"/>
    <row r="344" s="2" customFormat="1" ht="15" x14ac:dyDescent="0.25"/>
    <row r="345" s="2" customFormat="1" ht="15" x14ac:dyDescent="0.25"/>
    <row r="346" s="2" customFormat="1" ht="15" x14ac:dyDescent="0.25"/>
    <row r="347" s="2" customFormat="1" ht="15" x14ac:dyDescent="0.25"/>
    <row r="348" s="2" customFormat="1" ht="15" x14ac:dyDescent="0.25"/>
    <row r="349" s="2" customFormat="1" ht="15" x14ac:dyDescent="0.25"/>
    <row r="350" s="2" customFormat="1" ht="15" x14ac:dyDescent="0.25"/>
    <row r="351" s="2" customFormat="1" ht="15" x14ac:dyDescent="0.25"/>
    <row r="352" s="2" customFormat="1" ht="15" x14ac:dyDescent="0.25"/>
    <row r="353" s="2" customFormat="1" ht="15" x14ac:dyDescent="0.25"/>
    <row r="354" s="2" customFormat="1" ht="15" x14ac:dyDescent="0.25"/>
    <row r="355" s="2" customFormat="1" ht="15" x14ac:dyDescent="0.25"/>
    <row r="356" s="2" customFormat="1" ht="15" x14ac:dyDescent="0.25"/>
    <row r="357" s="2" customFormat="1" ht="15" x14ac:dyDescent="0.25"/>
    <row r="358" s="2" customFormat="1" ht="15" x14ac:dyDescent="0.25"/>
    <row r="359" s="2" customFormat="1" ht="15" x14ac:dyDescent="0.25"/>
    <row r="360" s="2" customFormat="1" ht="15" x14ac:dyDescent="0.25"/>
    <row r="361" s="2" customFormat="1" ht="15" x14ac:dyDescent="0.25"/>
    <row r="362" s="2" customFormat="1" ht="15" x14ac:dyDescent="0.25"/>
    <row r="363" s="2" customFormat="1" ht="15" x14ac:dyDescent="0.25"/>
    <row r="364" s="2" customFormat="1" ht="15" x14ac:dyDescent="0.25"/>
    <row r="365" s="2" customFormat="1" ht="15" x14ac:dyDescent="0.25"/>
    <row r="366" s="2" customFormat="1" ht="15" x14ac:dyDescent="0.25"/>
    <row r="367" s="2" customFormat="1" ht="15" x14ac:dyDescent="0.25"/>
    <row r="368" s="2" customFormat="1" ht="15" x14ac:dyDescent="0.25"/>
    <row r="369" s="2" customFormat="1" ht="15" x14ac:dyDescent="0.25"/>
    <row r="370" s="2" customFormat="1" ht="15" x14ac:dyDescent="0.25"/>
    <row r="371" s="2" customFormat="1" ht="15" x14ac:dyDescent="0.25"/>
    <row r="372" s="2" customFormat="1" ht="15" x14ac:dyDescent="0.25"/>
    <row r="373" s="2" customFormat="1" ht="15" x14ac:dyDescent="0.25"/>
    <row r="374" s="2" customFormat="1" ht="15" x14ac:dyDescent="0.25"/>
    <row r="375" s="2" customFormat="1" ht="15" x14ac:dyDescent="0.25"/>
    <row r="376" s="2" customFormat="1" ht="15" x14ac:dyDescent="0.25"/>
    <row r="377" s="2" customFormat="1" ht="15" x14ac:dyDescent="0.25"/>
    <row r="378" s="2" customFormat="1" ht="15" x14ac:dyDescent="0.25"/>
    <row r="379" s="2" customFormat="1" ht="15" x14ac:dyDescent="0.25"/>
    <row r="380" s="2" customFormat="1" ht="15" x14ac:dyDescent="0.25"/>
    <row r="381" s="2" customFormat="1" ht="15" x14ac:dyDescent="0.25"/>
    <row r="382" s="2" customFormat="1" ht="15" x14ac:dyDescent="0.25"/>
    <row r="383" s="2" customFormat="1" ht="15" x14ac:dyDescent="0.25"/>
    <row r="384" s="2" customFormat="1" ht="15" x14ac:dyDescent="0.25"/>
    <row r="385" s="2" customFormat="1" ht="15" x14ac:dyDescent="0.25"/>
    <row r="386" s="2" customFormat="1" ht="15" x14ac:dyDescent="0.25"/>
    <row r="387" s="2" customFormat="1" ht="15" x14ac:dyDescent="0.25"/>
    <row r="388" s="2" customFormat="1" ht="15" x14ac:dyDescent="0.25"/>
    <row r="389" s="2" customFormat="1" ht="15" x14ac:dyDescent="0.25"/>
    <row r="390" s="2" customFormat="1" ht="15" x14ac:dyDescent="0.25"/>
    <row r="391" s="2" customFormat="1" ht="15" x14ac:dyDescent="0.25"/>
    <row r="392" s="2" customFormat="1" ht="15" x14ac:dyDescent="0.25"/>
    <row r="393" s="2" customFormat="1" ht="15" x14ac:dyDescent="0.25"/>
    <row r="394" s="2" customFormat="1" ht="15" x14ac:dyDescent="0.25"/>
    <row r="395" s="2" customFormat="1" ht="15" x14ac:dyDescent="0.25"/>
    <row r="396" s="2" customFormat="1" ht="15" x14ac:dyDescent="0.25"/>
    <row r="397" s="2" customFormat="1" ht="15" x14ac:dyDescent="0.25"/>
    <row r="398" s="2" customFormat="1" ht="15" x14ac:dyDescent="0.25"/>
    <row r="399" s="2" customFormat="1" ht="15" x14ac:dyDescent="0.25"/>
    <row r="400" s="2" customFormat="1" ht="15" x14ac:dyDescent="0.25"/>
    <row r="401" s="2" customFormat="1" ht="15" x14ac:dyDescent="0.25"/>
    <row r="402" s="2" customFormat="1" ht="15" x14ac:dyDescent="0.25"/>
    <row r="403" s="2" customFormat="1" ht="15" x14ac:dyDescent="0.25"/>
    <row r="404" s="2" customFormat="1" ht="15" x14ac:dyDescent="0.25"/>
    <row r="405" s="2" customFormat="1" ht="15" x14ac:dyDescent="0.25"/>
    <row r="406" s="2" customFormat="1" ht="15" x14ac:dyDescent="0.25"/>
    <row r="407" s="2" customFormat="1" ht="15" x14ac:dyDescent="0.25"/>
    <row r="408" s="2" customFormat="1" ht="15" x14ac:dyDescent="0.25"/>
    <row r="409" s="2" customFormat="1" ht="15" x14ac:dyDescent="0.25"/>
    <row r="410" s="2" customFormat="1" ht="15" x14ac:dyDescent="0.25"/>
    <row r="411" s="2" customFormat="1" ht="15" x14ac:dyDescent="0.25"/>
    <row r="412" s="2" customFormat="1" ht="15" x14ac:dyDescent="0.25"/>
    <row r="413" s="2" customFormat="1" ht="15" x14ac:dyDescent="0.25"/>
    <row r="414" s="2" customFormat="1" ht="15" x14ac:dyDescent="0.25"/>
    <row r="415" s="2" customFormat="1" ht="15" x14ac:dyDescent="0.25"/>
    <row r="416" s="2" customFormat="1" ht="15" x14ac:dyDescent="0.25"/>
    <row r="417" s="2" customFormat="1" ht="15" x14ac:dyDescent="0.25"/>
    <row r="418" s="2" customFormat="1" ht="15" x14ac:dyDescent="0.25"/>
    <row r="419" s="2" customFormat="1" ht="15" x14ac:dyDescent="0.25"/>
    <row r="420" s="2" customFormat="1" ht="15" x14ac:dyDescent="0.25"/>
    <row r="421" s="2" customFormat="1" ht="15" x14ac:dyDescent="0.25"/>
    <row r="422" s="2" customFormat="1" ht="15" x14ac:dyDescent="0.25"/>
    <row r="423" s="2" customFormat="1" ht="15" x14ac:dyDescent="0.25"/>
    <row r="424" s="2" customFormat="1" ht="15" x14ac:dyDescent="0.25"/>
    <row r="425" s="2" customFormat="1" ht="15" x14ac:dyDescent="0.25"/>
    <row r="426" s="2" customFormat="1" ht="15" x14ac:dyDescent="0.25"/>
    <row r="427" s="2" customFormat="1" ht="15" x14ac:dyDescent="0.25"/>
    <row r="428" s="2" customFormat="1" ht="15" x14ac:dyDescent="0.25"/>
    <row r="429" s="2" customFormat="1" ht="15" x14ac:dyDescent="0.25"/>
    <row r="430" s="2" customFormat="1" ht="15" x14ac:dyDescent="0.25"/>
    <row r="431" s="2" customFormat="1" ht="15" x14ac:dyDescent="0.25"/>
    <row r="432" s="2" customFormat="1" ht="15" x14ac:dyDescent="0.25"/>
    <row r="433" s="2" customFormat="1" ht="15" x14ac:dyDescent="0.25"/>
    <row r="434" s="2" customFormat="1" ht="15" x14ac:dyDescent="0.25"/>
    <row r="435" s="2" customFormat="1" ht="15" x14ac:dyDescent="0.25"/>
    <row r="436" s="2" customFormat="1" ht="15" x14ac:dyDescent="0.25"/>
    <row r="437" s="2" customFormat="1" ht="15" x14ac:dyDescent="0.25"/>
    <row r="438" s="2" customFormat="1" ht="15" x14ac:dyDescent="0.25"/>
    <row r="439" s="2" customFormat="1" ht="15" x14ac:dyDescent="0.25"/>
    <row r="440" s="2" customFormat="1" ht="15" x14ac:dyDescent="0.25"/>
    <row r="441" s="2" customFormat="1" ht="15" x14ac:dyDescent="0.25"/>
    <row r="442" s="2" customFormat="1" ht="15" x14ac:dyDescent="0.25"/>
    <row r="443" s="2" customFormat="1" ht="15" x14ac:dyDescent="0.25"/>
    <row r="444" s="2" customFormat="1" ht="15" x14ac:dyDescent="0.25"/>
    <row r="445" s="2" customFormat="1" ht="15" x14ac:dyDescent="0.25"/>
    <row r="446" s="2" customFormat="1" ht="15" x14ac:dyDescent="0.25"/>
    <row r="447" s="2" customFormat="1" ht="15" x14ac:dyDescent="0.25"/>
    <row r="448" s="2" customFormat="1" ht="15" x14ac:dyDescent="0.25"/>
    <row r="449" s="2" customFormat="1" ht="15" x14ac:dyDescent="0.25"/>
    <row r="450" s="2" customFormat="1" ht="15" x14ac:dyDescent="0.25"/>
    <row r="451" s="2" customFormat="1" ht="15" x14ac:dyDescent="0.25"/>
    <row r="452" s="2" customFormat="1" ht="15" x14ac:dyDescent="0.25"/>
    <row r="453" s="2" customFormat="1" ht="15" x14ac:dyDescent="0.25"/>
    <row r="454" s="2" customFormat="1" ht="15" x14ac:dyDescent="0.25"/>
    <row r="455" s="2" customFormat="1" ht="15" x14ac:dyDescent="0.25"/>
    <row r="456" s="2" customFormat="1" ht="15" x14ac:dyDescent="0.25"/>
    <row r="457" s="2" customFormat="1" ht="15" x14ac:dyDescent="0.25"/>
    <row r="458" s="2" customFormat="1" ht="15" x14ac:dyDescent="0.25"/>
    <row r="459" s="2" customFormat="1" ht="15" x14ac:dyDescent="0.25"/>
    <row r="460" s="2" customFormat="1" ht="15" x14ac:dyDescent="0.25"/>
    <row r="461" s="2" customFormat="1" ht="15" x14ac:dyDescent="0.25"/>
    <row r="462" s="2" customFormat="1" ht="15" x14ac:dyDescent="0.25"/>
    <row r="463" s="2" customFormat="1" ht="15" x14ac:dyDescent="0.25"/>
    <row r="464" s="2" customFormat="1" ht="15" x14ac:dyDescent="0.25"/>
    <row r="465" s="2" customFormat="1" ht="15" x14ac:dyDescent="0.25"/>
    <row r="466" s="2" customFormat="1" ht="15" x14ac:dyDescent="0.25"/>
    <row r="467" s="2" customFormat="1" ht="15" x14ac:dyDescent="0.25"/>
    <row r="468" s="2" customFormat="1" ht="15" x14ac:dyDescent="0.25"/>
    <row r="469" s="2" customFormat="1" ht="15" x14ac:dyDescent="0.25"/>
    <row r="470" s="2" customFormat="1" ht="15" x14ac:dyDescent="0.25"/>
    <row r="471" s="2" customFormat="1" ht="15" x14ac:dyDescent="0.25"/>
    <row r="472" s="2" customFormat="1" ht="15" x14ac:dyDescent="0.25"/>
    <row r="473" s="2" customFormat="1" ht="15" x14ac:dyDescent="0.25"/>
    <row r="474" s="2" customFormat="1" ht="15" x14ac:dyDescent="0.25"/>
    <row r="475" s="2" customFormat="1" ht="15" x14ac:dyDescent="0.25"/>
    <row r="476" s="2" customFormat="1" ht="15" x14ac:dyDescent="0.25"/>
    <row r="477" s="2" customFormat="1" ht="15" x14ac:dyDescent="0.25"/>
    <row r="478" s="2" customFormat="1" ht="15" x14ac:dyDescent="0.25"/>
    <row r="479" s="2" customFormat="1" ht="15" x14ac:dyDescent="0.25"/>
    <row r="480" s="2" customFormat="1" ht="15" x14ac:dyDescent="0.25"/>
    <row r="481" s="2" customFormat="1" ht="15" x14ac:dyDescent="0.25"/>
    <row r="482" s="2" customFormat="1" ht="15" x14ac:dyDescent="0.25"/>
    <row r="483" s="2" customFormat="1" ht="15" x14ac:dyDescent="0.25"/>
    <row r="484" s="2" customFormat="1" ht="15" x14ac:dyDescent="0.25"/>
    <row r="485" s="2" customFormat="1" ht="15" x14ac:dyDescent="0.25"/>
    <row r="486" s="2" customFormat="1" ht="15" x14ac:dyDescent="0.25"/>
    <row r="487" s="2" customFormat="1" ht="15" x14ac:dyDescent="0.25"/>
    <row r="488" s="2" customFormat="1" ht="15" x14ac:dyDescent="0.25"/>
    <row r="489" s="2" customFormat="1" ht="15" x14ac:dyDescent="0.25"/>
    <row r="490" s="2" customFormat="1" ht="15" x14ac:dyDescent="0.25"/>
    <row r="491" s="2" customFormat="1" ht="15" x14ac:dyDescent="0.25"/>
    <row r="492" s="2" customFormat="1" ht="15" x14ac:dyDescent="0.25"/>
    <row r="493" s="2" customFormat="1" ht="15" x14ac:dyDescent="0.25"/>
    <row r="494" s="2" customFormat="1" ht="15" x14ac:dyDescent="0.25"/>
    <row r="495" s="2" customFormat="1" ht="15" x14ac:dyDescent="0.25"/>
    <row r="496" s="2" customFormat="1" ht="15" x14ac:dyDescent="0.25"/>
    <row r="497" s="2" customFormat="1" ht="15" x14ac:dyDescent="0.25"/>
    <row r="498" s="2" customFormat="1" ht="15" x14ac:dyDescent="0.25"/>
    <row r="499" s="2" customFormat="1" ht="15" x14ac:dyDescent="0.25"/>
    <row r="500" s="2" customFormat="1" ht="15" x14ac:dyDescent="0.25"/>
    <row r="501" s="2" customFormat="1" ht="15" x14ac:dyDescent="0.25"/>
    <row r="502" s="2" customFormat="1" ht="15" x14ac:dyDescent="0.25"/>
    <row r="503" s="2" customFormat="1" ht="15" x14ac:dyDescent="0.25"/>
    <row r="504" s="2" customFormat="1" ht="15" x14ac:dyDescent="0.25"/>
    <row r="505" s="2" customFormat="1" ht="15" x14ac:dyDescent="0.25"/>
    <row r="506" s="2" customFormat="1" ht="15" x14ac:dyDescent="0.25"/>
    <row r="507" s="2" customFormat="1" ht="15" x14ac:dyDescent="0.25"/>
    <row r="508" s="2" customFormat="1" ht="15" x14ac:dyDescent="0.25"/>
    <row r="509" s="2" customFormat="1" ht="15" x14ac:dyDescent="0.25"/>
    <row r="510" s="2" customFormat="1" ht="15" x14ac:dyDescent="0.25"/>
    <row r="511" s="2" customFormat="1" ht="15" x14ac:dyDescent="0.25"/>
    <row r="512" s="2" customFormat="1" ht="15" x14ac:dyDescent="0.25"/>
    <row r="513" s="2" customFormat="1" ht="15" x14ac:dyDescent="0.25"/>
    <row r="514" s="2" customFormat="1" ht="15" x14ac:dyDescent="0.25"/>
    <row r="515" s="2" customFormat="1" ht="15" x14ac:dyDescent="0.25"/>
    <row r="516" s="2" customFormat="1" ht="15" x14ac:dyDescent="0.25"/>
    <row r="517" s="2" customFormat="1" ht="15" x14ac:dyDescent="0.25"/>
    <row r="518" s="2" customFormat="1" ht="15" x14ac:dyDescent="0.25"/>
    <row r="519" s="2" customFormat="1" ht="15" x14ac:dyDescent="0.25"/>
    <row r="520" s="2" customFormat="1" ht="15" x14ac:dyDescent="0.25"/>
    <row r="521" s="2" customFormat="1" ht="15" x14ac:dyDescent="0.25"/>
    <row r="522" s="2" customFormat="1" ht="15" x14ac:dyDescent="0.25"/>
    <row r="523" s="2" customFormat="1" ht="15" x14ac:dyDescent="0.25"/>
    <row r="524" s="2" customFormat="1" ht="15" x14ac:dyDescent="0.25"/>
    <row r="525" s="2" customFormat="1" ht="15" x14ac:dyDescent="0.25"/>
    <row r="526" s="2" customFormat="1" ht="15" x14ac:dyDescent="0.25"/>
    <row r="527" s="2" customFormat="1" ht="15" x14ac:dyDescent="0.25"/>
    <row r="528" s="2" customFormat="1" ht="15" x14ac:dyDescent="0.25"/>
    <row r="529" s="2" customFormat="1" ht="15" x14ac:dyDescent="0.25"/>
    <row r="530" s="2" customFormat="1" ht="15" x14ac:dyDescent="0.25"/>
    <row r="531" s="2" customFormat="1" ht="15" x14ac:dyDescent="0.25"/>
    <row r="532" s="2" customFormat="1" ht="15" x14ac:dyDescent="0.25"/>
    <row r="533" s="2" customFormat="1" ht="15" x14ac:dyDescent="0.25"/>
    <row r="534" s="2" customFormat="1" ht="15" x14ac:dyDescent="0.25"/>
    <row r="535" s="2" customFormat="1" ht="15" x14ac:dyDescent="0.25"/>
    <row r="536" s="2" customFormat="1" ht="15" x14ac:dyDescent="0.25"/>
    <row r="537" s="2" customFormat="1" ht="15" x14ac:dyDescent="0.25"/>
    <row r="538" s="2" customFormat="1" ht="15" x14ac:dyDescent="0.25"/>
    <row r="539" s="2" customFormat="1" ht="15" x14ac:dyDescent="0.25"/>
    <row r="540" s="2" customFormat="1" ht="15" x14ac:dyDescent="0.25"/>
    <row r="541" s="2" customFormat="1" ht="15" x14ac:dyDescent="0.25"/>
    <row r="542" s="2" customFormat="1" ht="15" x14ac:dyDescent="0.25"/>
    <row r="543" s="2" customFormat="1" ht="15" x14ac:dyDescent="0.25"/>
    <row r="544" s="2" customFormat="1" ht="15" x14ac:dyDescent="0.25"/>
    <row r="545" s="2" customFormat="1" ht="15" x14ac:dyDescent="0.25"/>
    <row r="546" s="2" customFormat="1" ht="15" x14ac:dyDescent="0.25"/>
    <row r="547" s="2" customFormat="1" ht="15" x14ac:dyDescent="0.25"/>
    <row r="548" s="2" customFormat="1" ht="15" x14ac:dyDescent="0.25"/>
    <row r="549" s="2" customFormat="1" ht="15" x14ac:dyDescent="0.25"/>
    <row r="550" s="2" customFormat="1" ht="15" x14ac:dyDescent="0.25"/>
    <row r="551" s="2" customFormat="1" ht="15" x14ac:dyDescent="0.25"/>
    <row r="552" s="2" customFormat="1" ht="15" x14ac:dyDescent="0.25"/>
    <row r="553" s="2" customFormat="1" ht="15" x14ac:dyDescent="0.25"/>
    <row r="554" s="2" customFormat="1" ht="15" x14ac:dyDescent="0.25"/>
    <row r="555" s="2" customFormat="1" ht="15" x14ac:dyDescent="0.25"/>
    <row r="556" s="2" customFormat="1" ht="15" x14ac:dyDescent="0.25"/>
    <row r="557" s="2" customFormat="1" ht="15" x14ac:dyDescent="0.25"/>
    <row r="558" s="2" customFormat="1" ht="15" x14ac:dyDescent="0.25"/>
    <row r="559" s="2" customFormat="1" ht="15" x14ac:dyDescent="0.25"/>
    <row r="560" s="2" customFormat="1" ht="15" x14ac:dyDescent="0.25"/>
    <row r="561" s="2" customFormat="1" ht="15" x14ac:dyDescent="0.25"/>
    <row r="562" s="2" customFormat="1" ht="15" x14ac:dyDescent="0.25"/>
    <row r="563" s="2" customFormat="1" ht="15" x14ac:dyDescent="0.25"/>
    <row r="564" s="2" customFormat="1" ht="15" x14ac:dyDescent="0.25"/>
    <row r="565" s="2" customFormat="1" ht="15" x14ac:dyDescent="0.25"/>
    <row r="566" s="2" customFormat="1" ht="15" x14ac:dyDescent="0.25"/>
    <row r="567" s="2" customFormat="1" ht="15" x14ac:dyDescent="0.25"/>
    <row r="568" s="2" customFormat="1" ht="15" x14ac:dyDescent="0.25"/>
    <row r="569" s="2" customFormat="1" ht="15" x14ac:dyDescent="0.25"/>
    <row r="570" s="2" customFormat="1" ht="15" x14ac:dyDescent="0.25"/>
    <row r="571" s="2" customFormat="1" ht="15" x14ac:dyDescent="0.25"/>
    <row r="572" s="2" customFormat="1" ht="15" x14ac:dyDescent="0.25"/>
    <row r="573" s="2" customFormat="1" ht="15" x14ac:dyDescent="0.25"/>
    <row r="574" s="2" customFormat="1" ht="15" x14ac:dyDescent="0.25"/>
    <row r="575" s="2" customFormat="1" ht="15" x14ac:dyDescent="0.25"/>
    <row r="576" s="2" customFormat="1" ht="15" x14ac:dyDescent="0.25"/>
    <row r="577" s="2" customFormat="1" ht="15" x14ac:dyDescent="0.25"/>
    <row r="578" s="2" customFormat="1" ht="15" x14ac:dyDescent="0.25"/>
    <row r="579" s="2" customFormat="1" ht="15" x14ac:dyDescent="0.25"/>
    <row r="580" s="2" customFormat="1" ht="15" x14ac:dyDescent="0.25"/>
    <row r="581" s="2" customFormat="1" ht="15" x14ac:dyDescent="0.25"/>
    <row r="582" s="2" customFormat="1" ht="15" x14ac:dyDescent="0.25"/>
    <row r="583" s="2" customFormat="1" ht="15" x14ac:dyDescent="0.25"/>
    <row r="584" s="2" customFormat="1" ht="15" x14ac:dyDescent="0.25"/>
    <row r="585" s="2" customFormat="1" ht="15" x14ac:dyDescent="0.25"/>
    <row r="586" s="2" customFormat="1" ht="15" x14ac:dyDescent="0.25"/>
    <row r="587" s="2" customFormat="1" ht="15" x14ac:dyDescent="0.25"/>
    <row r="588" s="2" customFormat="1" ht="15" x14ac:dyDescent="0.25"/>
    <row r="589" s="2" customFormat="1" ht="15" x14ac:dyDescent="0.25"/>
    <row r="590" s="2" customFormat="1" ht="15" x14ac:dyDescent="0.25"/>
    <row r="591" s="2" customFormat="1" ht="15" x14ac:dyDescent="0.25"/>
    <row r="592" s="2" customFormat="1" ht="15" x14ac:dyDescent="0.25"/>
    <row r="593" s="2" customFormat="1" ht="15" x14ac:dyDescent="0.25"/>
    <row r="594" s="2" customFormat="1" ht="15" x14ac:dyDescent="0.25"/>
    <row r="595" s="2" customFormat="1" ht="15" x14ac:dyDescent="0.25"/>
    <row r="596" s="2" customFormat="1" ht="15" x14ac:dyDescent="0.25"/>
    <row r="597" s="2" customFormat="1" ht="15" x14ac:dyDescent="0.25"/>
    <row r="598" s="2" customFormat="1" ht="15" x14ac:dyDescent="0.25"/>
    <row r="599" s="2" customFormat="1" ht="15" x14ac:dyDescent="0.25"/>
    <row r="600" s="2" customFormat="1" ht="15" x14ac:dyDescent="0.25"/>
    <row r="601" s="2" customFormat="1" ht="15" x14ac:dyDescent="0.25"/>
    <row r="602" s="2" customFormat="1" ht="15" x14ac:dyDescent="0.25"/>
    <row r="603" s="2" customFormat="1" ht="15" x14ac:dyDescent="0.25"/>
    <row r="604" s="2" customFormat="1" ht="15" x14ac:dyDescent="0.25"/>
    <row r="605" s="2" customFormat="1" ht="15" x14ac:dyDescent="0.25"/>
    <row r="606" s="2" customFormat="1" ht="15" x14ac:dyDescent="0.25"/>
    <row r="607" s="2" customFormat="1" ht="15" x14ac:dyDescent="0.25"/>
    <row r="608" s="2" customFormat="1" ht="15" x14ac:dyDescent="0.25"/>
    <row r="609" s="2" customFormat="1" ht="15" x14ac:dyDescent="0.25"/>
    <row r="610" s="2" customFormat="1" ht="15" x14ac:dyDescent="0.25"/>
    <row r="611" s="2" customFormat="1" ht="15" x14ac:dyDescent="0.25"/>
    <row r="612" s="2" customFormat="1" ht="15" x14ac:dyDescent="0.25"/>
    <row r="613" s="2" customFormat="1" ht="15" x14ac:dyDescent="0.25"/>
    <row r="614" s="2" customFormat="1" ht="15" x14ac:dyDescent="0.25"/>
    <row r="615" s="2" customFormat="1" ht="15" x14ac:dyDescent="0.25"/>
    <row r="616" s="2" customFormat="1" ht="15" x14ac:dyDescent="0.25"/>
    <row r="617" s="2" customFormat="1" ht="15" x14ac:dyDescent="0.25"/>
    <row r="618" s="2" customFormat="1" ht="15" x14ac:dyDescent="0.25"/>
    <row r="619" s="2" customFormat="1" ht="15" x14ac:dyDescent="0.25"/>
    <row r="620" s="2" customFormat="1" ht="15" x14ac:dyDescent="0.25"/>
    <row r="621" s="2" customFormat="1" ht="15" x14ac:dyDescent="0.25"/>
    <row r="622" s="2" customFormat="1" ht="15" x14ac:dyDescent="0.25"/>
    <row r="623" s="2" customFormat="1" ht="15" x14ac:dyDescent="0.25"/>
    <row r="624" s="2" customFormat="1" ht="15" x14ac:dyDescent="0.25"/>
    <row r="625" s="2" customFormat="1" ht="15" x14ac:dyDescent="0.25"/>
    <row r="626" s="2" customFormat="1" ht="15" x14ac:dyDescent="0.25"/>
    <row r="627" s="2" customFormat="1" ht="15" x14ac:dyDescent="0.25"/>
    <row r="628" s="2" customFormat="1" ht="15" x14ac:dyDescent="0.25"/>
    <row r="629" s="2" customFormat="1" ht="15" x14ac:dyDescent="0.25"/>
    <row r="630" s="2" customFormat="1" ht="15" x14ac:dyDescent="0.25"/>
    <row r="631" s="2" customFormat="1" ht="15" x14ac:dyDescent="0.25"/>
    <row r="632" s="2" customFormat="1" ht="15" x14ac:dyDescent="0.25"/>
    <row r="633" s="2" customFormat="1" ht="15" x14ac:dyDescent="0.25"/>
    <row r="634" s="2" customFormat="1" ht="15" x14ac:dyDescent="0.25"/>
    <row r="635" s="2" customFormat="1" ht="15" x14ac:dyDescent="0.25"/>
    <row r="636" s="2" customFormat="1" ht="15" x14ac:dyDescent="0.25"/>
    <row r="637" s="2" customFormat="1" ht="15" x14ac:dyDescent="0.25"/>
    <row r="638" s="2" customFormat="1" ht="15" x14ac:dyDescent="0.25"/>
    <row r="639" s="2" customFormat="1" ht="15" x14ac:dyDescent="0.25"/>
    <row r="640" s="2" customFormat="1" ht="15" x14ac:dyDescent="0.25"/>
    <row r="641" s="2" customFormat="1" ht="15" x14ac:dyDescent="0.25"/>
    <row r="642" s="2" customFormat="1" ht="15" x14ac:dyDescent="0.25"/>
    <row r="643" s="2" customFormat="1" ht="15" x14ac:dyDescent="0.25"/>
    <row r="644" s="2" customFormat="1" ht="15" x14ac:dyDescent="0.25"/>
    <row r="645" s="2" customFormat="1" ht="15" x14ac:dyDescent="0.25"/>
    <row r="646" s="2" customFormat="1" ht="15" x14ac:dyDescent="0.25"/>
    <row r="647" s="2" customFormat="1" ht="15" x14ac:dyDescent="0.25"/>
    <row r="648" s="2" customFormat="1" ht="15" x14ac:dyDescent="0.25"/>
    <row r="649" s="2" customFormat="1" ht="15" x14ac:dyDescent="0.25"/>
    <row r="650" s="2" customFormat="1" ht="15" x14ac:dyDescent="0.25"/>
    <row r="651" s="2" customFormat="1" ht="15" x14ac:dyDescent="0.25"/>
    <row r="652" s="2" customFormat="1" ht="15" x14ac:dyDescent="0.25"/>
    <row r="653" s="2" customFormat="1" ht="15" x14ac:dyDescent="0.25"/>
    <row r="654" s="2" customFormat="1" ht="15" x14ac:dyDescent="0.25"/>
    <row r="655" s="2" customFormat="1" ht="15" x14ac:dyDescent="0.25"/>
    <row r="656" s="2" customFormat="1" ht="15" x14ac:dyDescent="0.25"/>
    <row r="657" s="2" customFormat="1" ht="15" x14ac:dyDescent="0.25"/>
    <row r="658" s="2" customFormat="1" ht="15" x14ac:dyDescent="0.25"/>
    <row r="659" s="2" customFormat="1" ht="15" x14ac:dyDescent="0.25"/>
    <row r="660" s="2" customFormat="1" ht="15" x14ac:dyDescent="0.25"/>
    <row r="661" s="2" customFormat="1" ht="15" x14ac:dyDescent="0.25"/>
    <row r="662" s="2" customFormat="1" ht="15" x14ac:dyDescent="0.25"/>
    <row r="663" s="2" customFormat="1" ht="15" x14ac:dyDescent="0.25"/>
    <row r="664" s="2" customFormat="1" ht="15" x14ac:dyDescent="0.25"/>
    <row r="665" s="2" customFormat="1" ht="15" x14ac:dyDescent="0.25"/>
    <row r="666" s="2" customFormat="1" ht="15" x14ac:dyDescent="0.25"/>
    <row r="667" s="2" customFormat="1" ht="15" x14ac:dyDescent="0.25"/>
    <row r="668" s="2" customFormat="1" ht="15" x14ac:dyDescent="0.25"/>
    <row r="669" s="2" customFormat="1" ht="15" x14ac:dyDescent="0.25"/>
    <row r="670" s="2" customFormat="1" ht="15" x14ac:dyDescent="0.25"/>
    <row r="671" s="2" customFormat="1" ht="15" x14ac:dyDescent="0.25"/>
    <row r="672" s="2" customFormat="1" ht="15" x14ac:dyDescent="0.25"/>
    <row r="673" s="2" customFormat="1" ht="15" x14ac:dyDescent="0.25"/>
    <row r="674" s="2" customFormat="1" ht="15" x14ac:dyDescent="0.25"/>
    <row r="675" s="2" customFormat="1" ht="15" x14ac:dyDescent="0.25"/>
    <row r="676" s="2" customFormat="1" ht="15" x14ac:dyDescent="0.25"/>
    <row r="677" s="2" customFormat="1" ht="15" x14ac:dyDescent="0.25"/>
    <row r="678" s="2" customFormat="1" ht="15" x14ac:dyDescent="0.25"/>
    <row r="679" s="2" customFormat="1" ht="15" x14ac:dyDescent="0.25"/>
    <row r="680" s="2" customFormat="1" ht="15" x14ac:dyDescent="0.25"/>
    <row r="681" s="2" customFormat="1" ht="15" x14ac:dyDescent="0.25"/>
    <row r="682" s="2" customFormat="1" ht="15" x14ac:dyDescent="0.25"/>
    <row r="683" s="2" customFormat="1" ht="15" x14ac:dyDescent="0.25"/>
    <row r="684" s="2" customFormat="1" ht="15" x14ac:dyDescent="0.25"/>
    <row r="685" s="2" customFormat="1" ht="15" x14ac:dyDescent="0.25"/>
    <row r="686" s="2" customFormat="1" ht="15" x14ac:dyDescent="0.25"/>
    <row r="687" s="2" customFormat="1" ht="15" x14ac:dyDescent="0.25"/>
    <row r="688" s="2" customFormat="1" ht="15" x14ac:dyDescent="0.25"/>
    <row r="689" s="2" customFormat="1" ht="15" x14ac:dyDescent="0.25"/>
    <row r="690" s="2" customFormat="1" ht="15" x14ac:dyDescent="0.25"/>
    <row r="691" s="2" customFormat="1" ht="15" x14ac:dyDescent="0.25"/>
    <row r="692" s="2" customFormat="1" ht="15" x14ac:dyDescent="0.25"/>
    <row r="693" s="2" customFormat="1" ht="15" x14ac:dyDescent="0.25"/>
    <row r="694" s="2" customFormat="1" ht="15" x14ac:dyDescent="0.25"/>
    <row r="695" s="2" customFormat="1" ht="15" x14ac:dyDescent="0.25"/>
    <row r="696" s="2" customFormat="1" ht="15" x14ac:dyDescent="0.25"/>
    <row r="697" s="2" customFormat="1" ht="15" x14ac:dyDescent="0.25"/>
    <row r="698" s="2" customFormat="1" ht="15" x14ac:dyDescent="0.25"/>
    <row r="699" s="2" customFormat="1" ht="15" x14ac:dyDescent="0.25"/>
    <row r="700" s="2" customFormat="1" ht="15" x14ac:dyDescent="0.25"/>
    <row r="701" s="2" customFormat="1" ht="15" x14ac:dyDescent="0.25"/>
    <row r="702" s="2" customFormat="1" ht="15" x14ac:dyDescent="0.25"/>
    <row r="703" s="2" customFormat="1" ht="15" x14ac:dyDescent="0.25"/>
    <row r="704" s="2" customFormat="1" ht="15" x14ac:dyDescent="0.25"/>
    <row r="705" s="2" customFormat="1" ht="15" x14ac:dyDescent="0.25"/>
    <row r="706" s="2" customFormat="1" ht="15" x14ac:dyDescent="0.25"/>
    <row r="707" s="2" customFormat="1" ht="15" x14ac:dyDescent="0.25"/>
    <row r="708" s="2" customFormat="1" ht="15" x14ac:dyDescent="0.25"/>
    <row r="709" s="2" customFormat="1" ht="15" x14ac:dyDescent="0.25"/>
    <row r="710" s="2" customFormat="1" ht="15" x14ac:dyDescent="0.25"/>
    <row r="711" s="2" customFormat="1" ht="15" x14ac:dyDescent="0.25"/>
    <row r="712" s="2" customFormat="1" ht="15" x14ac:dyDescent="0.25"/>
    <row r="713" s="2" customFormat="1" ht="15" x14ac:dyDescent="0.25"/>
    <row r="714" s="2" customFormat="1" ht="15" x14ac:dyDescent="0.25"/>
    <row r="715" s="2" customFormat="1" ht="15" x14ac:dyDescent="0.25"/>
    <row r="716" s="2" customFormat="1" ht="15" x14ac:dyDescent="0.25"/>
    <row r="717" s="2" customFormat="1" ht="15" x14ac:dyDescent="0.25"/>
    <row r="718" s="2" customFormat="1" ht="15" x14ac:dyDescent="0.25"/>
    <row r="719" s="2" customFormat="1" ht="15" x14ac:dyDescent="0.25"/>
    <row r="720" s="2" customFormat="1" ht="15" x14ac:dyDescent="0.25"/>
    <row r="721" s="2" customFormat="1" ht="15" x14ac:dyDescent="0.25"/>
    <row r="722" s="2" customFormat="1" ht="15" x14ac:dyDescent="0.25"/>
    <row r="723" s="2" customFormat="1" ht="15" x14ac:dyDescent="0.25"/>
    <row r="724" s="2" customFormat="1" ht="15" x14ac:dyDescent="0.25"/>
    <row r="725" s="2" customFormat="1" ht="15" x14ac:dyDescent="0.25"/>
    <row r="726" s="2" customFormat="1" ht="15" x14ac:dyDescent="0.25"/>
    <row r="727" s="2" customFormat="1" ht="15" x14ac:dyDescent="0.25"/>
    <row r="728" s="2" customFormat="1" ht="15" x14ac:dyDescent="0.25"/>
    <row r="729" s="2" customFormat="1" ht="15" x14ac:dyDescent="0.25"/>
    <row r="730" s="2" customFormat="1" ht="15" x14ac:dyDescent="0.25"/>
    <row r="731" s="2" customFormat="1" ht="15" x14ac:dyDescent="0.25"/>
    <row r="732" s="2" customFormat="1" ht="15" x14ac:dyDescent="0.25"/>
    <row r="733" s="2" customFormat="1" ht="15" x14ac:dyDescent="0.25"/>
    <row r="734" s="2" customFormat="1" ht="15" x14ac:dyDescent="0.25"/>
    <row r="735" s="2" customFormat="1" ht="15" x14ac:dyDescent="0.25"/>
    <row r="736" s="2" customFormat="1" ht="15" x14ac:dyDescent="0.25"/>
    <row r="737" s="2" customFormat="1" ht="15" x14ac:dyDescent="0.25"/>
    <row r="738" s="2" customFormat="1" ht="15" x14ac:dyDescent="0.25"/>
    <row r="739" s="2" customFormat="1" ht="15" x14ac:dyDescent="0.25"/>
    <row r="740" s="2" customFormat="1" ht="15" x14ac:dyDescent="0.25"/>
    <row r="741" s="2" customFormat="1" ht="15" x14ac:dyDescent="0.25"/>
    <row r="742" s="2" customFormat="1" ht="15" x14ac:dyDescent="0.25"/>
    <row r="743" s="2" customFormat="1" ht="15" x14ac:dyDescent="0.25"/>
    <row r="744" s="2" customFormat="1" ht="15" x14ac:dyDescent="0.25"/>
    <row r="745" s="2" customFormat="1" ht="15" x14ac:dyDescent="0.25"/>
    <row r="746" s="2" customFormat="1" ht="15" x14ac:dyDescent="0.25"/>
    <row r="747" s="2" customFormat="1" ht="15" x14ac:dyDescent="0.25"/>
    <row r="748" s="2" customFormat="1" ht="15" x14ac:dyDescent="0.25"/>
    <row r="749" s="2" customFormat="1" ht="15" x14ac:dyDescent="0.25"/>
    <row r="750" s="2" customFormat="1" ht="15" x14ac:dyDescent="0.25"/>
    <row r="751" s="2" customFormat="1" ht="15" x14ac:dyDescent="0.25"/>
    <row r="752" s="2" customFormat="1" ht="15" x14ac:dyDescent="0.25"/>
    <row r="753" s="2" customFormat="1" ht="15" x14ac:dyDescent="0.25"/>
    <row r="754" s="2" customFormat="1" ht="15" x14ac:dyDescent="0.25"/>
    <row r="755" s="2" customFormat="1" ht="15" x14ac:dyDescent="0.25"/>
    <row r="756" s="2" customFormat="1" ht="15" x14ac:dyDescent="0.25"/>
    <row r="757" s="2" customFormat="1" ht="15" x14ac:dyDescent="0.25"/>
    <row r="758" s="2" customFormat="1" ht="15" x14ac:dyDescent="0.25"/>
    <row r="759" s="2" customFormat="1" ht="15" x14ac:dyDescent="0.25"/>
    <row r="760" s="2" customFormat="1" ht="15" x14ac:dyDescent="0.25"/>
    <row r="761" s="2" customFormat="1" ht="15" x14ac:dyDescent="0.25"/>
    <row r="762" s="2" customFormat="1" ht="15" x14ac:dyDescent="0.25"/>
    <row r="763" s="2" customFormat="1" ht="15" x14ac:dyDescent="0.25"/>
    <row r="764" s="2" customFormat="1" ht="15" x14ac:dyDescent="0.25"/>
    <row r="765" s="2" customFormat="1" ht="15" x14ac:dyDescent="0.25"/>
    <row r="766" s="2" customFormat="1" ht="15" x14ac:dyDescent="0.25"/>
    <row r="767" s="2" customFormat="1" ht="15" x14ac:dyDescent="0.25"/>
    <row r="768" s="2" customFormat="1" ht="15" x14ac:dyDescent="0.25"/>
    <row r="769" s="2" customFormat="1" ht="15" x14ac:dyDescent="0.25"/>
    <row r="770" s="2" customFormat="1" ht="15" x14ac:dyDescent="0.25"/>
    <row r="771" s="2" customFormat="1" ht="15" x14ac:dyDescent="0.25"/>
    <row r="772" s="2" customFormat="1" ht="15" x14ac:dyDescent="0.25"/>
    <row r="773" s="2" customFormat="1" ht="15" x14ac:dyDescent="0.25"/>
    <row r="774" s="2" customFormat="1" ht="15" x14ac:dyDescent="0.25"/>
    <row r="775" s="2" customFormat="1" ht="15" x14ac:dyDescent="0.25"/>
    <row r="776" s="2" customFormat="1" ht="15" x14ac:dyDescent="0.25"/>
    <row r="777" s="2" customFormat="1" ht="15" x14ac:dyDescent="0.25"/>
    <row r="778" s="2" customFormat="1" ht="15" x14ac:dyDescent="0.25"/>
    <row r="779" s="2" customFormat="1" ht="15" x14ac:dyDescent="0.25"/>
    <row r="780" s="2" customFormat="1" ht="15" x14ac:dyDescent="0.25"/>
    <row r="781" s="2" customFormat="1" ht="15" x14ac:dyDescent="0.25"/>
    <row r="782" s="2" customFormat="1" ht="15" x14ac:dyDescent="0.25"/>
    <row r="783" s="2" customFormat="1" ht="15" x14ac:dyDescent="0.25"/>
    <row r="784" s="2" customFormat="1" ht="15" x14ac:dyDescent="0.25"/>
    <row r="785" s="2" customFormat="1" ht="15" x14ac:dyDescent="0.25"/>
    <row r="786" s="2" customFormat="1" ht="15" x14ac:dyDescent="0.25"/>
    <row r="787" s="2" customFormat="1" ht="15" x14ac:dyDescent="0.25"/>
    <row r="788" s="2" customFormat="1" ht="15" x14ac:dyDescent="0.25"/>
    <row r="789" s="2" customFormat="1" ht="15" x14ac:dyDescent="0.25"/>
    <row r="790" s="2" customFormat="1" ht="15" x14ac:dyDescent="0.25"/>
    <row r="791" s="2" customFormat="1" ht="15" x14ac:dyDescent="0.25"/>
    <row r="792" s="2" customFormat="1" ht="15" x14ac:dyDescent="0.25"/>
    <row r="793" s="2" customFormat="1" ht="15" x14ac:dyDescent="0.25"/>
    <row r="794" s="2" customFormat="1" ht="15" x14ac:dyDescent="0.25"/>
    <row r="795" s="2" customFormat="1" ht="15" x14ac:dyDescent="0.25"/>
    <row r="796" s="2" customFormat="1" ht="15" x14ac:dyDescent="0.25"/>
    <row r="797" s="2" customFormat="1" ht="15" x14ac:dyDescent="0.25"/>
    <row r="798" s="2" customFormat="1" ht="15" x14ac:dyDescent="0.25"/>
    <row r="799" s="2" customFormat="1" ht="15" x14ac:dyDescent="0.25"/>
    <row r="800" s="2" customFormat="1" ht="15" x14ac:dyDescent="0.25"/>
    <row r="801" s="2" customFormat="1" ht="15" x14ac:dyDescent="0.25"/>
    <row r="802" s="2" customFormat="1" ht="15" x14ac:dyDescent="0.25"/>
    <row r="803" s="2" customFormat="1" ht="15" x14ac:dyDescent="0.25"/>
    <row r="804" s="2" customFormat="1" ht="15" x14ac:dyDescent="0.25"/>
    <row r="805" s="2" customFormat="1" ht="15" x14ac:dyDescent="0.25"/>
    <row r="806" s="2" customFormat="1" ht="15" x14ac:dyDescent="0.25"/>
    <row r="807" s="2" customFormat="1" ht="15" x14ac:dyDescent="0.25"/>
    <row r="808" s="2" customFormat="1" ht="15" x14ac:dyDescent="0.25"/>
    <row r="809" s="2" customFormat="1" ht="15" x14ac:dyDescent="0.25"/>
    <row r="810" s="2" customFormat="1" ht="15" x14ac:dyDescent="0.25"/>
    <row r="811" s="2" customFormat="1" ht="15" x14ac:dyDescent="0.25"/>
    <row r="812" s="2" customFormat="1" ht="15" x14ac:dyDescent="0.25"/>
    <row r="813" s="2" customFormat="1" ht="15" x14ac:dyDescent="0.25"/>
    <row r="814" s="2" customFormat="1" ht="15" x14ac:dyDescent="0.25"/>
    <row r="815" s="2" customFormat="1" ht="15" x14ac:dyDescent="0.25"/>
    <row r="816" s="2" customFormat="1" ht="15" x14ac:dyDescent="0.25"/>
    <row r="817" s="2" customFormat="1" ht="15" x14ac:dyDescent="0.25"/>
    <row r="818" s="2" customFormat="1" ht="15" x14ac:dyDescent="0.25"/>
    <row r="819" s="2" customFormat="1" ht="15" x14ac:dyDescent="0.25"/>
    <row r="820" s="2" customFormat="1" ht="15" x14ac:dyDescent="0.25"/>
    <row r="821" s="2" customFormat="1" ht="15" x14ac:dyDescent="0.25"/>
    <row r="822" s="2" customFormat="1" ht="15" x14ac:dyDescent="0.25"/>
    <row r="823" s="2" customFormat="1" ht="15" x14ac:dyDescent="0.25"/>
    <row r="824" s="2" customFormat="1" ht="15" x14ac:dyDescent="0.25"/>
    <row r="825" s="2" customFormat="1" ht="15" x14ac:dyDescent="0.25"/>
    <row r="826" s="2" customFormat="1" ht="15" x14ac:dyDescent="0.25"/>
    <row r="827" s="2" customFormat="1" ht="15" x14ac:dyDescent="0.25"/>
    <row r="828" s="2" customFormat="1" ht="15" x14ac:dyDescent="0.25"/>
    <row r="829" s="2" customFormat="1" ht="15" x14ac:dyDescent="0.25"/>
    <row r="830" s="2" customFormat="1" ht="15" x14ac:dyDescent="0.25"/>
    <row r="831" s="2" customFormat="1" ht="15" x14ac:dyDescent="0.25"/>
    <row r="832" s="2" customFormat="1" ht="15" x14ac:dyDescent="0.25"/>
    <row r="833" s="2" customFormat="1" ht="15" x14ac:dyDescent="0.25"/>
    <row r="834" s="2" customFormat="1" ht="15" x14ac:dyDescent="0.25"/>
    <row r="835" s="2" customFormat="1" ht="15" x14ac:dyDescent="0.25"/>
    <row r="836" s="2" customFormat="1" ht="15" x14ac:dyDescent="0.25"/>
    <row r="837" s="2" customFormat="1" ht="15" x14ac:dyDescent="0.25"/>
    <row r="838" s="2" customFormat="1" ht="15" x14ac:dyDescent="0.25"/>
    <row r="839" s="2" customFormat="1" ht="15" x14ac:dyDescent="0.25"/>
    <row r="840" s="2" customFormat="1" ht="15" x14ac:dyDescent="0.25"/>
    <row r="841" s="2" customFormat="1" ht="15" x14ac:dyDescent="0.25"/>
    <row r="842" s="2" customFormat="1" ht="15" x14ac:dyDescent="0.25"/>
    <row r="843" s="2" customFormat="1" ht="15" x14ac:dyDescent="0.25"/>
    <row r="844" s="2" customFormat="1" ht="15" x14ac:dyDescent="0.25"/>
    <row r="845" s="2" customFormat="1" ht="15" x14ac:dyDescent="0.25"/>
    <row r="846" s="2" customFormat="1" ht="15" x14ac:dyDescent="0.25"/>
    <row r="847" s="2" customFormat="1" ht="15" x14ac:dyDescent="0.25"/>
    <row r="848" s="2" customFormat="1" ht="15" x14ac:dyDescent="0.25"/>
    <row r="849" s="2" customFormat="1" ht="15" x14ac:dyDescent="0.25"/>
    <row r="850" s="2" customFormat="1" ht="15" x14ac:dyDescent="0.25"/>
    <row r="851" s="2" customFormat="1" ht="15" x14ac:dyDescent="0.25"/>
    <row r="852" s="2" customFormat="1" ht="15" x14ac:dyDescent="0.25"/>
    <row r="853" s="2" customFormat="1" ht="15" x14ac:dyDescent="0.25"/>
    <row r="854" s="2" customFormat="1" ht="15" x14ac:dyDescent="0.25"/>
    <row r="855" s="2" customFormat="1" ht="15" x14ac:dyDescent="0.25"/>
    <row r="856" s="2" customFormat="1" ht="15" x14ac:dyDescent="0.25"/>
    <row r="857" s="2" customFormat="1" ht="15" x14ac:dyDescent="0.25"/>
    <row r="858" s="2" customFormat="1" ht="15" x14ac:dyDescent="0.25"/>
    <row r="859" s="2" customFormat="1" ht="15" x14ac:dyDescent="0.25"/>
    <row r="860" s="2" customFormat="1" ht="15" x14ac:dyDescent="0.25"/>
    <row r="861" s="2" customFormat="1" ht="15" x14ac:dyDescent="0.25"/>
    <row r="862" s="2" customFormat="1" ht="15" x14ac:dyDescent="0.25"/>
    <row r="863" s="2" customFormat="1" ht="15" x14ac:dyDescent="0.25"/>
    <row r="864" s="2" customFormat="1" ht="15" x14ac:dyDescent="0.25"/>
    <row r="865" s="2" customFormat="1" ht="15" x14ac:dyDescent="0.25"/>
    <row r="866" s="2" customFormat="1" ht="15" x14ac:dyDescent="0.25"/>
    <row r="867" s="2" customFormat="1" ht="15" x14ac:dyDescent="0.25"/>
    <row r="868" s="2" customFormat="1" ht="15" x14ac:dyDescent="0.25"/>
    <row r="869" s="2" customFormat="1" ht="15" x14ac:dyDescent="0.25"/>
    <row r="870" s="2" customFormat="1" ht="15" x14ac:dyDescent="0.25"/>
    <row r="871" s="2" customFormat="1" ht="15" x14ac:dyDescent="0.25"/>
    <row r="872" s="2" customFormat="1" ht="15" x14ac:dyDescent="0.25"/>
    <row r="873" s="2" customFormat="1" ht="15" x14ac:dyDescent="0.25"/>
    <row r="874" s="2" customFormat="1" ht="15" x14ac:dyDescent="0.25"/>
    <row r="875" s="2" customFormat="1" ht="15" x14ac:dyDescent="0.25"/>
    <row r="876" s="2" customFormat="1" ht="15" x14ac:dyDescent="0.25"/>
    <row r="877" s="2" customFormat="1" ht="15" x14ac:dyDescent="0.25"/>
    <row r="878" s="2" customFormat="1" ht="15" x14ac:dyDescent="0.25"/>
    <row r="879" s="2" customFormat="1" ht="15" x14ac:dyDescent="0.25"/>
    <row r="880" s="2" customFormat="1" ht="15" x14ac:dyDescent="0.25"/>
    <row r="881" s="2" customFormat="1" ht="15" x14ac:dyDescent="0.25"/>
    <row r="882" s="2" customFormat="1" ht="15" x14ac:dyDescent="0.25"/>
    <row r="883" s="2" customFormat="1" ht="15" x14ac:dyDescent="0.25"/>
    <row r="884" s="2" customFormat="1" ht="15" x14ac:dyDescent="0.25"/>
    <row r="885" s="2" customFormat="1" ht="15" x14ac:dyDescent="0.25"/>
    <row r="886" s="2" customFormat="1" ht="15" x14ac:dyDescent="0.25"/>
    <row r="887" s="2" customFormat="1" ht="15" x14ac:dyDescent="0.25"/>
    <row r="888" s="2" customFormat="1" ht="15" x14ac:dyDescent="0.25"/>
    <row r="889" s="2" customFormat="1" ht="15" x14ac:dyDescent="0.25"/>
    <row r="890" s="2" customFormat="1" ht="15" x14ac:dyDescent="0.25"/>
    <row r="891" s="2" customFormat="1" ht="15" x14ac:dyDescent="0.25"/>
    <row r="892" s="2" customFormat="1" ht="15" x14ac:dyDescent="0.25"/>
    <row r="893" s="2" customFormat="1" ht="15" x14ac:dyDescent="0.25"/>
    <row r="894" s="2" customFormat="1" ht="15" x14ac:dyDescent="0.25"/>
    <row r="895" s="2" customFormat="1" ht="15" x14ac:dyDescent="0.25"/>
    <row r="896" s="2" customFormat="1" ht="15" x14ac:dyDescent="0.25"/>
    <row r="897" s="2" customFormat="1" ht="15" x14ac:dyDescent="0.25"/>
    <row r="898" s="2" customFormat="1" ht="15" x14ac:dyDescent="0.25"/>
    <row r="899" s="2" customFormat="1" ht="15" x14ac:dyDescent="0.25"/>
    <row r="900" s="2" customFormat="1" ht="15" x14ac:dyDescent="0.25"/>
    <row r="901" s="2" customFormat="1" ht="15" x14ac:dyDescent="0.25"/>
    <row r="902" s="2" customFormat="1" ht="15" x14ac:dyDescent="0.25"/>
    <row r="903" s="2" customFormat="1" ht="15" x14ac:dyDescent="0.25"/>
    <row r="904" s="2" customFormat="1" ht="15" x14ac:dyDescent="0.25"/>
    <row r="905" s="2" customFormat="1" ht="15" x14ac:dyDescent="0.25"/>
    <row r="906" s="2" customFormat="1" ht="15" x14ac:dyDescent="0.25"/>
    <row r="907" s="2" customFormat="1" ht="15" x14ac:dyDescent="0.25"/>
    <row r="908" s="2" customFormat="1" ht="15" x14ac:dyDescent="0.25"/>
    <row r="909" s="2" customFormat="1" ht="15" x14ac:dyDescent="0.25"/>
    <row r="910" s="2" customFormat="1" ht="15" x14ac:dyDescent="0.25"/>
    <row r="911" s="2" customFormat="1" ht="15" x14ac:dyDescent="0.25"/>
    <row r="912" s="2" customFormat="1" ht="15" x14ac:dyDescent="0.25"/>
    <row r="913" s="2" customFormat="1" ht="15" x14ac:dyDescent="0.25"/>
    <row r="914" s="2" customFormat="1" ht="15" x14ac:dyDescent="0.25"/>
    <row r="915" s="2" customFormat="1" ht="15" x14ac:dyDescent="0.25"/>
    <row r="916" s="2" customFormat="1" ht="15" x14ac:dyDescent="0.25"/>
    <row r="917" s="2" customFormat="1" ht="15" x14ac:dyDescent="0.25"/>
    <row r="918" s="2" customFormat="1" ht="15" x14ac:dyDescent="0.25"/>
    <row r="919" s="2" customFormat="1" ht="15" x14ac:dyDescent="0.25"/>
    <row r="920" s="2" customFormat="1" ht="15" x14ac:dyDescent="0.25"/>
    <row r="921" s="2" customFormat="1" ht="15" x14ac:dyDescent="0.25"/>
    <row r="922" s="2" customFormat="1" ht="15" x14ac:dyDescent="0.25"/>
    <row r="923" s="2" customFormat="1" ht="15" x14ac:dyDescent="0.25"/>
    <row r="924" s="2" customFormat="1" ht="15" x14ac:dyDescent="0.25"/>
    <row r="925" s="2" customFormat="1" ht="15" x14ac:dyDescent="0.25"/>
    <row r="926" s="2" customFormat="1" ht="15" x14ac:dyDescent="0.25"/>
    <row r="927" s="2" customFormat="1" ht="15" x14ac:dyDescent="0.25"/>
    <row r="928" s="2" customFormat="1" ht="15" x14ac:dyDescent="0.25"/>
    <row r="929" s="2" customFormat="1" ht="15" x14ac:dyDescent="0.25"/>
    <row r="930" s="2" customFormat="1" ht="15" x14ac:dyDescent="0.25"/>
    <row r="931" s="2" customFormat="1" ht="15" x14ac:dyDescent="0.25"/>
    <row r="932" s="2" customFormat="1" ht="15" x14ac:dyDescent="0.25"/>
    <row r="933" s="2" customFormat="1" ht="15" x14ac:dyDescent="0.25"/>
    <row r="934" s="2" customFormat="1" ht="15" x14ac:dyDescent="0.25"/>
    <row r="935" s="2" customFormat="1" ht="15" x14ac:dyDescent="0.25"/>
    <row r="936" s="2" customFormat="1" ht="15" x14ac:dyDescent="0.25"/>
    <row r="937" s="2" customFormat="1" ht="15" x14ac:dyDescent="0.25"/>
    <row r="938" s="2" customFormat="1" ht="15" x14ac:dyDescent="0.25"/>
    <row r="939" s="2" customFormat="1" ht="15" x14ac:dyDescent="0.25"/>
    <row r="940" s="2" customFormat="1" ht="15" x14ac:dyDescent="0.25"/>
    <row r="941" s="2" customFormat="1" ht="15" x14ac:dyDescent="0.25"/>
    <row r="942" s="2" customFormat="1" ht="15" x14ac:dyDescent="0.25"/>
    <row r="943" s="2" customFormat="1" ht="15" x14ac:dyDescent="0.25"/>
    <row r="944" s="2" customFormat="1" ht="15" x14ac:dyDescent="0.25"/>
    <row r="945" s="2" customFormat="1" ht="15" x14ac:dyDescent="0.25"/>
    <row r="946" s="2" customFormat="1" ht="15" x14ac:dyDescent="0.25"/>
    <row r="947" s="2" customFormat="1" ht="15" x14ac:dyDescent="0.25"/>
    <row r="948" s="2" customFormat="1" ht="15" x14ac:dyDescent="0.25"/>
    <row r="949" s="2" customFormat="1" ht="15" x14ac:dyDescent="0.25"/>
    <row r="950" s="2" customFormat="1" ht="15" x14ac:dyDescent="0.25"/>
    <row r="951" s="2" customFormat="1" ht="15" x14ac:dyDescent="0.25"/>
    <row r="952" s="2" customFormat="1" ht="15" x14ac:dyDescent="0.25"/>
    <row r="953" s="2" customFormat="1" ht="15" x14ac:dyDescent="0.25"/>
    <row r="954" s="2" customFormat="1" ht="15" x14ac:dyDescent="0.25"/>
    <row r="955" s="2" customFormat="1" ht="15" x14ac:dyDescent="0.25"/>
    <row r="956" s="2" customFormat="1" ht="15" x14ac:dyDescent="0.25"/>
    <row r="957" s="2" customFormat="1" ht="15" x14ac:dyDescent="0.25"/>
    <row r="958" s="2" customFormat="1" ht="15" x14ac:dyDescent="0.25"/>
    <row r="959" s="2" customFormat="1" ht="15" x14ac:dyDescent="0.25"/>
    <row r="960" s="2" customFormat="1" ht="15" x14ac:dyDescent="0.25"/>
    <row r="961" s="2" customFormat="1" ht="15" x14ac:dyDescent="0.25"/>
    <row r="962" s="2" customFormat="1" ht="15" x14ac:dyDescent="0.25"/>
    <row r="963" s="2" customFormat="1" ht="15" x14ac:dyDescent="0.25"/>
    <row r="964" s="2" customFormat="1" ht="15" x14ac:dyDescent="0.25"/>
    <row r="965" s="2" customFormat="1" ht="15" x14ac:dyDescent="0.25"/>
    <row r="966" s="2" customFormat="1" ht="15" x14ac:dyDescent="0.25"/>
    <row r="967" s="2" customFormat="1" ht="15" x14ac:dyDescent="0.25"/>
    <row r="968" s="2" customFormat="1" ht="15" x14ac:dyDescent="0.25"/>
    <row r="969" s="2" customFormat="1" ht="15" x14ac:dyDescent="0.25"/>
    <row r="970" s="2" customFormat="1" ht="15" x14ac:dyDescent="0.25"/>
    <row r="971" s="2" customFormat="1" ht="15" x14ac:dyDescent="0.25"/>
    <row r="972" s="2" customFormat="1" ht="15" x14ac:dyDescent="0.25"/>
    <row r="973" s="2" customFormat="1" ht="15" x14ac:dyDescent="0.25"/>
    <row r="974" s="2" customFormat="1" ht="15" x14ac:dyDescent="0.25"/>
    <row r="975" s="2" customFormat="1" ht="15" x14ac:dyDescent="0.25"/>
    <row r="976" s="2" customFormat="1" ht="15" x14ac:dyDescent="0.25"/>
    <row r="977" s="2" customFormat="1" ht="15" x14ac:dyDescent="0.25"/>
    <row r="978" s="2" customFormat="1" ht="15" x14ac:dyDescent="0.25"/>
    <row r="979" s="2" customFormat="1" ht="15" x14ac:dyDescent="0.25"/>
    <row r="980" s="2" customFormat="1" ht="15" x14ac:dyDescent="0.25"/>
    <row r="981" s="2" customFormat="1" ht="15" x14ac:dyDescent="0.25"/>
    <row r="982" s="2" customFormat="1" ht="15" x14ac:dyDescent="0.25"/>
    <row r="983" s="2" customFormat="1" ht="15" x14ac:dyDescent="0.25"/>
    <row r="984" s="2" customFormat="1" ht="15" x14ac:dyDescent="0.25"/>
    <row r="985" s="2" customFormat="1" ht="15" x14ac:dyDescent="0.25"/>
    <row r="986" s="2" customFormat="1" ht="15" x14ac:dyDescent="0.25"/>
    <row r="987" s="2" customFormat="1" ht="15" x14ac:dyDescent="0.25"/>
    <row r="988" s="2" customFormat="1" ht="15" x14ac:dyDescent="0.25"/>
    <row r="989" s="2" customFormat="1" ht="15" x14ac:dyDescent="0.25"/>
    <row r="990" s="2" customFormat="1" ht="15" x14ac:dyDescent="0.25"/>
    <row r="991" s="2" customFormat="1" ht="15" x14ac:dyDescent="0.25"/>
    <row r="992" s="2" customFormat="1" ht="15" x14ac:dyDescent="0.25"/>
    <row r="993" s="2" customFormat="1" ht="15" x14ac:dyDescent="0.25"/>
    <row r="994" s="2" customFormat="1" ht="15" x14ac:dyDescent="0.25"/>
    <row r="995" s="2" customFormat="1" ht="15" x14ac:dyDescent="0.25"/>
    <row r="996" s="2" customFormat="1" ht="15" x14ac:dyDescent="0.25"/>
    <row r="997" s="2" customFormat="1" ht="15" x14ac:dyDescent="0.25"/>
    <row r="998" s="2" customFormat="1" ht="15" x14ac:dyDescent="0.25"/>
    <row r="999" s="2" customFormat="1" ht="15" x14ac:dyDescent="0.25"/>
    <row r="1000" s="2" customFormat="1" ht="15" x14ac:dyDescent="0.25"/>
    <row r="1001" s="2" customFormat="1" ht="15" x14ac:dyDescent="0.25"/>
    <row r="1002" s="2" customFormat="1" ht="15" x14ac:dyDescent="0.25"/>
    <row r="1003" s="2" customFormat="1" ht="15" x14ac:dyDescent="0.25"/>
    <row r="1004" s="2" customFormat="1" ht="15" x14ac:dyDescent="0.25"/>
    <row r="1005" s="2" customFormat="1" ht="15" x14ac:dyDescent="0.25"/>
    <row r="1006" s="2" customFormat="1" ht="15" x14ac:dyDescent="0.25"/>
    <row r="1007" s="2" customFormat="1" ht="15" x14ac:dyDescent="0.25"/>
    <row r="1008" s="2" customFormat="1" ht="15" x14ac:dyDescent="0.25"/>
    <row r="1009" s="2" customFormat="1" ht="15" x14ac:dyDescent="0.25"/>
    <row r="1010" s="2" customFormat="1" ht="15" x14ac:dyDescent="0.25"/>
    <row r="1011" s="2" customFormat="1" ht="15" x14ac:dyDescent="0.25"/>
    <row r="1012" s="2" customFormat="1" ht="15" x14ac:dyDescent="0.25"/>
    <row r="1013" s="2" customFormat="1" ht="15" x14ac:dyDescent="0.25"/>
    <row r="1014" s="2" customFormat="1" ht="15" x14ac:dyDescent="0.25"/>
    <row r="1015" s="2" customFormat="1" ht="15" x14ac:dyDescent="0.25"/>
    <row r="1016" s="2" customFormat="1" ht="15" x14ac:dyDescent="0.25"/>
    <row r="1017" s="2" customFormat="1" ht="15" x14ac:dyDescent="0.25"/>
    <row r="1018" s="2" customFormat="1" ht="15" x14ac:dyDescent="0.25"/>
    <row r="1019" s="2" customFormat="1" ht="15" x14ac:dyDescent="0.25"/>
    <row r="1020" s="2" customFormat="1" ht="15" x14ac:dyDescent="0.25"/>
    <row r="1021" s="2" customFormat="1" ht="15" x14ac:dyDescent="0.25"/>
    <row r="1022" s="2" customFormat="1" ht="15" x14ac:dyDescent="0.25"/>
    <row r="1023" s="2" customFormat="1" ht="15" x14ac:dyDescent="0.25"/>
    <row r="1024" s="2" customFormat="1" ht="15" x14ac:dyDescent="0.25"/>
    <row r="1025" s="2" customFormat="1" ht="15" x14ac:dyDescent="0.25"/>
    <row r="1026" s="2" customFormat="1" ht="15" x14ac:dyDescent="0.25"/>
    <row r="1027" s="2" customFormat="1" ht="15" x14ac:dyDescent="0.25"/>
    <row r="1028" s="2" customFormat="1" ht="15" x14ac:dyDescent="0.25"/>
    <row r="1029" s="2" customFormat="1" ht="15" x14ac:dyDescent="0.25"/>
    <row r="1030" s="2" customFormat="1" ht="15" x14ac:dyDescent="0.25"/>
    <row r="1031" s="2" customFormat="1" ht="15" x14ac:dyDescent="0.25"/>
    <row r="1032" s="2" customFormat="1" ht="15" x14ac:dyDescent="0.25"/>
    <row r="1033" s="2" customFormat="1" ht="15" x14ac:dyDescent="0.25"/>
    <row r="1034" s="2" customFormat="1" ht="15" x14ac:dyDescent="0.25"/>
    <row r="1035" s="2" customFormat="1" ht="15" x14ac:dyDescent="0.25"/>
    <row r="1036" s="2" customFormat="1" ht="15" x14ac:dyDescent="0.25"/>
    <row r="1037" s="2" customFormat="1" ht="15" x14ac:dyDescent="0.25"/>
    <row r="1038" s="2" customFormat="1" ht="15" x14ac:dyDescent="0.25"/>
    <row r="1039" s="2" customFormat="1" ht="15" x14ac:dyDescent="0.25"/>
    <row r="1040" s="2" customFormat="1" ht="15" x14ac:dyDescent="0.25"/>
    <row r="1041" s="2" customFormat="1" ht="15" x14ac:dyDescent="0.25"/>
    <row r="1042" s="2" customFormat="1" ht="15" x14ac:dyDescent="0.25"/>
    <row r="1043" s="2" customFormat="1" ht="15" x14ac:dyDescent="0.25"/>
    <row r="1044" s="2" customFormat="1" ht="15" x14ac:dyDescent="0.25"/>
    <row r="1045" s="2" customFormat="1" ht="15" x14ac:dyDescent="0.25"/>
    <row r="1046" s="2" customFormat="1" ht="15" x14ac:dyDescent="0.25"/>
    <row r="1047" s="2" customFormat="1" ht="15" x14ac:dyDescent="0.25"/>
    <row r="1048" s="2" customFormat="1" ht="15" x14ac:dyDescent="0.25"/>
    <row r="1049" s="2" customFormat="1" ht="15" x14ac:dyDescent="0.25"/>
    <row r="1050" s="2" customFormat="1" ht="15" x14ac:dyDescent="0.25"/>
    <row r="1051" s="2" customFormat="1" ht="15" x14ac:dyDescent="0.25"/>
    <row r="1052" s="2" customFormat="1" ht="15" x14ac:dyDescent="0.25"/>
    <row r="1053" s="2" customFormat="1" ht="15" x14ac:dyDescent="0.25"/>
    <row r="1054" s="2" customFormat="1" ht="15" x14ac:dyDescent="0.25"/>
    <row r="1055" s="2" customFormat="1" ht="15" x14ac:dyDescent="0.25"/>
    <row r="1056" s="2" customFormat="1" ht="15" x14ac:dyDescent="0.25"/>
    <row r="1057" s="2" customFormat="1" ht="15" x14ac:dyDescent="0.25"/>
    <row r="1058" s="2" customFormat="1" ht="15" x14ac:dyDescent="0.25"/>
    <row r="1059" s="2" customFormat="1" ht="15" x14ac:dyDescent="0.25"/>
    <row r="1060" s="2" customFormat="1" ht="15" x14ac:dyDescent="0.25"/>
    <row r="1061" s="2" customFormat="1" ht="15" x14ac:dyDescent="0.25"/>
    <row r="1062" s="2" customFormat="1" ht="15" x14ac:dyDescent="0.25"/>
    <row r="1063" s="2" customFormat="1" ht="15" x14ac:dyDescent="0.25"/>
    <row r="1064" s="2" customFormat="1" ht="15" x14ac:dyDescent="0.25"/>
    <row r="1065" s="2" customFormat="1" ht="15" x14ac:dyDescent="0.25"/>
    <row r="1066" s="2" customFormat="1" ht="15" x14ac:dyDescent="0.25"/>
    <row r="1067" s="2" customFormat="1" ht="15" x14ac:dyDescent="0.25"/>
    <row r="1068" s="2" customFormat="1" ht="15" x14ac:dyDescent="0.25"/>
    <row r="1069" s="2" customFormat="1" ht="15" x14ac:dyDescent="0.25"/>
    <row r="1070" s="2" customFormat="1" ht="15" x14ac:dyDescent="0.25"/>
    <row r="1071" s="2" customFormat="1" ht="15" x14ac:dyDescent="0.25"/>
    <row r="1072" s="2" customFormat="1" ht="15" x14ac:dyDescent="0.25"/>
    <row r="1073" s="2" customFormat="1" ht="15" x14ac:dyDescent="0.25"/>
    <row r="1074" s="2" customFormat="1" ht="15" x14ac:dyDescent="0.25"/>
    <row r="1075" s="2" customFormat="1" ht="15" x14ac:dyDescent="0.25"/>
    <row r="1076" s="2" customFormat="1" ht="15" x14ac:dyDescent="0.25"/>
    <row r="1077" s="2" customFormat="1" ht="15" x14ac:dyDescent="0.25"/>
    <row r="1078" s="2" customFormat="1" ht="15" x14ac:dyDescent="0.25"/>
    <row r="1079" s="2" customFormat="1" ht="15" x14ac:dyDescent="0.25"/>
    <row r="1080" s="2" customFormat="1" ht="15" x14ac:dyDescent="0.25"/>
    <row r="1081" s="2" customFormat="1" ht="15" x14ac:dyDescent="0.25"/>
    <row r="1082" s="2" customFormat="1" ht="15" x14ac:dyDescent="0.25"/>
    <row r="1083" s="2" customFormat="1" ht="15" x14ac:dyDescent="0.25"/>
    <row r="1084" s="2" customFormat="1" ht="15" x14ac:dyDescent="0.25"/>
    <row r="1085" s="2" customFormat="1" ht="15" x14ac:dyDescent="0.25"/>
    <row r="1086" s="2" customFormat="1" ht="15" x14ac:dyDescent="0.25"/>
    <row r="1087" s="2" customFormat="1" ht="15" x14ac:dyDescent="0.25"/>
    <row r="1088" s="2" customFormat="1" ht="15" x14ac:dyDescent="0.25"/>
    <row r="1089" s="2" customFormat="1" ht="15" x14ac:dyDescent="0.25"/>
    <row r="1090" s="2" customFormat="1" ht="15" x14ac:dyDescent="0.25"/>
    <row r="1091" s="2" customFormat="1" ht="15" x14ac:dyDescent="0.25"/>
    <row r="1092" s="2" customFormat="1" ht="15" x14ac:dyDescent="0.25"/>
    <row r="1093" s="2" customFormat="1" ht="15" x14ac:dyDescent="0.25"/>
    <row r="1094" s="2" customFormat="1" ht="15" x14ac:dyDescent="0.25"/>
    <row r="1095" s="2" customFormat="1" ht="15" x14ac:dyDescent="0.25"/>
    <row r="1096" s="2" customFormat="1" ht="15" x14ac:dyDescent="0.25"/>
    <row r="1097" s="2" customFormat="1" ht="15" x14ac:dyDescent="0.25"/>
    <row r="1098" s="2" customFormat="1" ht="15" x14ac:dyDescent="0.25"/>
    <row r="1099" s="2" customFormat="1" ht="15" x14ac:dyDescent="0.25"/>
    <row r="1100" s="2" customFormat="1" ht="15" x14ac:dyDescent="0.25"/>
    <row r="1101" s="2" customFormat="1" ht="15" x14ac:dyDescent="0.25"/>
    <row r="1102" s="2" customFormat="1" ht="15" x14ac:dyDescent="0.25"/>
    <row r="1103" s="2" customFormat="1" ht="15" x14ac:dyDescent="0.25"/>
    <row r="1104" s="2" customFormat="1" ht="15" x14ac:dyDescent="0.25"/>
    <row r="1105" s="2" customFormat="1" ht="15" x14ac:dyDescent="0.25"/>
    <row r="1106" s="2" customFormat="1" ht="15" x14ac:dyDescent="0.25"/>
    <row r="1107" s="2" customFormat="1" ht="15" x14ac:dyDescent="0.25"/>
    <row r="1108" s="2" customFormat="1" ht="15" x14ac:dyDescent="0.25"/>
    <row r="1109" s="2" customFormat="1" ht="15" x14ac:dyDescent="0.25"/>
    <row r="1110" s="2" customFormat="1" ht="15" x14ac:dyDescent="0.25"/>
    <row r="1111" s="2" customFormat="1" ht="15" x14ac:dyDescent="0.25"/>
    <row r="1112" s="2" customFormat="1" ht="15" x14ac:dyDescent="0.25"/>
    <row r="1113" s="2" customFormat="1" ht="15" x14ac:dyDescent="0.25"/>
    <row r="1114" s="2" customFormat="1" ht="15" x14ac:dyDescent="0.25"/>
    <row r="1115" s="2" customFormat="1" ht="15" x14ac:dyDescent="0.25"/>
    <row r="1116" s="2" customFormat="1" ht="15" x14ac:dyDescent="0.25"/>
    <row r="1117" s="2" customFormat="1" ht="15" x14ac:dyDescent="0.25"/>
    <row r="1118" s="2" customFormat="1" ht="15" x14ac:dyDescent="0.25"/>
    <row r="1119" s="2" customFormat="1" ht="15" x14ac:dyDescent="0.25"/>
    <row r="1120" s="2" customFormat="1" ht="15" x14ac:dyDescent="0.25"/>
    <row r="1121" s="2" customFormat="1" ht="15" x14ac:dyDescent="0.25"/>
    <row r="1122" s="2" customFormat="1" ht="15" x14ac:dyDescent="0.25"/>
    <row r="1123" s="2" customFormat="1" ht="15" x14ac:dyDescent="0.25"/>
    <row r="1124" s="2" customFormat="1" ht="15" x14ac:dyDescent="0.25"/>
    <row r="1125" s="2" customFormat="1" ht="15" x14ac:dyDescent="0.25"/>
    <row r="1126" s="2" customFormat="1" ht="15" x14ac:dyDescent="0.25"/>
    <row r="1127" s="2" customFormat="1" ht="15" x14ac:dyDescent="0.25"/>
    <row r="1128" s="2" customFormat="1" ht="15" x14ac:dyDescent="0.25"/>
    <row r="1129" s="2" customFormat="1" ht="15" x14ac:dyDescent="0.25"/>
    <row r="1130" s="2" customFormat="1" ht="15" x14ac:dyDescent="0.25"/>
    <row r="1131" s="2" customFormat="1" ht="15" x14ac:dyDescent="0.25"/>
    <row r="1132" s="2" customFormat="1" ht="15" x14ac:dyDescent="0.25"/>
    <row r="1133" s="2" customFormat="1" ht="15" x14ac:dyDescent="0.25"/>
    <row r="1134" s="2" customFormat="1" ht="15" x14ac:dyDescent="0.25"/>
    <row r="1135" s="2" customFormat="1" ht="15" x14ac:dyDescent="0.25"/>
    <row r="1136" s="2" customFormat="1" ht="15" x14ac:dyDescent="0.25"/>
    <row r="1137" s="2" customFormat="1" ht="15" x14ac:dyDescent="0.25"/>
    <row r="1138" s="2" customFormat="1" ht="15" x14ac:dyDescent="0.25"/>
    <row r="1139" s="2" customFormat="1" ht="15" x14ac:dyDescent="0.25"/>
    <row r="1140" s="2" customFormat="1" ht="15" x14ac:dyDescent="0.25"/>
    <row r="1141" s="2" customFormat="1" ht="15" x14ac:dyDescent="0.25"/>
    <row r="1142" s="2" customFormat="1" ht="15" x14ac:dyDescent="0.25"/>
    <row r="1143" s="2" customFormat="1" ht="15" x14ac:dyDescent="0.25"/>
    <row r="1144" s="2" customFormat="1" ht="15" x14ac:dyDescent="0.25"/>
    <row r="1145" s="2" customFormat="1" ht="15" x14ac:dyDescent="0.25"/>
    <row r="1146" s="2" customFormat="1" ht="15" x14ac:dyDescent="0.25"/>
    <row r="1147" s="2" customFormat="1" ht="15" x14ac:dyDescent="0.25"/>
    <row r="1148" s="2" customFormat="1" ht="15" x14ac:dyDescent="0.25"/>
    <row r="1149" s="2" customFormat="1" ht="15" x14ac:dyDescent="0.25"/>
    <row r="1150" s="2" customFormat="1" ht="15" x14ac:dyDescent="0.25"/>
    <row r="1151" s="2" customFormat="1" ht="15" x14ac:dyDescent="0.25"/>
    <row r="1152" s="2" customFormat="1" ht="15" x14ac:dyDescent="0.25"/>
    <row r="1153" s="2" customFormat="1" ht="15" x14ac:dyDescent="0.25"/>
    <row r="1154" s="2" customFormat="1" ht="15" x14ac:dyDescent="0.25"/>
    <row r="1155" s="2" customFormat="1" ht="15" x14ac:dyDescent="0.25"/>
    <row r="1156" s="2" customFormat="1" ht="15" x14ac:dyDescent="0.25"/>
    <row r="1157" s="2" customFormat="1" ht="15" x14ac:dyDescent="0.25"/>
    <row r="1158" s="2" customFormat="1" ht="15" x14ac:dyDescent="0.25"/>
    <row r="1159" s="2" customFormat="1" ht="15" x14ac:dyDescent="0.25"/>
    <row r="1160" s="2" customFormat="1" ht="15" x14ac:dyDescent="0.25"/>
    <row r="1161" s="2" customFormat="1" ht="15" x14ac:dyDescent="0.25"/>
    <row r="1162" s="2" customFormat="1" ht="15" x14ac:dyDescent="0.25"/>
    <row r="1163" s="2" customFormat="1" ht="15" x14ac:dyDescent="0.25"/>
    <row r="1164" s="2" customFormat="1" ht="15" x14ac:dyDescent="0.25"/>
    <row r="1165" s="2" customFormat="1" ht="15" x14ac:dyDescent="0.25"/>
    <row r="1166" s="2" customFormat="1" ht="15" x14ac:dyDescent="0.25"/>
    <row r="1167" s="2" customFormat="1" ht="15" x14ac:dyDescent="0.25"/>
    <row r="1168" s="2" customFormat="1" ht="15" x14ac:dyDescent="0.25"/>
    <row r="1169" s="2" customFormat="1" ht="15" x14ac:dyDescent="0.25"/>
    <row r="1170" s="2" customFormat="1" ht="15" x14ac:dyDescent="0.25"/>
    <row r="1171" s="2" customFormat="1" ht="15" x14ac:dyDescent="0.25"/>
    <row r="1172" s="2" customFormat="1" ht="15" x14ac:dyDescent="0.25"/>
    <row r="1173" s="2" customFormat="1" ht="15" x14ac:dyDescent="0.25"/>
    <row r="1174" s="2" customFormat="1" ht="15" x14ac:dyDescent="0.25"/>
    <row r="1175" s="2" customFormat="1" ht="15" x14ac:dyDescent="0.25"/>
    <row r="1176" s="2" customFormat="1" ht="15" x14ac:dyDescent="0.25"/>
    <row r="1177" s="2" customFormat="1" ht="15" x14ac:dyDescent="0.25"/>
    <row r="1178" s="2" customFormat="1" ht="15" x14ac:dyDescent="0.25"/>
    <row r="1179" s="2" customFormat="1" ht="15" x14ac:dyDescent="0.25"/>
    <row r="1180" s="2" customFormat="1" ht="15" x14ac:dyDescent="0.25"/>
    <row r="1181" s="2" customFormat="1" ht="15" x14ac:dyDescent="0.25"/>
    <row r="1182" s="2" customFormat="1" ht="15" x14ac:dyDescent="0.25"/>
    <row r="1183" s="2" customFormat="1" ht="15" x14ac:dyDescent="0.25"/>
    <row r="1184" s="2" customFormat="1" ht="15" x14ac:dyDescent="0.25"/>
    <row r="1185" s="2" customFormat="1" ht="15" x14ac:dyDescent="0.25"/>
    <row r="1186" s="2" customFormat="1" ht="15" x14ac:dyDescent="0.25"/>
    <row r="1187" s="2" customFormat="1" ht="15" x14ac:dyDescent="0.25"/>
    <row r="1188" s="2" customFormat="1" ht="15" x14ac:dyDescent="0.25"/>
    <row r="1189" s="2" customFormat="1" ht="15" x14ac:dyDescent="0.25"/>
    <row r="1190" s="2" customFormat="1" ht="15" x14ac:dyDescent="0.25"/>
    <row r="1191" s="2" customFormat="1" ht="15" x14ac:dyDescent="0.25"/>
    <row r="1192" s="2" customFormat="1" ht="15" x14ac:dyDescent="0.25"/>
    <row r="1193" s="2" customFormat="1" ht="15" x14ac:dyDescent="0.25"/>
    <row r="1194" s="2" customFormat="1" ht="15" x14ac:dyDescent="0.25"/>
    <row r="1195" s="2" customFormat="1" ht="15" x14ac:dyDescent="0.25"/>
    <row r="1196" s="2" customFormat="1" ht="15" x14ac:dyDescent="0.25"/>
    <row r="1197" s="2" customFormat="1" ht="15" x14ac:dyDescent="0.25"/>
    <row r="1198" s="2" customFormat="1" ht="15" x14ac:dyDescent="0.25"/>
    <row r="1199" s="2" customFormat="1" ht="15" x14ac:dyDescent="0.25"/>
    <row r="1200" s="2" customFormat="1" ht="15" x14ac:dyDescent="0.25"/>
    <row r="1201" s="2" customFormat="1" ht="15" x14ac:dyDescent="0.25"/>
    <row r="1202" s="2" customFormat="1" ht="15" x14ac:dyDescent="0.25"/>
    <row r="1203" s="2" customFormat="1" ht="15" x14ac:dyDescent="0.25"/>
    <row r="1204" s="2" customFormat="1" ht="15" x14ac:dyDescent="0.25"/>
    <row r="1205" s="2" customFormat="1" ht="15" x14ac:dyDescent="0.25"/>
    <row r="1206" s="2" customFormat="1" ht="15" x14ac:dyDescent="0.25"/>
    <row r="1207" s="2" customFormat="1" ht="15" x14ac:dyDescent="0.25"/>
    <row r="1208" s="2" customFormat="1" ht="15" x14ac:dyDescent="0.25"/>
    <row r="1209" s="2" customFormat="1" ht="15" x14ac:dyDescent="0.25"/>
    <row r="1210" s="2" customFormat="1" ht="15" x14ac:dyDescent="0.25"/>
    <row r="1211" s="2" customFormat="1" ht="15" x14ac:dyDescent="0.25"/>
    <row r="1212" s="2" customFormat="1" ht="15" x14ac:dyDescent="0.25"/>
    <row r="1213" s="2" customFormat="1" ht="15" x14ac:dyDescent="0.25"/>
    <row r="1214" s="2" customFormat="1" ht="15" x14ac:dyDescent="0.25"/>
    <row r="1215" s="2" customFormat="1" ht="15" x14ac:dyDescent="0.25"/>
    <row r="1216" s="2" customFormat="1" ht="15" x14ac:dyDescent="0.25"/>
    <row r="1217" s="2" customFormat="1" ht="15" x14ac:dyDescent="0.25"/>
    <row r="1218" s="2" customFormat="1" ht="15" x14ac:dyDescent="0.25"/>
    <row r="1219" s="2" customFormat="1" ht="15" x14ac:dyDescent="0.25"/>
    <row r="1220" s="2" customFormat="1" ht="15" x14ac:dyDescent="0.25"/>
    <row r="1221" s="2" customFormat="1" ht="15" x14ac:dyDescent="0.25"/>
    <row r="1222" s="2" customFormat="1" ht="15" x14ac:dyDescent="0.25"/>
    <row r="1223" s="2" customFormat="1" ht="15" x14ac:dyDescent="0.25"/>
    <row r="1224" s="2" customFormat="1" ht="15" x14ac:dyDescent="0.25"/>
    <row r="1225" s="2" customFormat="1" ht="15" x14ac:dyDescent="0.25"/>
    <row r="1226" s="2" customFormat="1" ht="15" x14ac:dyDescent="0.25"/>
    <row r="1227" s="2" customFormat="1" ht="15" x14ac:dyDescent="0.25"/>
    <row r="1228" s="2" customFormat="1" ht="15" x14ac:dyDescent="0.25"/>
    <row r="1229" s="2" customFormat="1" ht="15" x14ac:dyDescent="0.25"/>
    <row r="1230" s="2" customFormat="1" ht="15" x14ac:dyDescent="0.25"/>
    <row r="1231" s="2" customFormat="1" ht="15" x14ac:dyDescent="0.25"/>
    <row r="1232" s="2" customFormat="1" ht="15" x14ac:dyDescent="0.25"/>
    <row r="1233" s="2" customFormat="1" ht="15" x14ac:dyDescent="0.25"/>
    <row r="1234" s="2" customFormat="1" ht="15" x14ac:dyDescent="0.25"/>
    <row r="1235" s="2" customFormat="1" ht="15" x14ac:dyDescent="0.25"/>
    <row r="1236" s="2" customFormat="1" ht="15" x14ac:dyDescent="0.25"/>
    <row r="1237" s="2" customFormat="1" ht="15" x14ac:dyDescent="0.25"/>
    <row r="1238" s="2" customFormat="1" ht="15" x14ac:dyDescent="0.25"/>
    <row r="1239" s="2" customFormat="1" ht="15" x14ac:dyDescent="0.25"/>
    <row r="1240" s="2" customFormat="1" ht="15" x14ac:dyDescent="0.25"/>
    <row r="1241" s="2" customFormat="1" ht="15" x14ac:dyDescent="0.25"/>
    <row r="1242" s="2" customFormat="1" ht="15" x14ac:dyDescent="0.25"/>
    <row r="1243" s="2" customFormat="1" ht="15" x14ac:dyDescent="0.25"/>
    <row r="1244" s="2" customFormat="1" ht="15" x14ac:dyDescent="0.25"/>
    <row r="1245" s="2" customFormat="1" ht="15" x14ac:dyDescent="0.25"/>
    <row r="1246" s="2" customFormat="1" ht="15" x14ac:dyDescent="0.25"/>
    <row r="1247" s="2" customFormat="1" ht="15" x14ac:dyDescent="0.25"/>
    <row r="1248" s="2" customFormat="1" ht="15" x14ac:dyDescent="0.25"/>
    <row r="1249" s="2" customFormat="1" ht="15" x14ac:dyDescent="0.25"/>
    <row r="1250" s="2" customFormat="1" ht="15" x14ac:dyDescent="0.25"/>
    <row r="1251" s="2" customFormat="1" ht="15" x14ac:dyDescent="0.25"/>
    <row r="1252" s="2" customFormat="1" ht="15" x14ac:dyDescent="0.25"/>
    <row r="1253" s="2" customFormat="1" ht="15" x14ac:dyDescent="0.25"/>
    <row r="1254" s="2" customFormat="1" ht="15" x14ac:dyDescent="0.25"/>
    <row r="1255" s="2" customFormat="1" ht="15" x14ac:dyDescent="0.25"/>
    <row r="1256" s="2" customFormat="1" ht="15" x14ac:dyDescent="0.25"/>
    <row r="1257" s="2" customFormat="1" ht="15" x14ac:dyDescent="0.25"/>
    <row r="1258" s="2" customFormat="1" ht="15" x14ac:dyDescent="0.25"/>
    <row r="1259" s="2" customFormat="1" ht="15" x14ac:dyDescent="0.25"/>
    <row r="1260" s="2" customFormat="1" ht="15" x14ac:dyDescent="0.25"/>
    <row r="1261" s="2" customFormat="1" ht="15" x14ac:dyDescent="0.25"/>
    <row r="1262" s="2" customFormat="1" ht="15" x14ac:dyDescent="0.25"/>
    <row r="1263" s="2" customFormat="1" ht="15" x14ac:dyDescent="0.25"/>
    <row r="1264" s="2" customFormat="1" ht="15" x14ac:dyDescent="0.25"/>
    <row r="1265" s="2" customFormat="1" ht="15" x14ac:dyDescent="0.25"/>
    <row r="1266" s="2" customFormat="1" ht="15" x14ac:dyDescent="0.25"/>
    <row r="1267" s="2" customFormat="1" ht="15" x14ac:dyDescent="0.25"/>
    <row r="1268" s="2" customFormat="1" ht="15" x14ac:dyDescent="0.25"/>
    <row r="1269" s="2" customFormat="1" ht="15" x14ac:dyDescent="0.25"/>
    <row r="1270" s="2" customFormat="1" ht="15" x14ac:dyDescent="0.25"/>
    <row r="1271" s="2" customFormat="1" ht="15" x14ac:dyDescent="0.25"/>
    <row r="1272" s="2" customFormat="1" ht="15" x14ac:dyDescent="0.25"/>
    <row r="1273" s="2" customFormat="1" ht="15" x14ac:dyDescent="0.25"/>
    <row r="1274" s="2" customFormat="1" ht="15" x14ac:dyDescent="0.25"/>
    <row r="1275" s="2" customFormat="1" ht="15" x14ac:dyDescent="0.25"/>
    <row r="1276" s="2" customFormat="1" ht="15" x14ac:dyDescent="0.25"/>
    <row r="1277" s="2" customFormat="1" ht="15" x14ac:dyDescent="0.25"/>
    <row r="1278" s="2" customFormat="1" ht="15" x14ac:dyDescent="0.25"/>
    <row r="1279" s="2" customFormat="1" ht="15" x14ac:dyDescent="0.25"/>
    <row r="1280" s="2" customFormat="1" ht="15" x14ac:dyDescent="0.25"/>
    <row r="1281" s="2" customFormat="1" ht="15" x14ac:dyDescent="0.25"/>
    <row r="1282" s="2" customFormat="1" ht="15" x14ac:dyDescent="0.25"/>
    <row r="1283" s="2" customFormat="1" ht="15" x14ac:dyDescent="0.25"/>
    <row r="1284" s="2" customFormat="1" ht="15" x14ac:dyDescent="0.25"/>
    <row r="1285" s="2" customFormat="1" ht="15" x14ac:dyDescent="0.25"/>
    <row r="1286" s="2" customFormat="1" ht="15" x14ac:dyDescent="0.25"/>
    <row r="1287" s="2" customFormat="1" ht="15" x14ac:dyDescent="0.25"/>
    <row r="1288" s="2" customFormat="1" ht="15" x14ac:dyDescent="0.25"/>
    <row r="1289" s="2" customFormat="1" ht="15" x14ac:dyDescent="0.25"/>
    <row r="1290" s="2" customFormat="1" ht="15" x14ac:dyDescent="0.25"/>
    <row r="1291" s="2" customFormat="1" ht="15" x14ac:dyDescent="0.25"/>
    <row r="1292" s="2" customFormat="1" ht="15" x14ac:dyDescent="0.25"/>
    <row r="1293" s="2" customFormat="1" ht="15" x14ac:dyDescent="0.25"/>
    <row r="1294" s="2" customFormat="1" ht="15" x14ac:dyDescent="0.25"/>
    <row r="1295" s="2" customFormat="1" ht="15" x14ac:dyDescent="0.25"/>
    <row r="1296" s="2" customFormat="1" ht="15" x14ac:dyDescent="0.25"/>
    <row r="1297" s="2" customFormat="1" ht="15" x14ac:dyDescent="0.25"/>
    <row r="1298" s="2" customFormat="1" ht="15" x14ac:dyDescent="0.25"/>
    <row r="1299" s="2" customFormat="1" ht="15" x14ac:dyDescent="0.25"/>
    <row r="1300" s="2" customFormat="1" ht="15" x14ac:dyDescent="0.25"/>
    <row r="1301" s="2" customFormat="1" ht="15" x14ac:dyDescent="0.25"/>
    <row r="1302" s="2" customFormat="1" ht="15" x14ac:dyDescent="0.25"/>
    <row r="1303" s="2" customFormat="1" ht="15" x14ac:dyDescent="0.25"/>
    <row r="1304" s="2" customFormat="1" ht="15" x14ac:dyDescent="0.25"/>
    <row r="1305" s="2" customFormat="1" ht="15" x14ac:dyDescent="0.25"/>
    <row r="1306" s="2" customFormat="1" ht="15" x14ac:dyDescent="0.25"/>
    <row r="1307" s="2" customFormat="1" ht="15" x14ac:dyDescent="0.25"/>
    <row r="1308" s="2" customFormat="1" ht="15" x14ac:dyDescent="0.25"/>
    <row r="1309" s="2" customFormat="1" ht="15" x14ac:dyDescent="0.25"/>
    <row r="1310" s="2" customFormat="1" ht="15" x14ac:dyDescent="0.25"/>
    <row r="1311" s="2" customFormat="1" ht="15" x14ac:dyDescent="0.25"/>
    <row r="1312" s="2" customFormat="1" ht="15" x14ac:dyDescent="0.25"/>
    <row r="1313" s="2" customFormat="1" ht="15" x14ac:dyDescent="0.25"/>
    <row r="1314" s="2" customFormat="1" ht="15" x14ac:dyDescent="0.25"/>
    <row r="1315" s="2" customFormat="1" ht="15" x14ac:dyDescent="0.25"/>
    <row r="1316" s="2" customFormat="1" ht="15" x14ac:dyDescent="0.25"/>
    <row r="1317" s="2" customFormat="1" ht="15" x14ac:dyDescent="0.25"/>
    <row r="1318" s="2" customFormat="1" ht="15" x14ac:dyDescent="0.25"/>
    <row r="1319" s="2" customFormat="1" ht="15" x14ac:dyDescent="0.25"/>
    <row r="1320" s="2" customFormat="1" ht="15" x14ac:dyDescent="0.25"/>
    <row r="1321" s="2" customFormat="1" ht="15" x14ac:dyDescent="0.25"/>
    <row r="1322" s="2" customFormat="1" ht="15" x14ac:dyDescent="0.25"/>
    <row r="1323" s="2" customFormat="1" ht="15" x14ac:dyDescent="0.25"/>
    <row r="1324" s="2" customFormat="1" ht="15" x14ac:dyDescent="0.25"/>
    <row r="1325" s="2" customFormat="1" ht="15" x14ac:dyDescent="0.25"/>
    <row r="1326" s="2" customFormat="1" ht="15" x14ac:dyDescent="0.25"/>
    <row r="1327" s="2" customFormat="1" ht="15" x14ac:dyDescent="0.25"/>
    <row r="1328" s="2" customFormat="1" ht="15" x14ac:dyDescent="0.25"/>
    <row r="1329" s="2" customFormat="1" ht="15" x14ac:dyDescent="0.25"/>
    <row r="1330" s="2" customFormat="1" ht="15" x14ac:dyDescent="0.25"/>
    <row r="1331" s="2" customFormat="1" ht="15" x14ac:dyDescent="0.25"/>
    <row r="1332" s="2" customFormat="1" ht="15" x14ac:dyDescent="0.25"/>
    <row r="1333" s="2" customFormat="1" ht="15" x14ac:dyDescent="0.25"/>
    <row r="1334" s="2" customFormat="1" ht="15" x14ac:dyDescent="0.25"/>
    <row r="1335" s="2" customFormat="1" ht="15" x14ac:dyDescent="0.25"/>
    <row r="1336" s="2" customFormat="1" ht="15" x14ac:dyDescent="0.25"/>
    <row r="1337" s="2" customFormat="1" ht="15" x14ac:dyDescent="0.25"/>
    <row r="1338" s="2" customFormat="1" ht="15" x14ac:dyDescent="0.25"/>
    <row r="1339" s="2" customFormat="1" ht="15" x14ac:dyDescent="0.25"/>
    <row r="1340" s="2" customFormat="1" ht="15" x14ac:dyDescent="0.25"/>
    <row r="1341" s="2" customFormat="1" ht="15" x14ac:dyDescent="0.25"/>
    <row r="1342" s="2" customFormat="1" ht="15" x14ac:dyDescent="0.25"/>
    <row r="1343" s="2" customFormat="1" ht="15" x14ac:dyDescent="0.25"/>
    <row r="1344" s="2" customFormat="1" ht="15" x14ac:dyDescent="0.25"/>
    <row r="1345" s="2" customFormat="1" ht="15" x14ac:dyDescent="0.25"/>
    <row r="1346" s="2" customFormat="1" ht="15" x14ac:dyDescent="0.25"/>
    <row r="1347" s="2" customFormat="1" ht="15" x14ac:dyDescent="0.25"/>
    <row r="1348" s="2" customFormat="1" ht="15" x14ac:dyDescent="0.25"/>
    <row r="1349" s="2" customFormat="1" ht="15" x14ac:dyDescent="0.25"/>
    <row r="1350" s="2" customFormat="1" ht="15" x14ac:dyDescent="0.25"/>
    <row r="1351" s="2" customFormat="1" ht="15" x14ac:dyDescent="0.25"/>
    <row r="1352" s="2" customFormat="1" ht="15" x14ac:dyDescent="0.25"/>
    <row r="1353" s="2" customFormat="1" ht="15" x14ac:dyDescent="0.25"/>
    <row r="1354" s="2" customFormat="1" ht="15" x14ac:dyDescent="0.25"/>
    <row r="1355" s="2" customFormat="1" ht="15" x14ac:dyDescent="0.25"/>
    <row r="1356" s="2" customFormat="1" ht="15" x14ac:dyDescent="0.25"/>
    <row r="1357" s="2" customFormat="1" ht="15" x14ac:dyDescent="0.25"/>
    <row r="1358" s="2" customFormat="1" ht="15" x14ac:dyDescent="0.25"/>
    <row r="1359" s="2" customFormat="1" ht="15" x14ac:dyDescent="0.25"/>
    <row r="1360" s="2" customFormat="1" ht="15" x14ac:dyDescent="0.25"/>
    <row r="1361" s="2" customFormat="1" ht="15" x14ac:dyDescent="0.25"/>
    <row r="1362" s="2" customFormat="1" ht="15" x14ac:dyDescent="0.25"/>
    <row r="1363" s="2" customFormat="1" ht="15" x14ac:dyDescent="0.25"/>
    <row r="1364" s="2" customFormat="1" ht="15" x14ac:dyDescent="0.25"/>
    <row r="1365" s="2" customFormat="1" ht="15" x14ac:dyDescent="0.25"/>
    <row r="1366" s="2" customFormat="1" ht="15" x14ac:dyDescent="0.25"/>
    <row r="1367" s="2" customFormat="1" ht="15" x14ac:dyDescent="0.25"/>
    <row r="1368" s="2" customFormat="1" ht="15" x14ac:dyDescent="0.25"/>
    <row r="1369" s="2" customFormat="1" ht="15" x14ac:dyDescent="0.25"/>
    <row r="1370" s="2" customFormat="1" ht="15" x14ac:dyDescent="0.25"/>
    <row r="1371" s="2" customFormat="1" ht="15" x14ac:dyDescent="0.25"/>
    <row r="1372" s="2" customFormat="1" ht="15" x14ac:dyDescent="0.25"/>
    <row r="1373" s="2" customFormat="1" ht="15" x14ac:dyDescent="0.25"/>
    <row r="1374" s="2" customFormat="1" ht="15" x14ac:dyDescent="0.25"/>
    <row r="1375" s="2" customFormat="1" ht="15" x14ac:dyDescent="0.25"/>
    <row r="1376" s="2" customFormat="1" ht="15" x14ac:dyDescent="0.25"/>
    <row r="1377" s="2" customFormat="1" ht="15" x14ac:dyDescent="0.25"/>
    <row r="1378" s="2" customFormat="1" ht="15" x14ac:dyDescent="0.25"/>
    <row r="1379" s="2" customFormat="1" ht="15" x14ac:dyDescent="0.25"/>
    <row r="1380" s="2" customFormat="1" ht="15" x14ac:dyDescent="0.25"/>
    <row r="1381" s="2" customFormat="1" ht="15" x14ac:dyDescent="0.25"/>
    <row r="1382" s="2" customFormat="1" ht="15" x14ac:dyDescent="0.25"/>
    <row r="1383" s="2" customFormat="1" ht="15" x14ac:dyDescent="0.25"/>
    <row r="1384" s="2" customFormat="1" ht="15" x14ac:dyDescent="0.25"/>
    <row r="1385" s="2" customFormat="1" ht="15" x14ac:dyDescent="0.25"/>
    <row r="1386" s="2" customFormat="1" ht="15" x14ac:dyDescent="0.25"/>
    <row r="1387" s="2" customFormat="1" ht="15" x14ac:dyDescent="0.25"/>
    <row r="1388" s="2" customFormat="1" ht="15" x14ac:dyDescent="0.25"/>
    <row r="1389" s="2" customFormat="1" ht="15" x14ac:dyDescent="0.25"/>
    <row r="1390" s="2" customFormat="1" ht="15" x14ac:dyDescent="0.25"/>
    <row r="1391" s="2" customFormat="1" ht="15" x14ac:dyDescent="0.25"/>
    <row r="1392" s="2" customFormat="1" ht="15" x14ac:dyDescent="0.25"/>
    <row r="1393" s="2" customFormat="1" ht="15" x14ac:dyDescent="0.25"/>
    <row r="1394" s="2" customFormat="1" ht="15" x14ac:dyDescent="0.25"/>
    <row r="1395" s="2" customFormat="1" ht="15" x14ac:dyDescent="0.25"/>
    <row r="1396" s="2" customFormat="1" ht="15" x14ac:dyDescent="0.25"/>
    <row r="1397" s="2" customFormat="1" ht="15" x14ac:dyDescent="0.25"/>
    <row r="1398" s="2" customFormat="1" ht="15" x14ac:dyDescent="0.25"/>
    <row r="1399" s="2" customFormat="1" ht="15" x14ac:dyDescent="0.25"/>
    <row r="1400" s="2" customFormat="1" ht="15" x14ac:dyDescent="0.25"/>
    <row r="1401" s="2" customFormat="1" ht="15" x14ac:dyDescent="0.25"/>
    <row r="1402" s="2" customFormat="1" ht="15" x14ac:dyDescent="0.25"/>
    <row r="1403" s="2" customFormat="1" ht="15" x14ac:dyDescent="0.25"/>
    <row r="1404" s="2" customFormat="1" ht="15" x14ac:dyDescent="0.25"/>
    <row r="1405" s="2" customFormat="1" ht="15" x14ac:dyDescent="0.25"/>
    <row r="1406" s="2" customFormat="1" ht="15" x14ac:dyDescent="0.25"/>
    <row r="1407" s="2" customFormat="1" ht="15" x14ac:dyDescent="0.25"/>
    <row r="1408" s="2" customFormat="1" ht="15" x14ac:dyDescent="0.25"/>
    <row r="1409" s="2" customFormat="1" ht="15" x14ac:dyDescent="0.25"/>
    <row r="1410" s="2" customFormat="1" ht="15" x14ac:dyDescent="0.25"/>
    <row r="1411" s="2" customFormat="1" ht="15" x14ac:dyDescent="0.25"/>
    <row r="1412" s="2" customFormat="1" ht="15" x14ac:dyDescent="0.25"/>
    <row r="1413" s="2" customFormat="1" ht="15" x14ac:dyDescent="0.25"/>
    <row r="1414" s="2" customFormat="1" ht="15" x14ac:dyDescent="0.25"/>
    <row r="1415" s="2" customFormat="1" ht="15" x14ac:dyDescent="0.25"/>
    <row r="1416" s="2" customFormat="1" ht="15" x14ac:dyDescent="0.25"/>
    <row r="1417" s="2" customFormat="1" ht="15" x14ac:dyDescent="0.25"/>
    <row r="1418" s="2" customFormat="1" ht="15" x14ac:dyDescent="0.25"/>
    <row r="1419" s="2" customFormat="1" ht="15" x14ac:dyDescent="0.25"/>
    <row r="1420" s="2" customFormat="1" ht="15" x14ac:dyDescent="0.25"/>
    <row r="1421" s="2" customFormat="1" ht="15" x14ac:dyDescent="0.25"/>
    <row r="1422" s="2" customFormat="1" ht="15" x14ac:dyDescent="0.25"/>
    <row r="1423" s="2" customFormat="1" ht="15" x14ac:dyDescent="0.25"/>
    <row r="1424" s="2" customFormat="1" ht="15" x14ac:dyDescent="0.25"/>
    <row r="1425" s="2" customFormat="1" ht="15" x14ac:dyDescent="0.25"/>
    <row r="1426" s="2" customFormat="1" ht="15" x14ac:dyDescent="0.25"/>
    <row r="1427" s="2" customFormat="1" ht="15" x14ac:dyDescent="0.25"/>
    <row r="1428" s="2" customFormat="1" ht="15" x14ac:dyDescent="0.25"/>
    <row r="1429" s="2" customFormat="1" ht="15" x14ac:dyDescent="0.25"/>
    <row r="1430" s="2" customFormat="1" ht="15" x14ac:dyDescent="0.25"/>
    <row r="1431" s="2" customFormat="1" ht="15" x14ac:dyDescent="0.25"/>
    <row r="1432" s="2" customFormat="1" ht="15" x14ac:dyDescent="0.25"/>
    <row r="1433" s="2" customFormat="1" ht="15" x14ac:dyDescent="0.25"/>
    <row r="1434" s="2" customFormat="1" ht="15" x14ac:dyDescent="0.25"/>
    <row r="1435" s="2" customFormat="1" ht="15" x14ac:dyDescent="0.25"/>
    <row r="1436" s="2" customFormat="1" ht="15" x14ac:dyDescent="0.25"/>
    <row r="1437" s="2" customFormat="1" ht="15" x14ac:dyDescent="0.25"/>
    <row r="1438" s="2" customFormat="1" ht="15" x14ac:dyDescent="0.25"/>
    <row r="1439" s="2" customFormat="1" ht="15" x14ac:dyDescent="0.25"/>
    <row r="1440" s="2" customFormat="1" ht="15" x14ac:dyDescent="0.25"/>
    <row r="1441" s="2" customFormat="1" ht="15" x14ac:dyDescent="0.25"/>
    <row r="1442" s="2" customFormat="1" ht="15" x14ac:dyDescent="0.25"/>
    <row r="1443" s="2" customFormat="1" ht="15" x14ac:dyDescent="0.25"/>
    <row r="1444" s="2" customFormat="1" ht="15" x14ac:dyDescent="0.25"/>
    <row r="1445" s="2" customFormat="1" ht="15" x14ac:dyDescent="0.25"/>
    <row r="1446" s="2" customFormat="1" ht="15" x14ac:dyDescent="0.25"/>
    <row r="1447" s="2" customFormat="1" ht="15" x14ac:dyDescent="0.25"/>
    <row r="1448" s="2" customFormat="1" ht="15" x14ac:dyDescent="0.25"/>
    <row r="1449" s="2" customFormat="1" ht="15" x14ac:dyDescent="0.25"/>
    <row r="1450" s="2" customFormat="1" ht="15" x14ac:dyDescent="0.25"/>
    <row r="1451" s="2" customFormat="1" ht="15" x14ac:dyDescent="0.25"/>
    <row r="1452" s="2" customFormat="1" ht="15" x14ac:dyDescent="0.25"/>
    <row r="1453" s="2" customFormat="1" ht="15" x14ac:dyDescent="0.25"/>
    <row r="1454" s="2" customFormat="1" ht="15" x14ac:dyDescent="0.25"/>
    <row r="1455" s="2" customFormat="1" ht="15" x14ac:dyDescent="0.25"/>
    <row r="1456" s="2" customFormat="1" ht="15" x14ac:dyDescent="0.25"/>
    <row r="1457" s="2" customFormat="1" ht="15" x14ac:dyDescent="0.25"/>
    <row r="1458" s="2" customFormat="1" ht="15" x14ac:dyDescent="0.25"/>
    <row r="1459" s="2" customFormat="1" ht="15" x14ac:dyDescent="0.25"/>
    <row r="1460" s="2" customFormat="1" ht="15" x14ac:dyDescent="0.25"/>
    <row r="1461" s="2" customFormat="1" ht="15" x14ac:dyDescent="0.25"/>
    <row r="1462" s="2" customFormat="1" ht="15" x14ac:dyDescent="0.25"/>
    <row r="1463" s="2" customFormat="1" ht="15" x14ac:dyDescent="0.25"/>
    <row r="1464" s="2" customFormat="1" ht="15" x14ac:dyDescent="0.25"/>
    <row r="1465" s="2" customFormat="1" ht="15" x14ac:dyDescent="0.25"/>
    <row r="1466" s="2" customFormat="1" ht="15" x14ac:dyDescent="0.25"/>
    <row r="1467" s="2" customFormat="1" ht="15" x14ac:dyDescent="0.25"/>
    <row r="1468" s="2" customFormat="1" ht="15" x14ac:dyDescent="0.25"/>
    <row r="1469" s="2" customFormat="1" ht="15" x14ac:dyDescent="0.25"/>
    <row r="1470" s="2" customFormat="1" ht="15" x14ac:dyDescent="0.25"/>
    <row r="1471" s="2" customFormat="1" ht="15" x14ac:dyDescent="0.25"/>
    <row r="1472" s="2" customFormat="1" ht="15" x14ac:dyDescent="0.25"/>
    <row r="1473" s="2" customFormat="1" ht="15" x14ac:dyDescent="0.25"/>
    <row r="1474" s="2" customFormat="1" ht="15" x14ac:dyDescent="0.25"/>
    <row r="1475" s="2" customFormat="1" ht="15" x14ac:dyDescent="0.25"/>
    <row r="1476" s="2" customFormat="1" ht="15" x14ac:dyDescent="0.25"/>
    <row r="1477" s="2" customFormat="1" ht="15" x14ac:dyDescent="0.25"/>
    <row r="1478" s="2" customFormat="1" ht="15" x14ac:dyDescent="0.25"/>
    <row r="1479" s="2" customFormat="1" ht="15" x14ac:dyDescent="0.25"/>
    <row r="1480" s="2" customFormat="1" ht="15" x14ac:dyDescent="0.25"/>
    <row r="1481" s="2" customFormat="1" ht="15" x14ac:dyDescent="0.25"/>
    <row r="1482" s="2" customFormat="1" ht="15" x14ac:dyDescent="0.25"/>
    <row r="1483" s="2" customFormat="1" ht="15" x14ac:dyDescent="0.25"/>
    <row r="1484" s="2" customFormat="1" ht="15" x14ac:dyDescent="0.25"/>
    <row r="1485" s="2" customFormat="1" ht="15" x14ac:dyDescent="0.25"/>
    <row r="1486" s="2" customFormat="1" ht="15" x14ac:dyDescent="0.25"/>
    <row r="1487" s="2" customFormat="1" ht="15" x14ac:dyDescent="0.25"/>
    <row r="1488" s="2" customFormat="1" ht="15" x14ac:dyDescent="0.25"/>
    <row r="1489" s="2" customFormat="1" ht="15" x14ac:dyDescent="0.25"/>
    <row r="1490" s="2" customFormat="1" ht="15" x14ac:dyDescent="0.25"/>
    <row r="1491" s="2" customFormat="1" ht="15" x14ac:dyDescent="0.25"/>
    <row r="1492" s="2" customFormat="1" ht="15" x14ac:dyDescent="0.25"/>
    <row r="1493" s="2" customFormat="1" ht="15" x14ac:dyDescent="0.25"/>
    <row r="1494" s="2" customFormat="1" ht="15" x14ac:dyDescent="0.25"/>
    <row r="1495" s="2" customFormat="1" ht="15" x14ac:dyDescent="0.25"/>
    <row r="1496" s="2" customFormat="1" ht="15" x14ac:dyDescent="0.25"/>
    <row r="1497" s="2" customFormat="1" ht="15" x14ac:dyDescent="0.25"/>
    <row r="1498" s="2" customFormat="1" ht="15" x14ac:dyDescent="0.25"/>
    <row r="1499" s="2" customFormat="1" ht="15" x14ac:dyDescent="0.25"/>
    <row r="1500" s="2" customFormat="1" ht="15" x14ac:dyDescent="0.25"/>
    <row r="1501" s="2" customFormat="1" ht="15" x14ac:dyDescent="0.25"/>
    <row r="1502" s="2" customFormat="1" ht="15" x14ac:dyDescent="0.25"/>
    <row r="1503" s="2" customFormat="1" ht="15" x14ac:dyDescent="0.25"/>
    <row r="1504" s="2" customFormat="1" ht="15" x14ac:dyDescent="0.25"/>
    <row r="1505" s="2" customFormat="1" ht="15" x14ac:dyDescent="0.25"/>
    <row r="1506" s="2" customFormat="1" ht="15" x14ac:dyDescent="0.25"/>
    <row r="1507" s="2" customFormat="1" ht="15" x14ac:dyDescent="0.25"/>
    <row r="1508" s="2" customFormat="1" ht="15" x14ac:dyDescent="0.25"/>
    <row r="1509" s="2" customFormat="1" ht="15" x14ac:dyDescent="0.25"/>
    <row r="1510" s="2" customFormat="1" ht="15" x14ac:dyDescent="0.25"/>
    <row r="1511" s="2" customFormat="1" ht="15" x14ac:dyDescent="0.25"/>
    <row r="1512" s="2" customFormat="1" ht="15" x14ac:dyDescent="0.25"/>
    <row r="1513" s="2" customFormat="1" ht="15" x14ac:dyDescent="0.25"/>
    <row r="1514" s="2" customFormat="1" ht="15" x14ac:dyDescent="0.25"/>
    <row r="1515" s="2" customFormat="1" ht="15" x14ac:dyDescent="0.25"/>
    <row r="1516" s="2" customFormat="1" ht="15" x14ac:dyDescent="0.25"/>
    <row r="1517" s="2" customFormat="1" ht="15" x14ac:dyDescent="0.25"/>
    <row r="1518" s="2" customFormat="1" ht="15" x14ac:dyDescent="0.25"/>
    <row r="1519" s="2" customFormat="1" ht="15" x14ac:dyDescent="0.25"/>
    <row r="1520" s="2" customFormat="1" ht="15" x14ac:dyDescent="0.25"/>
    <row r="1521" s="2" customFormat="1" ht="15" x14ac:dyDescent="0.25"/>
    <row r="1522" s="2" customFormat="1" ht="15" x14ac:dyDescent="0.25"/>
    <row r="1523" s="2" customFormat="1" ht="15" x14ac:dyDescent="0.25"/>
    <row r="1524" s="2" customFormat="1" ht="15" x14ac:dyDescent="0.25"/>
    <row r="1525" s="2" customFormat="1" ht="15" x14ac:dyDescent="0.25"/>
    <row r="1526" s="2" customFormat="1" ht="15" x14ac:dyDescent="0.25"/>
    <row r="1527" s="2" customFormat="1" ht="15" x14ac:dyDescent="0.25"/>
    <row r="1528" s="2" customFormat="1" ht="15" x14ac:dyDescent="0.25"/>
    <row r="1529" s="2" customFormat="1" ht="15" x14ac:dyDescent="0.25"/>
    <row r="1530" s="2" customFormat="1" ht="15" x14ac:dyDescent="0.25"/>
    <row r="1531" s="2" customFormat="1" ht="15" x14ac:dyDescent="0.25"/>
    <row r="1532" s="2" customFormat="1" ht="15" x14ac:dyDescent="0.25"/>
    <row r="1533" s="2" customFormat="1" ht="15" x14ac:dyDescent="0.25"/>
    <row r="1534" s="2" customFormat="1" ht="15" x14ac:dyDescent="0.25"/>
    <row r="1535" s="2" customFormat="1" ht="15" x14ac:dyDescent="0.25"/>
    <row r="1536" s="2" customFormat="1" ht="15" x14ac:dyDescent="0.25"/>
    <row r="1537" s="2" customFormat="1" ht="15" x14ac:dyDescent="0.25"/>
    <row r="1538" s="2" customFormat="1" ht="15" x14ac:dyDescent="0.25"/>
    <row r="1539" s="2" customFormat="1" ht="15" x14ac:dyDescent="0.25"/>
    <row r="1540" s="2" customFormat="1" ht="15" x14ac:dyDescent="0.25"/>
    <row r="1541" s="2" customFormat="1" ht="15" x14ac:dyDescent="0.25"/>
    <row r="1542" s="2" customFormat="1" ht="15" x14ac:dyDescent="0.25"/>
    <row r="1543" s="2" customFormat="1" ht="15" x14ac:dyDescent="0.25"/>
    <row r="1544" s="2" customFormat="1" ht="15" x14ac:dyDescent="0.25"/>
    <row r="1545" s="2" customFormat="1" ht="15" x14ac:dyDescent="0.25"/>
    <row r="1546" s="2" customFormat="1" ht="15" x14ac:dyDescent="0.25"/>
    <row r="1547" s="2" customFormat="1" ht="15" x14ac:dyDescent="0.25"/>
    <row r="1548" s="2" customFormat="1" ht="15" x14ac:dyDescent="0.25"/>
    <row r="1549" s="2" customFormat="1" ht="15" x14ac:dyDescent="0.25"/>
    <row r="1550" s="2" customFormat="1" ht="15" x14ac:dyDescent="0.25"/>
    <row r="1551" s="2" customFormat="1" ht="15" x14ac:dyDescent="0.25"/>
    <row r="1552" s="2" customFormat="1" ht="15" x14ac:dyDescent="0.25"/>
    <row r="1553" s="2" customFormat="1" ht="15" x14ac:dyDescent="0.25"/>
    <row r="1554" s="2" customFormat="1" ht="15" x14ac:dyDescent="0.25"/>
    <row r="1555" s="2" customFormat="1" ht="15" x14ac:dyDescent="0.25"/>
    <row r="1556" s="2" customFormat="1" ht="15" x14ac:dyDescent="0.25"/>
    <row r="1557" s="2" customFormat="1" ht="15" x14ac:dyDescent="0.25"/>
    <row r="1558" s="2" customFormat="1" ht="15" x14ac:dyDescent="0.25"/>
    <row r="1559" s="2" customFormat="1" ht="15" x14ac:dyDescent="0.25"/>
    <row r="1560" s="2" customFormat="1" ht="15" x14ac:dyDescent="0.25"/>
    <row r="1561" s="2" customFormat="1" ht="15" x14ac:dyDescent="0.25"/>
    <row r="1562" s="2" customFormat="1" ht="15" x14ac:dyDescent="0.25"/>
    <row r="1563" s="2" customFormat="1" ht="15" x14ac:dyDescent="0.25"/>
    <row r="1564" s="2" customFormat="1" ht="15" x14ac:dyDescent="0.25"/>
    <row r="1565" s="2" customFormat="1" ht="15" x14ac:dyDescent="0.25"/>
    <row r="1566" s="2" customFormat="1" ht="15" x14ac:dyDescent="0.25"/>
    <row r="1567" s="2" customFormat="1" ht="15" x14ac:dyDescent="0.25"/>
    <row r="1568" s="2" customFormat="1" ht="15" x14ac:dyDescent="0.25"/>
    <row r="1569" s="2" customFormat="1" ht="15" x14ac:dyDescent="0.25"/>
    <row r="1570" s="2" customFormat="1" ht="15" x14ac:dyDescent="0.25"/>
    <row r="1571" s="2" customFormat="1" ht="15" x14ac:dyDescent="0.25"/>
    <row r="1572" s="2" customFormat="1" ht="15" x14ac:dyDescent="0.25"/>
    <row r="1573" s="2" customFormat="1" ht="15" x14ac:dyDescent="0.25"/>
    <row r="1574" s="2" customFormat="1" ht="15" x14ac:dyDescent="0.25"/>
    <row r="1575" s="2" customFormat="1" ht="15" x14ac:dyDescent="0.25"/>
    <row r="1576" s="2" customFormat="1" ht="15" x14ac:dyDescent="0.25"/>
    <row r="1577" s="2" customFormat="1" ht="15" x14ac:dyDescent="0.25"/>
    <row r="1578" s="2" customFormat="1" ht="15" x14ac:dyDescent="0.25"/>
    <row r="1579" s="2" customFormat="1" ht="15" x14ac:dyDescent="0.25"/>
    <row r="1580" s="2" customFormat="1" ht="15" x14ac:dyDescent="0.25"/>
    <row r="1581" s="2" customFormat="1" ht="15" x14ac:dyDescent="0.25"/>
    <row r="1582" s="2" customFormat="1" ht="15" x14ac:dyDescent="0.25"/>
    <row r="1583" s="2" customFormat="1" ht="15" x14ac:dyDescent="0.25"/>
    <row r="1584" s="2" customFormat="1" ht="15" x14ac:dyDescent="0.25"/>
    <row r="1585" s="2" customFormat="1" ht="15" x14ac:dyDescent="0.25"/>
    <row r="1586" s="2" customFormat="1" ht="15" x14ac:dyDescent="0.25"/>
    <row r="1587" s="2" customFormat="1" ht="15" x14ac:dyDescent="0.25"/>
    <row r="1588" s="2" customFormat="1" ht="15" x14ac:dyDescent="0.25"/>
    <row r="1589" s="2" customFormat="1" ht="15" x14ac:dyDescent="0.25"/>
    <row r="1590" s="2" customFormat="1" ht="15" x14ac:dyDescent="0.25"/>
    <row r="1591" s="2" customFormat="1" ht="15" x14ac:dyDescent="0.25"/>
    <row r="1592" s="2" customFormat="1" ht="15" x14ac:dyDescent="0.25"/>
    <row r="1593" s="2" customFormat="1" ht="15" x14ac:dyDescent="0.25"/>
    <row r="1594" s="2" customFormat="1" ht="15" x14ac:dyDescent="0.25"/>
    <row r="1595" s="2" customFormat="1" ht="15" x14ac:dyDescent="0.25"/>
    <row r="1596" s="2" customFormat="1" ht="15" x14ac:dyDescent="0.25"/>
    <row r="1597" s="2" customFormat="1" ht="15" x14ac:dyDescent="0.25"/>
    <row r="1598" s="2" customFormat="1" ht="15" x14ac:dyDescent="0.25"/>
    <row r="1599" s="2" customFormat="1" ht="15" x14ac:dyDescent="0.25"/>
    <row r="1600" s="2" customFormat="1" ht="15" x14ac:dyDescent="0.25"/>
    <row r="1601" s="2" customFormat="1" ht="15" x14ac:dyDescent="0.25"/>
    <row r="1602" s="2" customFormat="1" ht="15" x14ac:dyDescent="0.25"/>
    <row r="1603" s="2" customFormat="1" ht="15" x14ac:dyDescent="0.25"/>
    <row r="1604" s="2" customFormat="1" ht="15" x14ac:dyDescent="0.25"/>
    <row r="1605" s="2" customFormat="1" ht="15" x14ac:dyDescent="0.25"/>
    <row r="1606" s="2" customFormat="1" ht="15" x14ac:dyDescent="0.25"/>
    <row r="1607" s="2" customFormat="1" ht="15" x14ac:dyDescent="0.25"/>
    <row r="1608" s="2" customFormat="1" ht="15" x14ac:dyDescent="0.25"/>
    <row r="1609" s="2" customFormat="1" ht="15" x14ac:dyDescent="0.25"/>
    <row r="1610" s="2" customFormat="1" ht="15" x14ac:dyDescent="0.25"/>
    <row r="1611" s="2" customFormat="1" ht="15" x14ac:dyDescent="0.25"/>
    <row r="1612" s="2" customFormat="1" ht="15" x14ac:dyDescent="0.25"/>
    <row r="1613" s="2" customFormat="1" ht="15" x14ac:dyDescent="0.25"/>
    <row r="1614" s="2" customFormat="1" ht="15" x14ac:dyDescent="0.25"/>
    <row r="1615" s="2" customFormat="1" ht="15" x14ac:dyDescent="0.25"/>
    <row r="1616" s="2" customFormat="1" ht="15" x14ac:dyDescent="0.25"/>
    <row r="1617" s="2" customFormat="1" ht="15" x14ac:dyDescent="0.25"/>
    <row r="1618" s="2" customFormat="1" ht="15" x14ac:dyDescent="0.25"/>
    <row r="1619" s="2" customFormat="1" ht="15" x14ac:dyDescent="0.25"/>
    <row r="1620" s="2" customFormat="1" ht="15" x14ac:dyDescent="0.25"/>
    <row r="1621" s="2" customFormat="1" ht="15" x14ac:dyDescent="0.25"/>
    <row r="1622" s="2" customFormat="1" ht="15" x14ac:dyDescent="0.25"/>
    <row r="1623" s="2" customFormat="1" ht="15" x14ac:dyDescent="0.25"/>
    <row r="1624" s="2" customFormat="1" ht="15" x14ac:dyDescent="0.25"/>
    <row r="1625" s="2" customFormat="1" ht="15" x14ac:dyDescent="0.25"/>
    <row r="1626" s="2" customFormat="1" ht="15" x14ac:dyDescent="0.25"/>
    <row r="1627" s="2" customFormat="1" ht="15" x14ac:dyDescent="0.25"/>
    <row r="1628" s="2" customFormat="1" ht="15" x14ac:dyDescent="0.25"/>
    <row r="1629" s="2" customFormat="1" ht="15" x14ac:dyDescent="0.25"/>
    <row r="1630" s="2" customFormat="1" ht="15" x14ac:dyDescent="0.25"/>
    <row r="1631" s="2" customFormat="1" ht="15" x14ac:dyDescent="0.25"/>
    <row r="1632" s="2" customFormat="1" ht="15" x14ac:dyDescent="0.25"/>
    <row r="1633" s="2" customFormat="1" ht="15" x14ac:dyDescent="0.25"/>
    <row r="1634" s="2" customFormat="1" ht="15" x14ac:dyDescent="0.25"/>
    <row r="1635" s="2" customFormat="1" ht="15" x14ac:dyDescent="0.25"/>
    <row r="1636" s="2" customFormat="1" ht="15" x14ac:dyDescent="0.25"/>
    <row r="1637" s="2" customFormat="1" ht="15" x14ac:dyDescent="0.25"/>
    <row r="1638" s="2" customFormat="1" ht="15" x14ac:dyDescent="0.25"/>
    <row r="1639" s="2" customFormat="1" ht="15" x14ac:dyDescent="0.25"/>
    <row r="1640" s="2" customFormat="1" ht="15" x14ac:dyDescent="0.25"/>
    <row r="1641" s="2" customFormat="1" ht="15" x14ac:dyDescent="0.25"/>
    <row r="1642" s="2" customFormat="1" ht="15" x14ac:dyDescent="0.25"/>
    <row r="1643" s="2" customFormat="1" ht="15" x14ac:dyDescent="0.25"/>
    <row r="1644" s="2" customFormat="1" ht="15" x14ac:dyDescent="0.25"/>
    <row r="1645" s="2" customFormat="1" ht="15" x14ac:dyDescent="0.25"/>
    <row r="1646" s="2" customFormat="1" ht="15" x14ac:dyDescent="0.25"/>
    <row r="1647" s="2" customFormat="1" ht="15" x14ac:dyDescent="0.25"/>
    <row r="1648" s="2" customFormat="1" ht="15" x14ac:dyDescent="0.25"/>
    <row r="1649" s="2" customFormat="1" ht="15" x14ac:dyDescent="0.25"/>
    <row r="1650" s="2" customFormat="1" ht="15" x14ac:dyDescent="0.25"/>
    <row r="1651" s="2" customFormat="1" ht="15" x14ac:dyDescent="0.25"/>
    <row r="1652" s="2" customFormat="1" ht="15" x14ac:dyDescent="0.25"/>
    <row r="1653" s="2" customFormat="1" ht="15" x14ac:dyDescent="0.25"/>
    <row r="1654" s="2" customFormat="1" ht="15" x14ac:dyDescent="0.25"/>
    <row r="1655" s="2" customFormat="1" ht="15" x14ac:dyDescent="0.25"/>
    <row r="1656" s="2" customFormat="1" ht="15" x14ac:dyDescent="0.25"/>
    <row r="1657" s="2" customFormat="1" ht="15" x14ac:dyDescent="0.25"/>
    <row r="1658" s="2" customFormat="1" ht="15" x14ac:dyDescent="0.25"/>
    <row r="1659" s="2" customFormat="1" ht="15" x14ac:dyDescent="0.25"/>
    <row r="1660" s="2" customFormat="1" ht="15" x14ac:dyDescent="0.25"/>
    <row r="1661" s="2" customFormat="1" ht="15" x14ac:dyDescent="0.25"/>
    <row r="1662" s="2" customFormat="1" ht="15" x14ac:dyDescent="0.25"/>
    <row r="1663" s="2" customFormat="1" ht="15" x14ac:dyDescent="0.25"/>
    <row r="1664" s="2" customFormat="1" ht="15" x14ac:dyDescent="0.25"/>
    <row r="1665" s="2" customFormat="1" ht="15" x14ac:dyDescent="0.25"/>
    <row r="1666" s="2" customFormat="1" ht="15" x14ac:dyDescent="0.25"/>
    <row r="1667" s="2" customFormat="1" ht="15" x14ac:dyDescent="0.25"/>
    <row r="1668" s="2" customFormat="1" ht="15" x14ac:dyDescent="0.25"/>
    <row r="1669" s="2" customFormat="1" ht="15" x14ac:dyDescent="0.25"/>
    <row r="1670" s="2" customFormat="1" ht="15" x14ac:dyDescent="0.25"/>
    <row r="1671" s="2" customFormat="1" ht="15" x14ac:dyDescent="0.25"/>
    <row r="1672" s="2" customFormat="1" ht="15" x14ac:dyDescent="0.25"/>
    <row r="1673" s="2" customFormat="1" ht="15" x14ac:dyDescent="0.25"/>
    <row r="1674" s="2" customFormat="1" ht="15" x14ac:dyDescent="0.25"/>
    <row r="1675" s="2" customFormat="1" ht="15" x14ac:dyDescent="0.25"/>
    <row r="1676" s="2" customFormat="1" ht="15" x14ac:dyDescent="0.25"/>
    <row r="1677" s="2" customFormat="1" ht="15" x14ac:dyDescent="0.25"/>
    <row r="1678" s="2" customFormat="1" ht="15" x14ac:dyDescent="0.25"/>
    <row r="1679" s="2" customFormat="1" ht="15" x14ac:dyDescent="0.25"/>
    <row r="1680" s="2" customFormat="1" ht="15" x14ac:dyDescent="0.25"/>
    <row r="1681" s="2" customFormat="1" ht="15" x14ac:dyDescent="0.25"/>
    <row r="1682" s="2" customFormat="1" ht="15" x14ac:dyDescent="0.25"/>
    <row r="1683" s="2" customFormat="1" ht="15" x14ac:dyDescent="0.25"/>
    <row r="1684" s="2" customFormat="1" ht="15" x14ac:dyDescent="0.25"/>
    <row r="1685" s="2" customFormat="1" ht="15" x14ac:dyDescent="0.25"/>
    <row r="1686" s="2" customFormat="1" ht="15" x14ac:dyDescent="0.25"/>
    <row r="1687" s="2" customFormat="1" ht="15" x14ac:dyDescent="0.25"/>
    <row r="1688" s="2" customFormat="1" ht="15" x14ac:dyDescent="0.25"/>
    <row r="1689" s="2" customFormat="1" ht="15" x14ac:dyDescent="0.25"/>
    <row r="1690" s="2" customFormat="1" ht="15" x14ac:dyDescent="0.25"/>
    <row r="1691" s="2" customFormat="1" ht="15" x14ac:dyDescent="0.25"/>
    <row r="1692" s="2" customFormat="1" ht="15" x14ac:dyDescent="0.25"/>
    <row r="1693" s="2" customFormat="1" ht="15" x14ac:dyDescent="0.25"/>
    <row r="1694" s="2" customFormat="1" ht="15" x14ac:dyDescent="0.25"/>
    <row r="1695" s="2" customFormat="1" ht="15" x14ac:dyDescent="0.25"/>
    <row r="1696" s="2" customFormat="1" ht="15" x14ac:dyDescent="0.25"/>
    <row r="1697" s="2" customFormat="1" ht="15" x14ac:dyDescent="0.25"/>
    <row r="1698" s="2" customFormat="1" ht="15" x14ac:dyDescent="0.25"/>
    <row r="1699" s="2" customFormat="1" ht="15" x14ac:dyDescent="0.25"/>
    <row r="1700" s="2" customFormat="1" ht="15" x14ac:dyDescent="0.25"/>
    <row r="1701" s="2" customFormat="1" ht="15" x14ac:dyDescent="0.25"/>
    <row r="1702" s="2" customFormat="1" ht="15" x14ac:dyDescent="0.25"/>
    <row r="1703" s="2" customFormat="1" ht="15" x14ac:dyDescent="0.25"/>
    <row r="1704" s="2" customFormat="1" ht="15" x14ac:dyDescent="0.25"/>
    <row r="1705" s="2" customFormat="1" ht="15" x14ac:dyDescent="0.25"/>
    <row r="1706" s="2" customFormat="1" ht="15" x14ac:dyDescent="0.25"/>
    <row r="1707" s="2" customFormat="1" ht="15" x14ac:dyDescent="0.25"/>
    <row r="1708" s="2" customFormat="1" ht="15" x14ac:dyDescent="0.25"/>
    <row r="1709" s="2" customFormat="1" ht="15" x14ac:dyDescent="0.25"/>
    <row r="1710" s="2" customFormat="1" ht="15" x14ac:dyDescent="0.25"/>
    <row r="1711" s="2" customFormat="1" ht="15" x14ac:dyDescent="0.25"/>
    <row r="1712" s="2" customFormat="1" ht="15" x14ac:dyDescent="0.25"/>
    <row r="1713" s="2" customFormat="1" ht="15" x14ac:dyDescent="0.25"/>
    <row r="1714" s="2" customFormat="1" ht="15" x14ac:dyDescent="0.25"/>
    <row r="1715" s="2" customFormat="1" ht="15" x14ac:dyDescent="0.25"/>
    <row r="1716" s="2" customFormat="1" ht="15" x14ac:dyDescent="0.25"/>
    <row r="1717" s="2" customFormat="1" ht="15" x14ac:dyDescent="0.25"/>
    <row r="1718" s="2" customFormat="1" ht="15" x14ac:dyDescent="0.25"/>
    <row r="1719" s="2" customFormat="1" ht="15" x14ac:dyDescent="0.25"/>
    <row r="1720" s="2" customFormat="1" ht="15" x14ac:dyDescent="0.25"/>
    <row r="1721" s="2" customFormat="1" ht="15" x14ac:dyDescent="0.25"/>
    <row r="1722" s="2" customFormat="1" ht="15" x14ac:dyDescent="0.25"/>
    <row r="1723" s="2" customFormat="1" ht="15" x14ac:dyDescent="0.25"/>
    <row r="1724" s="2" customFormat="1" ht="15" x14ac:dyDescent="0.25"/>
    <row r="1725" s="2" customFormat="1" ht="15" x14ac:dyDescent="0.25"/>
    <row r="1726" s="2" customFormat="1" ht="15" x14ac:dyDescent="0.25"/>
    <row r="1727" s="2" customFormat="1" ht="15" x14ac:dyDescent="0.25"/>
    <row r="1728" s="2" customFormat="1" ht="15" x14ac:dyDescent="0.25"/>
    <row r="1729" s="2" customFormat="1" ht="15" x14ac:dyDescent="0.25"/>
    <row r="1730" s="2" customFormat="1" ht="15" x14ac:dyDescent="0.25"/>
    <row r="1731" s="2" customFormat="1" ht="15" x14ac:dyDescent="0.25"/>
    <row r="1732" s="2" customFormat="1" ht="15" x14ac:dyDescent="0.25"/>
    <row r="1733" s="2" customFormat="1" ht="15" x14ac:dyDescent="0.25"/>
    <row r="1734" s="2" customFormat="1" ht="15" x14ac:dyDescent="0.25"/>
    <row r="1735" s="2" customFormat="1" ht="15" x14ac:dyDescent="0.25"/>
    <row r="1736" s="2" customFormat="1" ht="15" x14ac:dyDescent="0.25"/>
    <row r="1737" s="2" customFormat="1" ht="15" x14ac:dyDescent="0.25"/>
    <row r="1738" s="2" customFormat="1" ht="15" x14ac:dyDescent="0.25"/>
    <row r="1739" s="2" customFormat="1" ht="15" x14ac:dyDescent="0.25"/>
    <row r="1740" s="2" customFormat="1" ht="15" x14ac:dyDescent="0.25"/>
    <row r="1741" s="2" customFormat="1" ht="15" x14ac:dyDescent="0.25"/>
    <row r="1742" s="2" customFormat="1" ht="15" x14ac:dyDescent="0.25"/>
    <row r="1743" s="2" customFormat="1" ht="15" x14ac:dyDescent="0.25"/>
    <row r="1744" s="2" customFormat="1" ht="15" x14ac:dyDescent="0.25"/>
    <row r="1745" s="2" customFormat="1" ht="15" x14ac:dyDescent="0.25"/>
    <row r="1746" s="2" customFormat="1" ht="15" x14ac:dyDescent="0.25"/>
    <row r="1747" s="2" customFormat="1" ht="15" x14ac:dyDescent="0.25"/>
    <row r="1748" s="2" customFormat="1" ht="15" x14ac:dyDescent="0.25"/>
    <row r="1749" s="2" customFormat="1" ht="15" x14ac:dyDescent="0.25"/>
    <row r="1750" s="2" customFormat="1" ht="15" x14ac:dyDescent="0.25"/>
    <row r="1751" s="2" customFormat="1" ht="15" x14ac:dyDescent="0.25"/>
    <row r="1752" s="2" customFormat="1" ht="15" x14ac:dyDescent="0.25"/>
    <row r="1753" s="2" customFormat="1" ht="15" x14ac:dyDescent="0.25"/>
    <row r="1754" s="2" customFormat="1" ht="15" x14ac:dyDescent="0.25"/>
    <row r="1755" s="2" customFormat="1" ht="15" x14ac:dyDescent="0.25"/>
    <row r="1756" s="2" customFormat="1" ht="15" x14ac:dyDescent="0.25"/>
    <row r="1757" s="2" customFormat="1" ht="15" x14ac:dyDescent="0.25"/>
    <row r="1758" s="2" customFormat="1" ht="15" x14ac:dyDescent="0.25"/>
    <row r="1759" s="2" customFormat="1" ht="15" x14ac:dyDescent="0.25"/>
    <row r="1760" s="2" customFormat="1" ht="15" x14ac:dyDescent="0.25"/>
    <row r="1761" s="2" customFormat="1" ht="15" x14ac:dyDescent="0.25"/>
    <row r="1762" s="2" customFormat="1" ht="15" x14ac:dyDescent="0.25"/>
    <row r="1763" s="2" customFormat="1" ht="15" x14ac:dyDescent="0.25"/>
    <row r="1764" s="2" customFormat="1" ht="15" x14ac:dyDescent="0.25"/>
    <row r="1765" s="2" customFormat="1" ht="15" x14ac:dyDescent="0.25"/>
    <row r="1766" s="2" customFormat="1" ht="15" x14ac:dyDescent="0.25"/>
    <row r="1767" s="2" customFormat="1" ht="15" x14ac:dyDescent="0.25"/>
    <row r="1768" s="2" customFormat="1" ht="15" x14ac:dyDescent="0.25"/>
    <row r="1769" s="2" customFormat="1" ht="15" x14ac:dyDescent="0.25"/>
    <row r="1770" s="2" customFormat="1" ht="15" x14ac:dyDescent="0.25"/>
    <row r="1771" s="2" customFormat="1" ht="15" x14ac:dyDescent="0.25"/>
    <row r="1772" s="2" customFormat="1" ht="15" x14ac:dyDescent="0.25"/>
    <row r="1773" s="2" customFormat="1" ht="15" x14ac:dyDescent="0.25"/>
    <row r="1774" s="2" customFormat="1" ht="15" x14ac:dyDescent="0.25"/>
    <row r="1775" s="2" customFormat="1" ht="15" x14ac:dyDescent="0.25"/>
    <row r="1776" s="2" customFormat="1" ht="15" x14ac:dyDescent="0.25"/>
    <row r="1777" s="2" customFormat="1" ht="15" x14ac:dyDescent="0.25"/>
    <row r="1778" s="2" customFormat="1" ht="15" x14ac:dyDescent="0.25"/>
    <row r="1779" s="2" customFormat="1" ht="15" x14ac:dyDescent="0.25"/>
    <row r="1780" s="2" customFormat="1" ht="15" x14ac:dyDescent="0.25"/>
    <row r="1781" s="2" customFormat="1" ht="15" x14ac:dyDescent="0.25"/>
    <row r="1782" s="2" customFormat="1" ht="15" x14ac:dyDescent="0.25"/>
    <row r="1783" s="2" customFormat="1" ht="15" x14ac:dyDescent="0.25"/>
    <row r="1784" s="2" customFormat="1" ht="15" x14ac:dyDescent="0.25"/>
    <row r="1785" s="2" customFormat="1" ht="15" x14ac:dyDescent="0.25"/>
    <row r="1786" s="2" customFormat="1" ht="15" x14ac:dyDescent="0.25"/>
    <row r="1787" s="2" customFormat="1" ht="15" x14ac:dyDescent="0.25"/>
    <row r="1788" s="2" customFormat="1" ht="15" x14ac:dyDescent="0.25"/>
    <row r="1789" s="2" customFormat="1" ht="15" x14ac:dyDescent="0.25"/>
    <row r="1790" s="2" customFormat="1" ht="15" x14ac:dyDescent="0.25"/>
    <row r="1791" s="2" customFormat="1" ht="15" x14ac:dyDescent="0.25"/>
    <row r="1792" s="2" customFormat="1" ht="15" x14ac:dyDescent="0.25"/>
    <row r="1793" s="2" customFormat="1" ht="15" x14ac:dyDescent="0.25"/>
    <row r="1794" s="2" customFormat="1" ht="15" x14ac:dyDescent="0.25"/>
    <row r="1795" s="2" customFormat="1" ht="15" x14ac:dyDescent="0.25"/>
    <row r="1796" s="2" customFormat="1" ht="15" x14ac:dyDescent="0.25"/>
    <row r="1797" s="2" customFormat="1" ht="15" x14ac:dyDescent="0.25"/>
    <row r="1798" s="2" customFormat="1" ht="15" x14ac:dyDescent="0.25"/>
    <row r="1799" s="2" customFormat="1" ht="15" x14ac:dyDescent="0.25"/>
    <row r="1800" s="2" customFormat="1" ht="15" x14ac:dyDescent="0.25"/>
    <row r="1801" s="2" customFormat="1" ht="15" x14ac:dyDescent="0.25"/>
    <row r="1802" s="2" customFormat="1" ht="15" x14ac:dyDescent="0.25"/>
    <row r="1803" s="2" customFormat="1" ht="15" x14ac:dyDescent="0.25"/>
    <row r="1804" s="2" customFormat="1" ht="15" x14ac:dyDescent="0.25"/>
    <row r="1805" s="2" customFormat="1" ht="15" x14ac:dyDescent="0.25"/>
    <row r="1806" s="2" customFormat="1" ht="15" x14ac:dyDescent="0.25"/>
    <row r="1807" s="2" customFormat="1" ht="15" x14ac:dyDescent="0.25"/>
    <row r="1808" s="2" customFormat="1" ht="15" x14ac:dyDescent="0.25"/>
    <row r="1809" s="2" customFormat="1" ht="15" x14ac:dyDescent="0.25"/>
    <row r="1810" s="2" customFormat="1" ht="15" x14ac:dyDescent="0.25"/>
    <row r="1811" s="2" customFormat="1" ht="15" x14ac:dyDescent="0.25"/>
    <row r="1812" s="2" customFormat="1" ht="15" x14ac:dyDescent="0.25"/>
    <row r="1813" s="2" customFormat="1" ht="15" x14ac:dyDescent="0.25"/>
    <row r="1814" s="2" customFormat="1" ht="15" x14ac:dyDescent="0.25"/>
    <row r="1815" s="2" customFormat="1" ht="15" x14ac:dyDescent="0.25"/>
    <row r="1816" s="2" customFormat="1" ht="15" x14ac:dyDescent="0.25"/>
    <row r="1817" s="2" customFormat="1" ht="15" x14ac:dyDescent="0.25"/>
    <row r="1818" s="2" customFormat="1" ht="15" x14ac:dyDescent="0.25"/>
    <row r="1819" s="2" customFormat="1" ht="15" x14ac:dyDescent="0.25"/>
    <row r="1820" s="2" customFormat="1" ht="15" x14ac:dyDescent="0.25"/>
    <row r="1821" s="2" customFormat="1" ht="15" x14ac:dyDescent="0.25"/>
    <row r="1822" s="2" customFormat="1" ht="15" x14ac:dyDescent="0.25"/>
    <row r="1823" s="2" customFormat="1" ht="15" x14ac:dyDescent="0.25"/>
    <row r="1824" s="2" customFormat="1" ht="15" x14ac:dyDescent="0.25"/>
    <row r="1825" s="2" customFormat="1" ht="15" x14ac:dyDescent="0.25"/>
    <row r="1826" s="2" customFormat="1" ht="15" x14ac:dyDescent="0.25"/>
    <row r="1827" s="2" customFormat="1" ht="15" x14ac:dyDescent="0.25"/>
    <row r="1828" s="2" customFormat="1" ht="15" x14ac:dyDescent="0.25"/>
    <row r="1829" s="2" customFormat="1" ht="15" x14ac:dyDescent="0.25"/>
    <row r="1830" s="2" customFormat="1" ht="15" x14ac:dyDescent="0.25"/>
    <row r="1831" s="2" customFormat="1" ht="15" x14ac:dyDescent="0.25"/>
    <row r="1832" s="2" customFormat="1" ht="15" x14ac:dyDescent="0.25"/>
    <row r="1833" s="2" customFormat="1" ht="15" x14ac:dyDescent="0.25"/>
    <row r="1834" s="2" customFormat="1" ht="15" x14ac:dyDescent="0.25"/>
    <row r="1835" s="2" customFormat="1" ht="15" x14ac:dyDescent="0.25"/>
    <row r="1836" s="2" customFormat="1" ht="15" x14ac:dyDescent="0.25"/>
    <row r="1837" s="2" customFormat="1" ht="15" x14ac:dyDescent="0.25"/>
    <row r="1838" s="2" customFormat="1" ht="15" x14ac:dyDescent="0.25"/>
    <row r="1839" s="2" customFormat="1" ht="15" x14ac:dyDescent="0.25"/>
    <row r="1840" s="2" customFormat="1" ht="15" x14ac:dyDescent="0.25"/>
    <row r="1841" s="2" customFormat="1" ht="15" x14ac:dyDescent="0.25"/>
    <row r="1842" s="2" customFormat="1" ht="15" x14ac:dyDescent="0.25"/>
    <row r="1843" s="2" customFormat="1" ht="15" x14ac:dyDescent="0.25"/>
    <row r="1844" s="2" customFormat="1" ht="15" x14ac:dyDescent="0.25"/>
    <row r="1845" s="2" customFormat="1" ht="15" x14ac:dyDescent="0.25"/>
    <row r="1846" s="2" customFormat="1" ht="15" x14ac:dyDescent="0.25"/>
    <row r="1847" s="2" customFormat="1" ht="15" x14ac:dyDescent="0.25"/>
    <row r="1848" s="2" customFormat="1" ht="15" x14ac:dyDescent="0.25"/>
    <row r="1849" s="2" customFormat="1" ht="15" x14ac:dyDescent="0.25"/>
    <row r="1850" s="2" customFormat="1" ht="15" x14ac:dyDescent="0.25"/>
    <row r="1851" s="2" customFormat="1" ht="15" x14ac:dyDescent="0.25"/>
    <row r="1852" s="2" customFormat="1" ht="15" x14ac:dyDescent="0.25"/>
    <row r="1853" s="2" customFormat="1" ht="15" x14ac:dyDescent="0.25"/>
    <row r="1854" s="2" customFormat="1" ht="15" x14ac:dyDescent="0.25"/>
    <row r="1855" s="2" customFormat="1" ht="15" x14ac:dyDescent="0.25"/>
    <row r="1856" s="2" customFormat="1" ht="15" x14ac:dyDescent="0.25"/>
    <row r="1857" s="2" customFormat="1" ht="15" x14ac:dyDescent="0.25"/>
    <row r="1858" s="2" customFormat="1" ht="15" x14ac:dyDescent="0.25"/>
    <row r="1859" s="2" customFormat="1" ht="15" x14ac:dyDescent="0.25"/>
    <row r="1860" s="2" customFormat="1" ht="15" x14ac:dyDescent="0.25"/>
    <row r="1861" s="2" customFormat="1" ht="15" x14ac:dyDescent="0.25"/>
    <row r="1862" s="2" customFormat="1" ht="15" x14ac:dyDescent="0.25"/>
    <row r="1863" s="2" customFormat="1" ht="15" x14ac:dyDescent="0.25"/>
    <row r="1864" s="2" customFormat="1" ht="15" x14ac:dyDescent="0.25"/>
    <row r="1865" s="2" customFormat="1" ht="15" x14ac:dyDescent="0.25"/>
    <row r="1866" s="2" customFormat="1" ht="15" x14ac:dyDescent="0.25"/>
    <row r="1867" s="2" customFormat="1" ht="15" x14ac:dyDescent="0.25"/>
    <row r="1868" s="2" customFormat="1" ht="15" x14ac:dyDescent="0.25"/>
    <row r="1869" s="2" customFormat="1" ht="15" x14ac:dyDescent="0.25"/>
    <row r="1870" s="2" customFormat="1" ht="15" x14ac:dyDescent="0.25"/>
    <row r="1871" s="2" customFormat="1" ht="15" x14ac:dyDescent="0.25"/>
    <row r="1872" s="2" customFormat="1" ht="15" x14ac:dyDescent="0.25"/>
    <row r="1873" s="2" customFormat="1" ht="15" x14ac:dyDescent="0.25"/>
    <row r="1874" s="2" customFormat="1" ht="15" x14ac:dyDescent="0.25"/>
    <row r="1875" s="2" customFormat="1" ht="15" x14ac:dyDescent="0.25"/>
    <row r="1876" s="2" customFormat="1" ht="15" x14ac:dyDescent="0.25"/>
    <row r="1877" s="2" customFormat="1" ht="15" x14ac:dyDescent="0.25"/>
    <row r="1878" s="2" customFormat="1" ht="15" x14ac:dyDescent="0.25"/>
    <row r="1879" s="2" customFormat="1" ht="15" x14ac:dyDescent="0.25"/>
    <row r="1880" s="2" customFormat="1" ht="15" x14ac:dyDescent="0.25"/>
    <row r="1881" s="2" customFormat="1" ht="15" x14ac:dyDescent="0.25"/>
    <row r="1882" s="2" customFormat="1" ht="15" x14ac:dyDescent="0.25"/>
    <row r="1883" s="2" customFormat="1" ht="15" x14ac:dyDescent="0.25"/>
    <row r="1884" s="2" customFormat="1" ht="15" x14ac:dyDescent="0.25"/>
    <row r="1885" s="2" customFormat="1" ht="15" x14ac:dyDescent="0.25"/>
    <row r="1886" s="2" customFormat="1" ht="15" x14ac:dyDescent="0.25"/>
    <row r="1887" s="2" customFormat="1" ht="15" x14ac:dyDescent="0.25"/>
    <row r="1888" s="2" customFormat="1" ht="15" x14ac:dyDescent="0.25"/>
    <row r="1889" s="2" customFormat="1" ht="15" x14ac:dyDescent="0.25"/>
    <row r="1890" s="2" customFormat="1" ht="15" x14ac:dyDescent="0.25"/>
    <row r="1891" s="2" customFormat="1" ht="15" x14ac:dyDescent="0.25"/>
    <row r="1892" s="2" customFormat="1" ht="15" x14ac:dyDescent="0.25"/>
    <row r="1893" s="2" customFormat="1" ht="15" x14ac:dyDescent="0.25"/>
    <row r="1894" s="2" customFormat="1" ht="15" x14ac:dyDescent="0.25"/>
    <row r="1895" s="2" customFormat="1" ht="15" x14ac:dyDescent="0.25"/>
    <row r="1896" s="2" customFormat="1" ht="15" x14ac:dyDescent="0.25"/>
    <row r="1897" s="2" customFormat="1" ht="15" x14ac:dyDescent="0.25"/>
    <row r="1898" s="2" customFormat="1" ht="15" x14ac:dyDescent="0.25"/>
    <row r="1899" s="2" customFormat="1" ht="15" x14ac:dyDescent="0.25"/>
    <row r="1900" s="2" customFormat="1" ht="15" x14ac:dyDescent="0.25"/>
    <row r="1901" s="2" customFormat="1" ht="15" x14ac:dyDescent="0.25"/>
    <row r="1902" s="2" customFormat="1" ht="15" x14ac:dyDescent="0.25"/>
    <row r="1903" s="2" customFormat="1" ht="15" x14ac:dyDescent="0.25"/>
    <row r="1904" s="2" customFormat="1" ht="15" x14ac:dyDescent="0.25"/>
    <row r="1905" s="2" customFormat="1" ht="15" x14ac:dyDescent="0.25"/>
    <row r="1906" s="2" customFormat="1" ht="15" x14ac:dyDescent="0.25"/>
    <row r="1907" s="2" customFormat="1" ht="15" x14ac:dyDescent="0.25"/>
    <row r="1908" s="2" customFormat="1" ht="15" x14ac:dyDescent="0.25"/>
    <row r="1909" s="2" customFormat="1" ht="15" x14ac:dyDescent="0.25"/>
    <row r="1910" s="2" customFormat="1" ht="15" x14ac:dyDescent="0.25"/>
    <row r="1911" s="2" customFormat="1" ht="15" x14ac:dyDescent="0.25"/>
    <row r="1912" s="2" customFormat="1" ht="15" x14ac:dyDescent="0.25"/>
    <row r="1913" s="2" customFormat="1" ht="15" x14ac:dyDescent="0.25"/>
    <row r="1914" s="2" customFormat="1" ht="15" x14ac:dyDescent="0.25"/>
    <row r="1915" s="2" customFormat="1" ht="15" x14ac:dyDescent="0.25"/>
    <row r="1916" s="2" customFormat="1" ht="15" x14ac:dyDescent="0.25"/>
    <row r="1917" s="2" customFormat="1" ht="15" x14ac:dyDescent="0.25"/>
    <row r="1918" s="2" customFormat="1" ht="15" x14ac:dyDescent="0.25"/>
    <row r="1919" s="2" customFormat="1" ht="15" x14ac:dyDescent="0.25"/>
    <row r="1920" s="2" customFormat="1" ht="15" x14ac:dyDescent="0.25"/>
    <row r="1921" s="2" customFormat="1" ht="15" x14ac:dyDescent="0.25"/>
    <row r="1922" s="2" customFormat="1" ht="15" x14ac:dyDescent="0.25"/>
    <row r="1923" s="2" customFormat="1" ht="15" x14ac:dyDescent="0.25"/>
    <row r="1924" s="2" customFormat="1" ht="15" x14ac:dyDescent="0.25"/>
    <row r="1925" s="2" customFormat="1" ht="15" x14ac:dyDescent="0.25"/>
    <row r="1926" s="2" customFormat="1" ht="15" x14ac:dyDescent="0.25"/>
    <row r="1927" s="2" customFormat="1" ht="15" x14ac:dyDescent="0.25"/>
    <row r="1928" s="2" customFormat="1" ht="15" x14ac:dyDescent="0.25"/>
    <row r="1929" s="2" customFormat="1" ht="15" x14ac:dyDescent="0.25"/>
    <row r="1930" s="2" customFormat="1" ht="15" x14ac:dyDescent="0.25"/>
    <row r="1931" s="2" customFormat="1" ht="15" x14ac:dyDescent="0.25"/>
    <row r="1932" s="2" customFormat="1" ht="15" x14ac:dyDescent="0.25"/>
    <row r="1933" s="2" customFormat="1" ht="15" x14ac:dyDescent="0.25"/>
    <row r="1934" s="2" customFormat="1" ht="15" x14ac:dyDescent="0.25"/>
    <row r="1935" s="2" customFormat="1" ht="15" x14ac:dyDescent="0.25"/>
    <row r="1936" s="2" customFormat="1" ht="15" x14ac:dyDescent="0.25"/>
    <row r="1937" s="2" customFormat="1" ht="15" x14ac:dyDescent="0.25"/>
    <row r="1938" s="2" customFormat="1" ht="15" x14ac:dyDescent="0.25"/>
    <row r="1939" s="2" customFormat="1" ht="15" x14ac:dyDescent="0.25"/>
    <row r="1940" s="2" customFormat="1" ht="15" x14ac:dyDescent="0.25"/>
    <row r="1941" s="2" customFormat="1" ht="15" x14ac:dyDescent="0.25"/>
    <row r="1942" s="2" customFormat="1" ht="15" x14ac:dyDescent="0.25"/>
    <row r="1943" s="2" customFormat="1" ht="15" x14ac:dyDescent="0.25"/>
    <row r="1944" s="2" customFormat="1" ht="15" x14ac:dyDescent="0.25"/>
    <row r="1945" s="2" customFormat="1" ht="15" x14ac:dyDescent="0.25"/>
    <row r="1946" s="2" customFormat="1" ht="15" x14ac:dyDescent="0.25"/>
    <row r="1947" s="2" customFormat="1" ht="15" x14ac:dyDescent="0.25"/>
    <row r="1948" s="2" customFormat="1" ht="15" x14ac:dyDescent="0.25"/>
    <row r="1949" s="2" customFormat="1" ht="15" x14ac:dyDescent="0.25"/>
    <row r="1950" s="2" customFormat="1" ht="15" x14ac:dyDescent="0.25"/>
    <row r="1951" s="2" customFormat="1" ht="15" x14ac:dyDescent="0.25"/>
    <row r="1952" s="2" customFormat="1" ht="15" x14ac:dyDescent="0.25"/>
    <row r="1953" s="2" customFormat="1" ht="15" x14ac:dyDescent="0.25"/>
    <row r="1954" s="2" customFormat="1" ht="15" x14ac:dyDescent="0.25"/>
    <row r="1955" s="2" customFormat="1" ht="15" x14ac:dyDescent="0.25"/>
    <row r="1956" s="2" customFormat="1" ht="15" x14ac:dyDescent="0.25"/>
    <row r="1957" s="2" customFormat="1" ht="15" x14ac:dyDescent="0.25"/>
    <row r="1958" s="2" customFormat="1" ht="15" x14ac:dyDescent="0.25"/>
    <row r="1959" s="2" customFormat="1" ht="15" x14ac:dyDescent="0.25"/>
    <row r="1960" s="2" customFormat="1" ht="15" x14ac:dyDescent="0.25"/>
    <row r="1961" s="2" customFormat="1" ht="15" x14ac:dyDescent="0.25"/>
    <row r="1962" s="2" customFormat="1" ht="15" x14ac:dyDescent="0.25"/>
    <row r="1963" s="2" customFormat="1" ht="15" x14ac:dyDescent="0.25"/>
    <row r="1964" s="2" customFormat="1" ht="15" x14ac:dyDescent="0.25"/>
    <row r="1965" s="2" customFormat="1" ht="15" x14ac:dyDescent="0.25"/>
    <row r="1966" s="2" customFormat="1" ht="15" x14ac:dyDescent="0.25"/>
    <row r="1967" s="2" customFormat="1" ht="15" x14ac:dyDescent="0.25"/>
    <row r="1968" s="2" customFormat="1" ht="15" x14ac:dyDescent="0.25"/>
    <row r="1969" s="2" customFormat="1" ht="15" x14ac:dyDescent="0.25"/>
    <row r="1970" s="2" customFormat="1" ht="15" x14ac:dyDescent="0.25"/>
    <row r="1971" s="2" customFormat="1" ht="15" x14ac:dyDescent="0.25"/>
    <row r="1972" s="2" customFormat="1" ht="15" x14ac:dyDescent="0.25"/>
    <row r="1973" s="2" customFormat="1" ht="15" x14ac:dyDescent="0.25"/>
    <row r="1974" s="2" customFormat="1" ht="15" x14ac:dyDescent="0.25"/>
    <row r="1975" s="2" customFormat="1" ht="15" x14ac:dyDescent="0.25"/>
    <row r="1976" s="2" customFormat="1" ht="15" x14ac:dyDescent="0.25"/>
    <row r="1977" s="2" customFormat="1" ht="15" x14ac:dyDescent="0.25"/>
    <row r="1978" s="2" customFormat="1" ht="15" x14ac:dyDescent="0.25"/>
    <row r="1979" s="2" customFormat="1" ht="15" x14ac:dyDescent="0.25"/>
    <row r="1980" s="2" customFormat="1" ht="15" x14ac:dyDescent="0.25"/>
    <row r="1981" s="2" customFormat="1" ht="15" x14ac:dyDescent="0.25"/>
    <row r="1982" s="2" customFormat="1" ht="15" x14ac:dyDescent="0.25"/>
    <row r="1983" s="2" customFormat="1" ht="15" x14ac:dyDescent="0.25"/>
    <row r="1984" s="2" customFormat="1" ht="15" x14ac:dyDescent="0.25"/>
    <row r="1985" s="2" customFormat="1" ht="15" x14ac:dyDescent="0.25"/>
    <row r="1986" s="2" customFormat="1" ht="15" x14ac:dyDescent="0.25"/>
    <row r="1987" s="2" customFormat="1" ht="15" x14ac:dyDescent="0.25"/>
    <row r="1988" s="2" customFormat="1" ht="15" x14ac:dyDescent="0.25"/>
    <row r="1989" s="2" customFormat="1" ht="15" x14ac:dyDescent="0.25"/>
    <row r="1990" s="2" customFormat="1" ht="15" x14ac:dyDescent="0.25"/>
    <row r="1991" s="2" customFormat="1" ht="15" x14ac:dyDescent="0.25"/>
    <row r="1992" s="2" customFormat="1" ht="15" x14ac:dyDescent="0.25"/>
    <row r="1993" s="2" customFormat="1" ht="15" x14ac:dyDescent="0.25"/>
    <row r="1994" s="2" customFormat="1" ht="15" x14ac:dyDescent="0.25"/>
    <row r="1995" s="2" customFormat="1" ht="15" x14ac:dyDescent="0.25"/>
    <row r="1996" s="2" customFormat="1" ht="15" x14ac:dyDescent="0.25"/>
    <row r="1997" s="2" customFormat="1" ht="15" x14ac:dyDescent="0.25"/>
    <row r="1998" s="2" customFormat="1" ht="15" x14ac:dyDescent="0.25"/>
    <row r="1999" s="2" customFormat="1" ht="15" x14ac:dyDescent="0.25"/>
    <row r="2000" s="2" customFormat="1" ht="15" x14ac:dyDescent="0.25"/>
    <row r="2001" s="2" customFormat="1" ht="15" x14ac:dyDescent="0.25"/>
    <row r="2002" s="2" customFormat="1" ht="15" x14ac:dyDescent="0.25"/>
    <row r="2003" s="2" customFormat="1" ht="15" x14ac:dyDescent="0.25"/>
    <row r="2004" s="2" customFormat="1" ht="15" x14ac:dyDescent="0.25"/>
    <row r="2005" s="2" customFormat="1" ht="15" x14ac:dyDescent="0.25"/>
    <row r="2006" s="2" customFormat="1" ht="15" x14ac:dyDescent="0.25"/>
    <row r="2007" s="2" customFormat="1" ht="15" x14ac:dyDescent="0.25"/>
    <row r="2008" s="2" customFormat="1" ht="15" x14ac:dyDescent="0.25"/>
    <row r="2009" s="2" customFormat="1" ht="15" x14ac:dyDescent="0.25"/>
    <row r="2010" s="2" customFormat="1" ht="15" x14ac:dyDescent="0.25"/>
    <row r="2011" s="2" customFormat="1" ht="15" x14ac:dyDescent="0.25"/>
    <row r="2012" s="2" customFormat="1" ht="15" x14ac:dyDescent="0.25"/>
    <row r="2013" s="2" customFormat="1" ht="15" x14ac:dyDescent="0.25"/>
    <row r="2014" s="2" customFormat="1" ht="15" x14ac:dyDescent="0.25"/>
    <row r="2015" s="2" customFormat="1" ht="15" x14ac:dyDescent="0.25"/>
    <row r="2016" s="2" customFormat="1" ht="15" x14ac:dyDescent="0.25"/>
    <row r="2017" s="2" customFormat="1" ht="15" x14ac:dyDescent="0.25"/>
    <row r="2018" s="2" customFormat="1" ht="15" x14ac:dyDescent="0.25"/>
    <row r="2019" s="2" customFormat="1" ht="15" x14ac:dyDescent="0.25"/>
    <row r="2020" s="2" customFormat="1" ht="15" x14ac:dyDescent="0.25"/>
    <row r="2021" s="2" customFormat="1" ht="15" x14ac:dyDescent="0.25"/>
    <row r="2022" s="2" customFormat="1" ht="15" x14ac:dyDescent="0.25"/>
    <row r="2023" s="2" customFormat="1" ht="15" x14ac:dyDescent="0.25"/>
    <row r="2024" s="2" customFormat="1" ht="15" x14ac:dyDescent="0.25"/>
    <row r="2025" s="2" customFormat="1" ht="15" x14ac:dyDescent="0.25"/>
    <row r="2026" s="2" customFormat="1" ht="15" x14ac:dyDescent="0.25"/>
    <row r="2027" s="2" customFormat="1" ht="15" x14ac:dyDescent="0.25"/>
    <row r="2028" s="2" customFormat="1" ht="15" x14ac:dyDescent="0.25"/>
    <row r="2029" s="2" customFormat="1" ht="15" x14ac:dyDescent="0.25"/>
    <row r="2030" s="2" customFormat="1" ht="15" x14ac:dyDescent="0.25"/>
    <row r="2031" s="2" customFormat="1" ht="15" x14ac:dyDescent="0.25"/>
    <row r="2032" s="2" customFormat="1" ht="15" x14ac:dyDescent="0.25"/>
    <row r="2033" s="2" customFormat="1" ht="15" x14ac:dyDescent="0.25"/>
    <row r="2034" s="2" customFormat="1" ht="15" x14ac:dyDescent="0.25"/>
    <row r="2035" s="2" customFormat="1" ht="15" x14ac:dyDescent="0.25"/>
    <row r="2036" s="2" customFormat="1" ht="15" x14ac:dyDescent="0.25"/>
    <row r="2037" s="2" customFormat="1" ht="15" x14ac:dyDescent="0.25"/>
    <row r="2038" s="2" customFormat="1" ht="15" x14ac:dyDescent="0.25"/>
    <row r="2039" s="2" customFormat="1" ht="15" x14ac:dyDescent="0.25"/>
    <row r="2040" s="2" customFormat="1" ht="15" x14ac:dyDescent="0.25"/>
    <row r="2041" s="2" customFormat="1" ht="15" x14ac:dyDescent="0.25"/>
    <row r="2042" s="2" customFormat="1" ht="15" x14ac:dyDescent="0.25"/>
    <row r="2043" s="2" customFormat="1" ht="15" x14ac:dyDescent="0.25"/>
    <row r="2044" s="2" customFormat="1" ht="15" x14ac:dyDescent="0.25"/>
    <row r="2045" s="2" customFormat="1" ht="15" x14ac:dyDescent="0.25"/>
    <row r="2046" s="2" customFormat="1" ht="15" x14ac:dyDescent="0.25"/>
    <row r="2047" s="2" customFormat="1" ht="15" x14ac:dyDescent="0.25"/>
    <row r="2048" s="2" customFormat="1" ht="15" x14ac:dyDescent="0.25"/>
    <row r="2049" s="2" customFormat="1" ht="15" x14ac:dyDescent="0.25"/>
    <row r="2050" s="2" customFormat="1" ht="15" x14ac:dyDescent="0.25"/>
    <row r="2051" s="2" customFormat="1" ht="15" x14ac:dyDescent="0.25"/>
    <row r="2052" s="2" customFormat="1" ht="15" x14ac:dyDescent="0.25"/>
    <row r="2053" s="2" customFormat="1" ht="15" x14ac:dyDescent="0.25"/>
    <row r="2054" s="2" customFormat="1" ht="15" x14ac:dyDescent="0.25"/>
    <row r="2055" s="2" customFormat="1" ht="15" x14ac:dyDescent="0.25"/>
    <row r="2056" s="2" customFormat="1" ht="15" x14ac:dyDescent="0.25"/>
    <row r="2057" s="2" customFormat="1" ht="15" x14ac:dyDescent="0.25"/>
    <row r="2058" s="2" customFormat="1" ht="15" x14ac:dyDescent="0.25"/>
    <row r="2059" s="2" customFormat="1" ht="15" x14ac:dyDescent="0.25"/>
    <row r="2060" s="2" customFormat="1" ht="15" x14ac:dyDescent="0.25"/>
    <row r="2061" s="2" customFormat="1" ht="15" x14ac:dyDescent="0.25"/>
    <row r="2062" s="2" customFormat="1" ht="15" x14ac:dyDescent="0.25"/>
    <row r="2063" s="2" customFormat="1" ht="15" x14ac:dyDescent="0.25"/>
    <row r="2064" s="2" customFormat="1" ht="15" x14ac:dyDescent="0.25"/>
    <row r="2065" s="2" customFormat="1" ht="15" x14ac:dyDescent="0.25"/>
    <row r="2066" s="2" customFormat="1" ht="15" x14ac:dyDescent="0.25"/>
    <row r="2067" s="2" customFormat="1" ht="15" x14ac:dyDescent="0.25"/>
    <row r="2068" s="2" customFormat="1" ht="15" x14ac:dyDescent="0.25"/>
    <row r="2069" s="2" customFormat="1" ht="15" x14ac:dyDescent="0.25"/>
    <row r="2070" s="2" customFormat="1" ht="15" x14ac:dyDescent="0.25"/>
    <row r="2071" s="2" customFormat="1" ht="15" x14ac:dyDescent="0.25"/>
    <row r="2072" s="2" customFormat="1" ht="15" x14ac:dyDescent="0.25"/>
    <row r="2073" s="2" customFormat="1" ht="15" x14ac:dyDescent="0.25"/>
    <row r="2074" s="2" customFormat="1" ht="15" x14ac:dyDescent="0.25"/>
    <row r="2075" s="2" customFormat="1" ht="15" x14ac:dyDescent="0.25"/>
    <row r="2076" s="2" customFormat="1" ht="15" x14ac:dyDescent="0.25"/>
    <row r="2077" s="2" customFormat="1" ht="15" x14ac:dyDescent="0.25"/>
    <row r="2078" s="2" customFormat="1" ht="15" x14ac:dyDescent="0.25"/>
    <row r="2079" s="2" customFormat="1" ht="15" x14ac:dyDescent="0.25"/>
    <row r="2080" s="2" customFormat="1" ht="15" x14ac:dyDescent="0.25"/>
    <row r="2081" s="2" customFormat="1" ht="15" x14ac:dyDescent="0.25"/>
    <row r="2082" s="2" customFormat="1" ht="15" x14ac:dyDescent="0.25"/>
    <row r="2083" s="2" customFormat="1" ht="15" x14ac:dyDescent="0.25"/>
    <row r="2084" s="2" customFormat="1" ht="15" x14ac:dyDescent="0.25"/>
    <row r="2085" s="2" customFormat="1" ht="15" x14ac:dyDescent="0.25"/>
    <row r="2086" s="2" customFormat="1" ht="15" x14ac:dyDescent="0.25"/>
    <row r="2087" s="2" customFormat="1" ht="15" x14ac:dyDescent="0.25"/>
    <row r="2088" s="2" customFormat="1" ht="15" x14ac:dyDescent="0.25"/>
    <row r="2089" s="2" customFormat="1" ht="15" x14ac:dyDescent="0.25"/>
    <row r="2090" s="2" customFormat="1" ht="15" x14ac:dyDescent="0.25"/>
    <row r="2091" s="2" customFormat="1" ht="15" x14ac:dyDescent="0.25"/>
    <row r="2092" s="2" customFormat="1" ht="15" x14ac:dyDescent="0.25"/>
    <row r="2093" s="2" customFormat="1" ht="15" x14ac:dyDescent="0.25"/>
    <row r="2094" s="2" customFormat="1" ht="15" x14ac:dyDescent="0.25"/>
    <row r="2095" s="2" customFormat="1" ht="15" x14ac:dyDescent="0.25"/>
    <row r="2096" s="2" customFormat="1" ht="15" x14ac:dyDescent="0.25"/>
    <row r="2097" s="2" customFormat="1" ht="15" x14ac:dyDescent="0.25"/>
    <row r="2098" s="2" customFormat="1" ht="15" x14ac:dyDescent="0.25"/>
    <row r="2099" s="2" customFormat="1" ht="15" x14ac:dyDescent="0.25"/>
    <row r="2100" s="2" customFormat="1" ht="15" x14ac:dyDescent="0.25"/>
    <row r="2101" s="2" customFormat="1" ht="15" x14ac:dyDescent="0.25"/>
    <row r="2102" s="2" customFormat="1" ht="15" x14ac:dyDescent="0.25"/>
    <row r="2103" s="2" customFormat="1" ht="15" x14ac:dyDescent="0.25"/>
    <row r="2104" s="2" customFormat="1" ht="15" x14ac:dyDescent="0.25"/>
    <row r="2105" s="2" customFormat="1" ht="15" x14ac:dyDescent="0.25"/>
    <row r="2106" s="2" customFormat="1" ht="15" x14ac:dyDescent="0.25"/>
    <row r="2107" s="2" customFormat="1" ht="15" x14ac:dyDescent="0.25"/>
    <row r="2108" s="2" customFormat="1" ht="15" x14ac:dyDescent="0.25"/>
    <row r="2109" s="2" customFormat="1" ht="15" x14ac:dyDescent="0.25"/>
    <row r="2110" s="2" customFormat="1" ht="15" x14ac:dyDescent="0.25"/>
    <row r="2111" s="2" customFormat="1" ht="15" x14ac:dyDescent="0.25"/>
    <row r="2112" s="2" customFormat="1" ht="15" x14ac:dyDescent="0.25"/>
    <row r="2113" s="2" customFormat="1" ht="15" x14ac:dyDescent="0.25"/>
    <row r="2114" s="2" customFormat="1" ht="15" x14ac:dyDescent="0.25"/>
    <row r="2115" s="2" customFormat="1" ht="15" x14ac:dyDescent="0.25"/>
    <row r="2116" s="2" customFormat="1" ht="15" x14ac:dyDescent="0.25"/>
    <row r="2117" s="2" customFormat="1" ht="15" x14ac:dyDescent="0.25"/>
    <row r="2118" s="2" customFormat="1" ht="15" x14ac:dyDescent="0.25"/>
    <row r="2119" s="2" customFormat="1" ht="15" x14ac:dyDescent="0.25"/>
    <row r="2120" s="2" customFormat="1" ht="15" x14ac:dyDescent="0.25"/>
    <row r="2121" s="2" customFormat="1" ht="15" x14ac:dyDescent="0.25"/>
    <row r="2122" s="2" customFormat="1" ht="15" x14ac:dyDescent="0.25"/>
    <row r="2123" s="2" customFormat="1" ht="15" x14ac:dyDescent="0.25"/>
    <row r="2124" s="2" customFormat="1" ht="15" x14ac:dyDescent="0.25"/>
    <row r="2125" s="2" customFormat="1" ht="15" x14ac:dyDescent="0.25"/>
    <row r="2126" s="2" customFormat="1" ht="15" x14ac:dyDescent="0.25"/>
    <row r="2127" s="2" customFormat="1" ht="15" x14ac:dyDescent="0.25"/>
    <row r="2128" s="2" customFormat="1" ht="15" x14ac:dyDescent="0.25"/>
    <row r="2129" s="2" customFormat="1" ht="15" x14ac:dyDescent="0.25"/>
    <row r="2130" s="2" customFormat="1" ht="15" x14ac:dyDescent="0.25"/>
    <row r="2131" s="2" customFormat="1" ht="15" x14ac:dyDescent="0.25"/>
    <row r="2132" s="2" customFormat="1" ht="15" x14ac:dyDescent="0.25"/>
    <row r="2133" s="2" customFormat="1" ht="15" x14ac:dyDescent="0.25"/>
    <row r="2134" s="2" customFormat="1" ht="15" x14ac:dyDescent="0.25"/>
    <row r="2135" s="2" customFormat="1" ht="15" x14ac:dyDescent="0.25"/>
    <row r="2136" s="2" customFormat="1" ht="15" x14ac:dyDescent="0.25"/>
    <row r="2137" s="2" customFormat="1" ht="15" x14ac:dyDescent="0.25"/>
    <row r="2138" s="2" customFormat="1" ht="15" x14ac:dyDescent="0.25"/>
    <row r="2139" s="2" customFormat="1" ht="15" x14ac:dyDescent="0.25"/>
    <row r="2140" s="2" customFormat="1" ht="15" x14ac:dyDescent="0.25"/>
    <row r="2141" s="2" customFormat="1" ht="15" x14ac:dyDescent="0.25"/>
    <row r="2142" s="2" customFormat="1" ht="15" x14ac:dyDescent="0.25"/>
    <row r="2143" s="2" customFormat="1" ht="15" x14ac:dyDescent="0.25"/>
    <row r="2144" s="2" customFormat="1" ht="15" x14ac:dyDescent="0.25"/>
    <row r="2145" s="2" customFormat="1" ht="15" x14ac:dyDescent="0.25"/>
    <row r="2146" s="2" customFormat="1" ht="15" x14ac:dyDescent="0.25"/>
    <row r="2147" s="2" customFormat="1" ht="15" x14ac:dyDescent="0.25"/>
    <row r="2148" s="2" customFormat="1" ht="15" x14ac:dyDescent="0.25"/>
    <row r="2149" s="2" customFormat="1" ht="15" x14ac:dyDescent="0.25"/>
    <row r="2150" s="2" customFormat="1" ht="15" x14ac:dyDescent="0.25"/>
    <row r="2151" s="2" customFormat="1" ht="15" x14ac:dyDescent="0.25"/>
    <row r="2152" s="2" customFormat="1" ht="15" x14ac:dyDescent="0.25"/>
    <row r="2153" s="2" customFormat="1" ht="15" x14ac:dyDescent="0.25"/>
    <row r="2154" s="2" customFormat="1" ht="15" x14ac:dyDescent="0.25"/>
    <row r="2155" s="2" customFormat="1" ht="15" x14ac:dyDescent="0.25"/>
    <row r="2156" s="2" customFormat="1" ht="15" x14ac:dyDescent="0.25"/>
    <row r="2157" s="2" customFormat="1" ht="15" x14ac:dyDescent="0.25"/>
    <row r="2158" s="2" customFormat="1" ht="15" x14ac:dyDescent="0.25"/>
    <row r="2159" s="2" customFormat="1" ht="15" x14ac:dyDescent="0.25"/>
    <row r="2160" s="2" customFormat="1" ht="15" x14ac:dyDescent="0.25"/>
    <row r="2161" s="2" customFormat="1" ht="15" x14ac:dyDescent="0.25"/>
    <row r="2162" s="2" customFormat="1" ht="15" x14ac:dyDescent="0.25"/>
    <row r="2163" s="2" customFormat="1" ht="15" x14ac:dyDescent="0.25"/>
    <row r="2164" s="2" customFormat="1" ht="15" x14ac:dyDescent="0.25"/>
    <row r="2165" s="2" customFormat="1" ht="15" x14ac:dyDescent="0.25"/>
    <row r="2166" s="2" customFormat="1" ht="15" x14ac:dyDescent="0.25"/>
    <row r="2167" s="2" customFormat="1" ht="15" x14ac:dyDescent="0.25"/>
    <row r="2168" s="2" customFormat="1" ht="15" x14ac:dyDescent="0.25"/>
    <row r="2169" s="2" customFormat="1" ht="15" x14ac:dyDescent="0.25"/>
    <row r="2170" s="2" customFormat="1" ht="15" x14ac:dyDescent="0.25"/>
    <row r="2171" s="2" customFormat="1" ht="15" x14ac:dyDescent="0.25"/>
    <row r="2172" s="2" customFormat="1" ht="15" x14ac:dyDescent="0.25"/>
    <row r="2173" s="2" customFormat="1" ht="15" x14ac:dyDescent="0.25"/>
    <row r="2174" s="2" customFormat="1" ht="15" x14ac:dyDescent="0.25"/>
    <row r="2175" s="2" customFormat="1" ht="15" x14ac:dyDescent="0.25"/>
    <row r="2176" s="2" customFormat="1" ht="15" x14ac:dyDescent="0.25"/>
    <row r="2177" s="2" customFormat="1" ht="15" x14ac:dyDescent="0.25"/>
    <row r="2178" s="2" customFormat="1" ht="15" x14ac:dyDescent="0.25"/>
    <row r="2179" s="2" customFormat="1" ht="15" x14ac:dyDescent="0.25"/>
    <row r="2180" s="2" customFormat="1" ht="15" x14ac:dyDescent="0.25"/>
    <row r="2181" s="2" customFormat="1" ht="15" x14ac:dyDescent="0.25"/>
    <row r="2182" s="2" customFormat="1" ht="15" x14ac:dyDescent="0.25"/>
    <row r="2183" s="2" customFormat="1" ht="15" x14ac:dyDescent="0.25"/>
    <row r="2184" s="2" customFormat="1" ht="15" x14ac:dyDescent="0.25"/>
    <row r="2185" s="2" customFormat="1" ht="15" x14ac:dyDescent="0.25"/>
    <row r="2186" s="2" customFormat="1" ht="15" x14ac:dyDescent="0.25"/>
    <row r="2187" s="2" customFormat="1" ht="15" x14ac:dyDescent="0.25"/>
    <row r="2188" s="2" customFormat="1" ht="15" x14ac:dyDescent="0.25"/>
    <row r="2189" s="2" customFormat="1" ht="15" x14ac:dyDescent="0.25"/>
    <row r="2190" s="2" customFormat="1" ht="15" x14ac:dyDescent="0.25"/>
    <row r="2191" s="2" customFormat="1" ht="15" x14ac:dyDescent="0.25"/>
    <row r="2192" s="2" customFormat="1" ht="15" x14ac:dyDescent="0.25"/>
    <row r="2193" s="2" customFormat="1" ht="15" x14ac:dyDescent="0.25"/>
    <row r="2194" s="2" customFormat="1" ht="15" x14ac:dyDescent="0.25"/>
    <row r="2195" s="2" customFormat="1" ht="15" x14ac:dyDescent="0.25"/>
    <row r="2196" s="2" customFormat="1" ht="15" x14ac:dyDescent="0.25"/>
    <row r="2197" s="2" customFormat="1" ht="15" x14ac:dyDescent="0.25"/>
    <row r="2198" s="2" customFormat="1" ht="15" x14ac:dyDescent="0.25"/>
    <row r="2199" s="2" customFormat="1" ht="15" x14ac:dyDescent="0.25"/>
    <row r="2200" s="2" customFormat="1" ht="15" x14ac:dyDescent="0.25"/>
    <row r="2201" s="2" customFormat="1" ht="15" x14ac:dyDescent="0.25"/>
    <row r="2202" s="2" customFormat="1" ht="15" x14ac:dyDescent="0.25"/>
    <row r="2203" s="2" customFormat="1" ht="15" x14ac:dyDescent="0.25"/>
    <row r="2204" s="2" customFormat="1" ht="15" x14ac:dyDescent="0.25"/>
    <row r="2205" s="2" customFormat="1" ht="15" x14ac:dyDescent="0.25"/>
    <row r="2206" s="2" customFormat="1" ht="15" x14ac:dyDescent="0.25"/>
    <row r="2207" s="2" customFormat="1" ht="15" x14ac:dyDescent="0.25"/>
    <row r="2208" s="2" customFormat="1" ht="15" x14ac:dyDescent="0.25"/>
    <row r="2209" s="2" customFormat="1" ht="15" x14ac:dyDescent="0.25"/>
    <row r="2210" s="2" customFormat="1" ht="15" x14ac:dyDescent="0.25"/>
    <row r="2211" s="2" customFormat="1" ht="15" x14ac:dyDescent="0.25"/>
    <row r="2212" s="2" customFormat="1" ht="15" x14ac:dyDescent="0.25"/>
    <row r="2213" s="2" customFormat="1" ht="15" x14ac:dyDescent="0.25"/>
    <row r="2214" s="2" customFormat="1" ht="15" x14ac:dyDescent="0.25"/>
    <row r="2215" s="2" customFormat="1" ht="15" x14ac:dyDescent="0.25"/>
    <row r="2216" s="2" customFormat="1" ht="15" x14ac:dyDescent="0.25"/>
    <row r="2217" s="2" customFormat="1" ht="15" x14ac:dyDescent="0.25"/>
    <row r="2218" s="2" customFormat="1" ht="15" x14ac:dyDescent="0.25"/>
    <row r="2219" s="2" customFormat="1" ht="15" x14ac:dyDescent="0.25"/>
    <row r="2220" s="2" customFormat="1" ht="15" x14ac:dyDescent="0.25"/>
    <row r="2221" s="2" customFormat="1" ht="15" x14ac:dyDescent="0.25"/>
    <row r="2222" s="2" customFormat="1" ht="15" x14ac:dyDescent="0.25"/>
    <row r="2223" s="2" customFormat="1" ht="15" x14ac:dyDescent="0.25"/>
    <row r="2224" s="2" customFormat="1" ht="15" x14ac:dyDescent="0.25"/>
    <row r="2225" s="2" customFormat="1" ht="15" x14ac:dyDescent="0.25"/>
    <row r="2226" s="2" customFormat="1" ht="15" x14ac:dyDescent="0.25"/>
    <row r="2227" s="2" customFormat="1" ht="15" x14ac:dyDescent="0.25"/>
    <row r="2228" s="2" customFormat="1" ht="15" x14ac:dyDescent="0.25"/>
    <row r="2229" s="2" customFormat="1" ht="15" x14ac:dyDescent="0.25"/>
    <row r="2230" s="2" customFormat="1" ht="15" x14ac:dyDescent="0.25"/>
    <row r="2231" s="2" customFormat="1" ht="15" x14ac:dyDescent="0.25"/>
    <row r="2232" s="2" customFormat="1" ht="15" x14ac:dyDescent="0.25"/>
    <row r="2233" s="2" customFormat="1" ht="15" x14ac:dyDescent="0.25"/>
    <row r="2234" s="2" customFormat="1" ht="15" x14ac:dyDescent="0.25"/>
    <row r="2235" s="2" customFormat="1" ht="15" x14ac:dyDescent="0.25"/>
    <row r="2236" s="2" customFormat="1" ht="15" x14ac:dyDescent="0.25"/>
    <row r="2237" s="2" customFormat="1" ht="15" x14ac:dyDescent="0.25"/>
    <row r="2238" s="2" customFormat="1" ht="15" x14ac:dyDescent="0.25"/>
    <row r="2239" s="2" customFormat="1" ht="15" x14ac:dyDescent="0.25"/>
    <row r="2240" s="2" customFormat="1" ht="15" x14ac:dyDescent="0.25"/>
    <row r="2241" s="2" customFormat="1" ht="15" x14ac:dyDescent="0.25"/>
    <row r="2242" s="2" customFormat="1" ht="15" x14ac:dyDescent="0.25"/>
    <row r="2243" s="2" customFormat="1" ht="15" x14ac:dyDescent="0.25"/>
    <row r="2244" s="2" customFormat="1" ht="15" x14ac:dyDescent="0.25"/>
    <row r="2245" s="2" customFormat="1" ht="15" x14ac:dyDescent="0.25"/>
    <row r="2246" s="2" customFormat="1" ht="15" x14ac:dyDescent="0.25"/>
    <row r="2247" s="2" customFormat="1" ht="15" x14ac:dyDescent="0.25"/>
    <row r="2248" s="2" customFormat="1" ht="15" x14ac:dyDescent="0.25"/>
    <row r="2249" s="2" customFormat="1" ht="15" x14ac:dyDescent="0.25"/>
    <row r="2250" s="2" customFormat="1" ht="15" x14ac:dyDescent="0.25"/>
    <row r="2251" s="2" customFormat="1" ht="15" x14ac:dyDescent="0.25"/>
    <row r="2252" s="2" customFormat="1" ht="15" x14ac:dyDescent="0.25"/>
    <row r="2253" s="2" customFormat="1" ht="15" x14ac:dyDescent="0.25"/>
    <row r="2254" s="2" customFormat="1" ht="15" x14ac:dyDescent="0.25"/>
    <row r="2255" s="2" customFormat="1" ht="15" x14ac:dyDescent="0.25"/>
    <row r="2256" s="2" customFormat="1" ht="15" x14ac:dyDescent="0.25"/>
    <row r="2257" s="2" customFormat="1" ht="15" x14ac:dyDescent="0.25"/>
    <row r="2258" s="2" customFormat="1" ht="15" x14ac:dyDescent="0.25"/>
    <row r="2259" s="2" customFormat="1" ht="15" x14ac:dyDescent="0.25"/>
    <row r="2260" s="2" customFormat="1" ht="15" x14ac:dyDescent="0.25"/>
    <row r="2261" s="2" customFormat="1" ht="15" x14ac:dyDescent="0.25"/>
    <row r="2262" s="2" customFormat="1" ht="15" x14ac:dyDescent="0.25"/>
    <row r="2263" s="2" customFormat="1" ht="15" x14ac:dyDescent="0.25"/>
    <row r="2264" s="2" customFormat="1" ht="15" x14ac:dyDescent="0.25"/>
    <row r="2265" s="2" customFormat="1" ht="15" x14ac:dyDescent="0.25"/>
    <row r="2266" s="2" customFormat="1" ht="15" x14ac:dyDescent="0.25"/>
    <row r="2267" s="2" customFormat="1" ht="15" x14ac:dyDescent="0.25"/>
    <row r="2268" s="2" customFormat="1" ht="15" x14ac:dyDescent="0.25"/>
    <row r="2269" s="2" customFormat="1" ht="15" x14ac:dyDescent="0.25"/>
    <row r="2270" s="2" customFormat="1" ht="15" x14ac:dyDescent="0.25"/>
    <row r="2271" s="2" customFormat="1" ht="15" x14ac:dyDescent="0.25"/>
    <row r="2272" s="2" customFormat="1" ht="15" x14ac:dyDescent="0.25"/>
    <row r="2273" s="2" customFormat="1" ht="15" x14ac:dyDescent="0.25"/>
    <row r="2274" s="2" customFormat="1" ht="15" x14ac:dyDescent="0.25"/>
    <row r="2275" s="2" customFormat="1" ht="15" x14ac:dyDescent="0.25"/>
    <row r="2276" s="2" customFormat="1" ht="15" x14ac:dyDescent="0.25"/>
    <row r="2277" s="2" customFormat="1" ht="15" x14ac:dyDescent="0.25"/>
    <row r="2278" s="2" customFormat="1" ht="15" x14ac:dyDescent="0.25"/>
    <row r="2279" s="2" customFormat="1" ht="15" x14ac:dyDescent="0.25"/>
    <row r="2280" s="2" customFormat="1" ht="15" x14ac:dyDescent="0.25"/>
    <row r="2281" s="2" customFormat="1" ht="15" x14ac:dyDescent="0.25"/>
    <row r="2282" s="2" customFormat="1" ht="15" x14ac:dyDescent="0.25"/>
    <row r="2283" s="2" customFormat="1" ht="15" x14ac:dyDescent="0.25"/>
    <row r="2284" s="2" customFormat="1" ht="15" x14ac:dyDescent="0.25"/>
    <row r="2285" s="2" customFormat="1" ht="15" x14ac:dyDescent="0.25"/>
    <row r="2286" s="2" customFormat="1" ht="15" x14ac:dyDescent="0.25"/>
    <row r="2287" s="2" customFormat="1" ht="15" x14ac:dyDescent="0.25"/>
    <row r="2288" s="2" customFormat="1" ht="15" x14ac:dyDescent="0.25"/>
    <row r="2289" s="2" customFormat="1" ht="15" x14ac:dyDescent="0.25"/>
    <row r="2290" s="2" customFormat="1" ht="15" x14ac:dyDescent="0.25"/>
    <row r="2291" s="2" customFormat="1" ht="15" x14ac:dyDescent="0.25"/>
    <row r="2292" s="2" customFormat="1" ht="15" x14ac:dyDescent="0.25"/>
    <row r="2293" s="2" customFormat="1" ht="15" x14ac:dyDescent="0.25"/>
    <row r="2294" s="2" customFormat="1" ht="15" x14ac:dyDescent="0.25"/>
    <row r="2295" s="2" customFormat="1" ht="15" x14ac:dyDescent="0.25"/>
    <row r="2296" s="2" customFormat="1" ht="15" x14ac:dyDescent="0.25"/>
    <row r="2297" s="2" customFormat="1" ht="15" x14ac:dyDescent="0.25"/>
    <row r="2298" s="2" customFormat="1" ht="15" x14ac:dyDescent="0.25"/>
    <row r="2299" s="2" customFormat="1" ht="15" x14ac:dyDescent="0.25"/>
    <row r="2300" s="2" customFormat="1" ht="15" x14ac:dyDescent="0.25"/>
    <row r="2301" s="2" customFormat="1" ht="15" x14ac:dyDescent="0.25"/>
    <row r="2302" s="2" customFormat="1" ht="15" x14ac:dyDescent="0.25"/>
    <row r="2303" s="2" customFormat="1" ht="15" x14ac:dyDescent="0.25"/>
    <row r="2304" s="2" customFormat="1" ht="15" x14ac:dyDescent="0.25"/>
    <row r="2305" s="2" customFormat="1" ht="15" x14ac:dyDescent="0.25"/>
    <row r="2306" s="2" customFormat="1" ht="15" x14ac:dyDescent="0.25"/>
    <row r="2307" s="2" customFormat="1" ht="15" x14ac:dyDescent="0.25"/>
    <row r="2308" s="2" customFormat="1" ht="15" x14ac:dyDescent="0.25"/>
    <row r="2309" s="2" customFormat="1" ht="15" x14ac:dyDescent="0.25"/>
    <row r="2310" s="2" customFormat="1" ht="15" x14ac:dyDescent="0.25"/>
    <row r="2311" s="2" customFormat="1" ht="15" x14ac:dyDescent="0.25"/>
    <row r="2312" s="2" customFormat="1" ht="15" x14ac:dyDescent="0.25"/>
    <row r="2313" s="2" customFormat="1" ht="15" x14ac:dyDescent="0.25"/>
    <row r="2314" s="2" customFormat="1" ht="15" x14ac:dyDescent="0.25"/>
    <row r="2315" s="2" customFormat="1" ht="15" x14ac:dyDescent="0.25"/>
    <row r="2316" s="2" customFormat="1" ht="15" x14ac:dyDescent="0.25"/>
    <row r="2317" s="2" customFormat="1" ht="15" x14ac:dyDescent="0.25"/>
    <row r="2318" s="2" customFormat="1" ht="15" x14ac:dyDescent="0.25"/>
    <row r="2319" s="2" customFormat="1" ht="15" x14ac:dyDescent="0.25"/>
    <row r="2320" s="2" customFormat="1" ht="15" x14ac:dyDescent="0.25"/>
    <row r="2321" s="2" customFormat="1" ht="15" x14ac:dyDescent="0.25"/>
    <row r="2322" s="2" customFormat="1" ht="15" x14ac:dyDescent="0.25"/>
    <row r="2323" s="2" customFormat="1" ht="15" x14ac:dyDescent="0.25"/>
    <row r="2324" s="2" customFormat="1" ht="15" x14ac:dyDescent="0.25"/>
    <row r="2325" s="2" customFormat="1" ht="15" x14ac:dyDescent="0.25"/>
    <row r="2326" s="2" customFormat="1" ht="15" x14ac:dyDescent="0.25"/>
    <row r="2327" s="2" customFormat="1" ht="15" x14ac:dyDescent="0.25"/>
    <row r="2328" s="2" customFormat="1" ht="15" x14ac:dyDescent="0.25"/>
    <row r="2329" s="2" customFormat="1" ht="15" x14ac:dyDescent="0.25"/>
    <row r="2330" s="2" customFormat="1" ht="15" x14ac:dyDescent="0.25"/>
    <row r="2331" s="2" customFormat="1" ht="15" x14ac:dyDescent="0.25"/>
    <row r="2332" s="2" customFormat="1" ht="15" x14ac:dyDescent="0.25"/>
    <row r="2333" s="2" customFormat="1" ht="15" x14ac:dyDescent="0.25"/>
    <row r="2334" s="2" customFormat="1" ht="15" x14ac:dyDescent="0.25"/>
    <row r="2335" s="2" customFormat="1" ht="15" x14ac:dyDescent="0.25"/>
    <row r="2336" s="2" customFormat="1" ht="15" x14ac:dyDescent="0.25"/>
    <row r="2337" s="2" customFormat="1" ht="15" x14ac:dyDescent="0.25"/>
    <row r="2338" s="2" customFormat="1" ht="15" x14ac:dyDescent="0.25"/>
    <row r="2339" s="2" customFormat="1" ht="15" x14ac:dyDescent="0.25"/>
    <row r="2340" s="2" customFormat="1" ht="15" x14ac:dyDescent="0.25"/>
    <row r="2341" s="2" customFormat="1" ht="15" x14ac:dyDescent="0.25"/>
    <row r="2342" s="2" customFormat="1" ht="15" x14ac:dyDescent="0.25"/>
    <row r="2343" s="2" customFormat="1" ht="15" x14ac:dyDescent="0.25"/>
    <row r="2344" s="2" customFormat="1" ht="15" x14ac:dyDescent="0.25"/>
    <row r="2345" s="2" customFormat="1" ht="15" x14ac:dyDescent="0.25"/>
    <row r="2346" s="2" customFormat="1" ht="15" x14ac:dyDescent="0.25"/>
    <row r="2347" s="2" customFormat="1" ht="15" x14ac:dyDescent="0.25"/>
    <row r="2348" s="2" customFormat="1" ht="15" x14ac:dyDescent="0.25"/>
    <row r="2349" s="2" customFormat="1" ht="15" x14ac:dyDescent="0.25"/>
    <row r="2350" s="2" customFormat="1" ht="15" x14ac:dyDescent="0.25"/>
    <row r="2351" s="2" customFormat="1" ht="15" x14ac:dyDescent="0.25"/>
    <row r="2352" s="2" customFormat="1" ht="15" x14ac:dyDescent="0.25"/>
    <row r="2353" s="2" customFormat="1" ht="15" x14ac:dyDescent="0.25"/>
    <row r="2354" s="2" customFormat="1" ht="15" x14ac:dyDescent="0.25"/>
    <row r="2355" s="2" customFormat="1" ht="15" x14ac:dyDescent="0.25"/>
    <row r="2356" s="2" customFormat="1" ht="15" x14ac:dyDescent="0.25"/>
    <row r="2357" s="2" customFormat="1" ht="15" x14ac:dyDescent="0.25"/>
    <row r="2358" s="2" customFormat="1" ht="15" x14ac:dyDescent="0.25"/>
    <row r="2359" s="2" customFormat="1" ht="15" x14ac:dyDescent="0.25"/>
    <row r="2360" s="2" customFormat="1" ht="15" x14ac:dyDescent="0.25"/>
    <row r="2361" s="2" customFormat="1" ht="15" x14ac:dyDescent="0.25"/>
    <row r="2362" s="2" customFormat="1" ht="15" x14ac:dyDescent="0.25"/>
    <row r="2363" s="2" customFormat="1" ht="15" x14ac:dyDescent="0.25"/>
    <row r="2364" s="2" customFormat="1" ht="15" x14ac:dyDescent="0.25"/>
    <row r="2365" s="2" customFormat="1" ht="15" x14ac:dyDescent="0.25"/>
    <row r="2366" s="2" customFormat="1" ht="15" x14ac:dyDescent="0.25"/>
    <row r="2367" s="2" customFormat="1" ht="15" x14ac:dyDescent="0.25"/>
    <row r="2368" s="2" customFormat="1" ht="15" x14ac:dyDescent="0.25"/>
    <row r="2369" s="2" customFormat="1" ht="15" x14ac:dyDescent="0.25"/>
    <row r="2370" s="2" customFormat="1" ht="15" x14ac:dyDescent="0.25"/>
    <row r="2371" s="2" customFormat="1" ht="15" x14ac:dyDescent="0.25"/>
    <row r="2372" s="2" customFormat="1" ht="15" x14ac:dyDescent="0.25"/>
    <row r="2373" s="2" customFormat="1" ht="15" x14ac:dyDescent="0.25"/>
    <row r="2374" s="2" customFormat="1" ht="15" x14ac:dyDescent="0.25"/>
    <row r="2375" s="2" customFormat="1" ht="15" x14ac:dyDescent="0.25"/>
    <row r="2376" s="2" customFormat="1" ht="15" x14ac:dyDescent="0.25"/>
    <row r="2377" s="2" customFormat="1" ht="15" x14ac:dyDescent="0.25"/>
    <row r="2378" s="2" customFormat="1" ht="15" x14ac:dyDescent="0.25"/>
    <row r="2379" s="2" customFormat="1" ht="15" x14ac:dyDescent="0.25"/>
    <row r="2380" s="2" customFormat="1" ht="15" x14ac:dyDescent="0.25"/>
    <row r="2381" s="2" customFormat="1" ht="15" x14ac:dyDescent="0.25"/>
    <row r="2382" s="2" customFormat="1" ht="15" x14ac:dyDescent="0.25"/>
    <row r="2383" s="2" customFormat="1" ht="15" x14ac:dyDescent="0.25"/>
    <row r="2384" s="2" customFormat="1" ht="15" x14ac:dyDescent="0.25"/>
    <row r="2385" s="2" customFormat="1" ht="15" x14ac:dyDescent="0.25"/>
    <row r="2386" s="2" customFormat="1" ht="15" x14ac:dyDescent="0.25"/>
    <row r="2387" s="2" customFormat="1" ht="15" x14ac:dyDescent="0.25"/>
    <row r="2388" s="2" customFormat="1" ht="15" x14ac:dyDescent="0.25"/>
    <row r="2389" s="2" customFormat="1" ht="15" x14ac:dyDescent="0.25"/>
    <row r="2390" s="2" customFormat="1" ht="15" x14ac:dyDescent="0.25"/>
    <row r="2391" s="2" customFormat="1" ht="15" x14ac:dyDescent="0.25"/>
    <row r="2392" s="2" customFormat="1" ht="15" x14ac:dyDescent="0.25"/>
    <row r="2393" s="2" customFormat="1" ht="15" x14ac:dyDescent="0.25"/>
    <row r="2394" s="2" customFormat="1" ht="15" x14ac:dyDescent="0.25"/>
    <row r="2395" s="2" customFormat="1" ht="15" x14ac:dyDescent="0.25"/>
    <row r="2396" s="2" customFormat="1" ht="15" x14ac:dyDescent="0.25"/>
    <row r="2397" s="2" customFormat="1" ht="15" x14ac:dyDescent="0.25"/>
    <row r="2398" s="2" customFormat="1" ht="15" x14ac:dyDescent="0.25"/>
    <row r="2399" s="2" customFormat="1" ht="15" x14ac:dyDescent="0.25"/>
    <row r="2400" s="2" customFormat="1" ht="15" x14ac:dyDescent="0.25"/>
    <row r="2401" s="2" customFormat="1" ht="15" x14ac:dyDescent="0.25"/>
    <row r="2402" s="2" customFormat="1" ht="15" x14ac:dyDescent="0.25"/>
    <row r="2403" s="2" customFormat="1" ht="15" x14ac:dyDescent="0.25"/>
    <row r="2404" s="2" customFormat="1" ht="15" x14ac:dyDescent="0.25"/>
    <row r="2405" s="2" customFormat="1" ht="15" x14ac:dyDescent="0.25"/>
    <row r="2406" s="2" customFormat="1" ht="15" x14ac:dyDescent="0.25"/>
    <row r="2407" s="2" customFormat="1" ht="15" x14ac:dyDescent="0.25"/>
    <row r="2408" s="2" customFormat="1" ht="15" x14ac:dyDescent="0.25"/>
    <row r="2409" s="2" customFormat="1" ht="15" x14ac:dyDescent="0.25"/>
    <row r="2410" s="2" customFormat="1" ht="15" x14ac:dyDescent="0.25"/>
    <row r="2411" s="2" customFormat="1" ht="15" x14ac:dyDescent="0.25"/>
    <row r="2412" s="2" customFormat="1" ht="15" x14ac:dyDescent="0.25"/>
    <row r="2413" s="2" customFormat="1" ht="15" x14ac:dyDescent="0.25"/>
    <row r="2414" s="2" customFormat="1" ht="15" x14ac:dyDescent="0.25"/>
    <row r="2415" s="2" customFormat="1" ht="15" x14ac:dyDescent="0.25"/>
    <row r="2416" s="2" customFormat="1" ht="15" x14ac:dyDescent="0.25"/>
    <row r="2417" s="2" customFormat="1" ht="15" x14ac:dyDescent="0.25"/>
    <row r="2418" s="2" customFormat="1" ht="15" x14ac:dyDescent="0.25"/>
    <row r="2419" s="2" customFormat="1" ht="15" x14ac:dyDescent="0.25"/>
    <row r="2420" s="2" customFormat="1" ht="15" x14ac:dyDescent="0.25"/>
    <row r="2421" s="2" customFormat="1" ht="15" x14ac:dyDescent="0.25"/>
    <row r="2422" s="2" customFormat="1" ht="15" x14ac:dyDescent="0.25"/>
    <row r="2423" s="2" customFormat="1" ht="15" x14ac:dyDescent="0.25"/>
    <row r="2424" s="2" customFormat="1" ht="15" x14ac:dyDescent="0.25"/>
    <row r="2425" s="2" customFormat="1" ht="15" x14ac:dyDescent="0.25"/>
    <row r="2426" s="2" customFormat="1" ht="15" x14ac:dyDescent="0.25"/>
    <row r="2427" s="2" customFormat="1" ht="15" x14ac:dyDescent="0.25"/>
    <row r="2428" s="2" customFormat="1" ht="15" x14ac:dyDescent="0.25"/>
    <row r="2429" s="2" customFormat="1" ht="15" x14ac:dyDescent="0.25"/>
    <row r="2430" s="2" customFormat="1" ht="15" x14ac:dyDescent="0.25"/>
    <row r="2431" s="2" customFormat="1" ht="15" x14ac:dyDescent="0.25"/>
    <row r="2432" s="2" customFormat="1" ht="15" x14ac:dyDescent="0.25"/>
    <row r="2433" s="2" customFormat="1" ht="15" x14ac:dyDescent="0.25"/>
    <row r="2434" s="2" customFormat="1" ht="15" x14ac:dyDescent="0.25"/>
    <row r="2435" s="2" customFormat="1" ht="15" x14ac:dyDescent="0.25"/>
    <row r="2436" s="2" customFormat="1" ht="15" x14ac:dyDescent="0.25"/>
    <row r="2437" s="2" customFormat="1" ht="15" x14ac:dyDescent="0.25"/>
    <row r="2438" s="2" customFormat="1" ht="15" x14ac:dyDescent="0.25"/>
    <row r="2439" s="2" customFormat="1" ht="15" x14ac:dyDescent="0.25"/>
    <row r="2440" s="2" customFormat="1" ht="15" x14ac:dyDescent="0.25"/>
    <row r="2441" s="2" customFormat="1" ht="15" x14ac:dyDescent="0.25"/>
    <row r="2442" s="2" customFormat="1" ht="15" x14ac:dyDescent="0.25"/>
    <row r="2443" s="2" customFormat="1" ht="15" x14ac:dyDescent="0.25"/>
    <row r="2444" s="2" customFormat="1" ht="15" x14ac:dyDescent="0.25"/>
    <row r="2445" s="2" customFormat="1" ht="15" x14ac:dyDescent="0.25"/>
    <row r="2446" s="2" customFormat="1" ht="15" x14ac:dyDescent="0.25"/>
    <row r="2447" s="2" customFormat="1" ht="15" x14ac:dyDescent="0.25"/>
    <row r="2448" s="2" customFormat="1" ht="15" x14ac:dyDescent="0.25"/>
    <row r="2449" s="2" customFormat="1" ht="15" x14ac:dyDescent="0.25"/>
    <row r="2450" s="2" customFormat="1" ht="15" x14ac:dyDescent="0.25"/>
    <row r="2451" s="2" customFormat="1" ht="15" x14ac:dyDescent="0.25"/>
    <row r="2452" s="2" customFormat="1" ht="15" x14ac:dyDescent="0.25"/>
    <row r="2453" s="2" customFormat="1" ht="15" x14ac:dyDescent="0.25"/>
    <row r="2454" s="2" customFormat="1" ht="15" x14ac:dyDescent="0.25"/>
    <row r="2455" s="2" customFormat="1" ht="15" x14ac:dyDescent="0.25"/>
    <row r="2456" s="2" customFormat="1" ht="15" x14ac:dyDescent="0.25"/>
    <row r="2457" s="2" customFormat="1" ht="15" x14ac:dyDescent="0.25"/>
    <row r="2458" s="2" customFormat="1" ht="15" x14ac:dyDescent="0.25"/>
    <row r="2459" s="2" customFormat="1" ht="15" x14ac:dyDescent="0.25"/>
    <row r="2460" s="2" customFormat="1" ht="15" x14ac:dyDescent="0.25"/>
    <row r="2461" s="2" customFormat="1" ht="15" x14ac:dyDescent="0.25"/>
    <row r="2462" s="2" customFormat="1" ht="15" x14ac:dyDescent="0.25"/>
    <row r="2463" s="2" customFormat="1" ht="15" x14ac:dyDescent="0.25"/>
    <row r="2464" s="2" customFormat="1" ht="15" x14ac:dyDescent="0.25"/>
    <row r="2465" s="2" customFormat="1" ht="15" x14ac:dyDescent="0.25"/>
    <row r="2466" s="2" customFormat="1" ht="15" x14ac:dyDescent="0.25"/>
    <row r="2467" s="2" customFormat="1" ht="15" x14ac:dyDescent="0.25"/>
    <row r="2468" s="2" customFormat="1" ht="15" x14ac:dyDescent="0.25"/>
    <row r="2469" s="2" customFormat="1" ht="15" x14ac:dyDescent="0.25"/>
    <row r="2470" s="2" customFormat="1" ht="15" x14ac:dyDescent="0.25"/>
    <row r="2471" s="2" customFormat="1" ht="15" x14ac:dyDescent="0.25"/>
    <row r="2472" s="2" customFormat="1" ht="15" x14ac:dyDescent="0.25"/>
    <row r="2473" s="2" customFormat="1" ht="15" x14ac:dyDescent="0.25"/>
    <row r="2474" s="2" customFormat="1" ht="15" x14ac:dyDescent="0.25"/>
    <row r="2475" s="2" customFormat="1" ht="15" x14ac:dyDescent="0.25"/>
    <row r="2476" s="2" customFormat="1" ht="15" x14ac:dyDescent="0.25"/>
    <row r="2477" s="2" customFormat="1" ht="15" x14ac:dyDescent="0.25"/>
    <row r="2478" s="2" customFormat="1" ht="15" x14ac:dyDescent="0.25"/>
    <row r="2479" s="2" customFormat="1" ht="15" x14ac:dyDescent="0.25"/>
    <row r="2480" s="2" customFormat="1" ht="15" x14ac:dyDescent="0.25"/>
    <row r="2481" s="2" customFormat="1" ht="15" x14ac:dyDescent="0.25"/>
    <row r="2482" s="2" customFormat="1" ht="15" x14ac:dyDescent="0.25"/>
    <row r="2483" s="2" customFormat="1" ht="15" x14ac:dyDescent="0.25"/>
    <row r="2484" s="2" customFormat="1" ht="15" x14ac:dyDescent="0.25"/>
    <row r="2485" s="2" customFormat="1" ht="15" x14ac:dyDescent="0.25"/>
    <row r="2486" s="2" customFormat="1" ht="15" x14ac:dyDescent="0.25"/>
    <row r="2487" s="2" customFormat="1" ht="15" x14ac:dyDescent="0.25"/>
    <row r="2488" s="2" customFormat="1" ht="15" x14ac:dyDescent="0.25"/>
    <row r="2489" s="2" customFormat="1" ht="15" x14ac:dyDescent="0.25"/>
    <row r="2490" s="2" customFormat="1" ht="15" x14ac:dyDescent="0.25"/>
    <row r="2491" s="2" customFormat="1" ht="15" x14ac:dyDescent="0.25"/>
    <row r="2492" s="2" customFormat="1" ht="15" x14ac:dyDescent="0.25"/>
    <row r="2493" s="2" customFormat="1" ht="15" x14ac:dyDescent="0.25"/>
    <row r="2494" s="2" customFormat="1" ht="15" x14ac:dyDescent="0.25"/>
    <row r="2495" s="2" customFormat="1" ht="15" x14ac:dyDescent="0.25"/>
    <row r="2496" s="2" customFormat="1" ht="15" x14ac:dyDescent="0.25"/>
    <row r="2497" s="2" customFormat="1" ht="15" x14ac:dyDescent="0.25"/>
    <row r="2498" s="2" customFormat="1" ht="15" x14ac:dyDescent="0.25"/>
    <row r="2499" s="2" customFormat="1" ht="15" x14ac:dyDescent="0.25"/>
    <row r="2500" s="2" customFormat="1" ht="15" x14ac:dyDescent="0.25"/>
    <row r="2501" s="2" customFormat="1" ht="15" x14ac:dyDescent="0.25"/>
    <row r="2502" s="2" customFormat="1" ht="15" x14ac:dyDescent="0.25"/>
    <row r="2503" s="2" customFormat="1" ht="15" x14ac:dyDescent="0.25"/>
    <row r="2504" s="2" customFormat="1" ht="15" x14ac:dyDescent="0.25"/>
    <row r="2505" s="2" customFormat="1" ht="15" x14ac:dyDescent="0.25"/>
    <row r="2506" s="2" customFormat="1" ht="15" x14ac:dyDescent="0.25"/>
    <row r="2507" s="2" customFormat="1" ht="15" x14ac:dyDescent="0.25"/>
    <row r="2508" s="2" customFormat="1" ht="15" x14ac:dyDescent="0.25"/>
    <row r="2509" s="2" customFormat="1" ht="15" x14ac:dyDescent="0.25"/>
    <row r="2510" s="2" customFormat="1" ht="15" x14ac:dyDescent="0.25"/>
    <row r="2511" s="2" customFormat="1" ht="15" x14ac:dyDescent="0.25"/>
    <row r="2512" s="2" customFormat="1" ht="15" x14ac:dyDescent="0.25"/>
    <row r="2513" s="2" customFormat="1" ht="15" x14ac:dyDescent="0.25"/>
    <row r="2514" s="2" customFormat="1" ht="15" x14ac:dyDescent="0.25"/>
    <row r="2515" s="2" customFormat="1" ht="15" x14ac:dyDescent="0.25"/>
    <row r="2516" s="2" customFormat="1" ht="15" x14ac:dyDescent="0.25"/>
    <row r="2517" s="2" customFormat="1" ht="15" x14ac:dyDescent="0.25"/>
    <row r="2518" s="2" customFormat="1" ht="15" x14ac:dyDescent="0.25"/>
    <row r="2519" s="2" customFormat="1" ht="15" x14ac:dyDescent="0.25"/>
    <row r="2520" s="2" customFormat="1" ht="15" x14ac:dyDescent="0.25"/>
    <row r="2521" s="2" customFormat="1" ht="15" x14ac:dyDescent="0.25"/>
    <row r="2522" s="2" customFormat="1" ht="15" x14ac:dyDescent="0.25"/>
    <row r="2523" s="2" customFormat="1" ht="15" x14ac:dyDescent="0.25"/>
    <row r="2524" s="2" customFormat="1" ht="15" x14ac:dyDescent="0.25"/>
    <row r="2525" s="2" customFormat="1" ht="15" x14ac:dyDescent="0.25"/>
    <row r="2526" s="2" customFormat="1" ht="15" x14ac:dyDescent="0.25"/>
    <row r="2527" s="2" customFormat="1" ht="15" x14ac:dyDescent="0.25"/>
    <row r="2528" s="2" customFormat="1" ht="15" x14ac:dyDescent="0.25"/>
    <row r="2529" s="2" customFormat="1" ht="15" x14ac:dyDescent="0.25"/>
    <row r="2530" s="2" customFormat="1" ht="15" x14ac:dyDescent="0.25"/>
    <row r="2531" s="2" customFormat="1" ht="15" x14ac:dyDescent="0.25"/>
    <row r="2532" s="2" customFormat="1" ht="15" x14ac:dyDescent="0.25"/>
    <row r="2533" s="2" customFormat="1" ht="15" x14ac:dyDescent="0.25"/>
    <row r="2534" s="2" customFormat="1" ht="15" x14ac:dyDescent="0.25"/>
    <row r="2535" s="2" customFormat="1" ht="15" x14ac:dyDescent="0.25"/>
    <row r="2536" s="2" customFormat="1" ht="15" x14ac:dyDescent="0.25"/>
    <row r="2537" s="2" customFormat="1" ht="15" x14ac:dyDescent="0.25"/>
    <row r="2538" s="2" customFormat="1" ht="15" x14ac:dyDescent="0.25"/>
    <row r="2539" s="2" customFormat="1" ht="15" x14ac:dyDescent="0.25"/>
    <row r="2540" s="2" customFormat="1" ht="15" x14ac:dyDescent="0.25"/>
    <row r="2541" s="2" customFormat="1" ht="15" x14ac:dyDescent="0.25"/>
    <row r="2542" s="2" customFormat="1" ht="15" x14ac:dyDescent="0.25"/>
    <row r="2543" s="2" customFormat="1" ht="15" x14ac:dyDescent="0.25"/>
    <row r="2544" s="2" customFormat="1" ht="15" x14ac:dyDescent="0.25"/>
    <row r="2545" s="2" customFormat="1" ht="15" x14ac:dyDescent="0.25"/>
    <row r="2546" s="2" customFormat="1" ht="15" x14ac:dyDescent="0.25"/>
    <row r="2547" s="2" customFormat="1" ht="15" x14ac:dyDescent="0.25"/>
    <row r="2548" s="2" customFormat="1" ht="15" x14ac:dyDescent="0.25"/>
    <row r="2549" s="2" customFormat="1" ht="15" x14ac:dyDescent="0.25"/>
    <row r="2550" s="2" customFormat="1" ht="15" x14ac:dyDescent="0.25"/>
    <row r="2551" s="2" customFormat="1" ht="15" x14ac:dyDescent="0.25"/>
    <row r="2552" s="2" customFormat="1" ht="15" x14ac:dyDescent="0.25"/>
    <row r="2553" s="2" customFormat="1" ht="15" x14ac:dyDescent="0.25"/>
    <row r="2554" s="2" customFormat="1" ht="15" x14ac:dyDescent="0.25"/>
    <row r="2555" s="2" customFormat="1" ht="15" x14ac:dyDescent="0.25"/>
    <row r="2556" s="2" customFormat="1" ht="15" x14ac:dyDescent="0.25"/>
    <row r="2557" s="2" customFormat="1" ht="15" x14ac:dyDescent="0.25"/>
    <row r="2558" s="2" customFormat="1" ht="15" x14ac:dyDescent="0.25"/>
    <row r="2559" s="2" customFormat="1" ht="15" x14ac:dyDescent="0.25"/>
    <row r="2560" s="2" customFormat="1" ht="15" x14ac:dyDescent="0.25"/>
    <row r="2561" s="2" customFormat="1" ht="15" x14ac:dyDescent="0.25"/>
    <row r="2562" s="2" customFormat="1" ht="15" x14ac:dyDescent="0.25"/>
    <row r="2563" s="2" customFormat="1" ht="15" x14ac:dyDescent="0.25"/>
    <row r="2564" s="2" customFormat="1" ht="15" x14ac:dyDescent="0.25"/>
    <row r="2565" s="2" customFormat="1" ht="15" x14ac:dyDescent="0.25"/>
    <row r="2566" s="2" customFormat="1" ht="15" x14ac:dyDescent="0.25"/>
    <row r="2567" s="2" customFormat="1" ht="15" x14ac:dyDescent="0.25"/>
    <row r="2568" s="2" customFormat="1" ht="15" x14ac:dyDescent="0.25"/>
    <row r="2569" s="2" customFormat="1" ht="15" x14ac:dyDescent="0.25"/>
    <row r="2570" s="2" customFormat="1" ht="15" x14ac:dyDescent="0.25"/>
    <row r="2571" s="2" customFormat="1" ht="15" x14ac:dyDescent="0.25"/>
    <row r="2572" s="2" customFormat="1" ht="15" x14ac:dyDescent="0.25"/>
    <row r="2573" s="2" customFormat="1" ht="15" x14ac:dyDescent="0.25"/>
    <row r="2574" s="2" customFormat="1" ht="15" x14ac:dyDescent="0.25"/>
    <row r="2575" s="2" customFormat="1" ht="15" x14ac:dyDescent="0.25"/>
    <row r="2576" s="2" customFormat="1" ht="15" x14ac:dyDescent="0.25"/>
    <row r="2577" s="2" customFormat="1" ht="15" x14ac:dyDescent="0.25"/>
    <row r="2578" s="2" customFormat="1" ht="15" x14ac:dyDescent="0.25"/>
    <row r="2579" s="2" customFormat="1" ht="15" x14ac:dyDescent="0.25"/>
    <row r="2580" s="2" customFormat="1" ht="15" x14ac:dyDescent="0.25"/>
    <row r="2581" s="2" customFormat="1" ht="15" x14ac:dyDescent="0.25"/>
    <row r="2582" s="2" customFormat="1" ht="15" x14ac:dyDescent="0.25"/>
    <row r="2583" s="2" customFormat="1" ht="15" x14ac:dyDescent="0.25"/>
    <row r="2584" s="2" customFormat="1" ht="15" x14ac:dyDescent="0.25"/>
    <row r="2585" s="2" customFormat="1" ht="15" x14ac:dyDescent="0.25"/>
    <row r="2586" s="2" customFormat="1" ht="15" x14ac:dyDescent="0.25"/>
    <row r="2587" s="2" customFormat="1" ht="15" x14ac:dyDescent="0.25"/>
    <row r="2588" s="2" customFormat="1" ht="15" x14ac:dyDescent="0.25"/>
    <row r="2589" s="2" customFormat="1" ht="15" x14ac:dyDescent="0.25"/>
    <row r="2590" s="2" customFormat="1" ht="15" x14ac:dyDescent="0.25"/>
    <row r="2591" s="2" customFormat="1" ht="15" x14ac:dyDescent="0.25"/>
    <row r="2592" s="2" customFormat="1" ht="15" x14ac:dyDescent="0.25"/>
    <row r="2593" s="2" customFormat="1" ht="15" x14ac:dyDescent="0.25"/>
    <row r="2594" s="2" customFormat="1" ht="15" x14ac:dyDescent="0.25"/>
    <row r="2595" s="2" customFormat="1" ht="15" x14ac:dyDescent="0.25"/>
    <row r="2596" s="2" customFormat="1" ht="15" x14ac:dyDescent="0.25"/>
    <row r="2597" s="2" customFormat="1" ht="15" x14ac:dyDescent="0.25"/>
    <row r="2598" s="2" customFormat="1" ht="15" x14ac:dyDescent="0.25"/>
    <row r="2599" s="2" customFormat="1" ht="15" x14ac:dyDescent="0.25"/>
    <row r="2600" s="2" customFormat="1" ht="15" x14ac:dyDescent="0.25"/>
    <row r="2601" s="2" customFormat="1" ht="15" x14ac:dyDescent="0.25"/>
    <row r="2602" s="2" customFormat="1" ht="15" x14ac:dyDescent="0.25"/>
    <row r="2603" s="2" customFormat="1" ht="15" x14ac:dyDescent="0.25"/>
    <row r="2604" s="2" customFormat="1" ht="15" x14ac:dyDescent="0.25"/>
    <row r="2605" s="2" customFormat="1" ht="15" x14ac:dyDescent="0.25"/>
    <row r="2606" s="2" customFormat="1" ht="15" x14ac:dyDescent="0.25"/>
    <row r="2607" s="2" customFormat="1" ht="15" x14ac:dyDescent="0.25"/>
    <row r="2608" s="2" customFormat="1" ht="15" x14ac:dyDescent="0.25"/>
    <row r="2609" s="2" customFormat="1" ht="15" x14ac:dyDescent="0.25"/>
    <row r="2610" s="2" customFormat="1" ht="15" x14ac:dyDescent="0.25"/>
    <row r="2611" s="2" customFormat="1" ht="15" x14ac:dyDescent="0.25"/>
    <row r="2612" s="2" customFormat="1" ht="15" x14ac:dyDescent="0.25"/>
    <row r="2613" s="2" customFormat="1" ht="15" x14ac:dyDescent="0.25"/>
    <row r="2614" s="2" customFormat="1" ht="15" x14ac:dyDescent="0.25"/>
    <row r="2615" s="2" customFormat="1" ht="15" x14ac:dyDescent="0.25"/>
    <row r="2616" s="2" customFormat="1" ht="15" x14ac:dyDescent="0.25"/>
    <row r="2617" s="2" customFormat="1" ht="15" x14ac:dyDescent="0.25"/>
    <row r="2618" s="2" customFormat="1" ht="15" x14ac:dyDescent="0.25"/>
    <row r="2619" s="2" customFormat="1" ht="15" x14ac:dyDescent="0.25"/>
    <row r="2620" s="2" customFormat="1" ht="15" x14ac:dyDescent="0.25"/>
    <row r="2621" s="2" customFormat="1" ht="15" x14ac:dyDescent="0.25"/>
    <row r="2622" s="2" customFormat="1" ht="15" x14ac:dyDescent="0.25"/>
    <row r="2623" s="2" customFormat="1" ht="15" x14ac:dyDescent="0.25"/>
    <row r="2624" s="2" customFormat="1" ht="15" x14ac:dyDescent="0.25"/>
    <row r="2625" s="2" customFormat="1" ht="15" x14ac:dyDescent="0.25"/>
    <row r="2626" s="2" customFormat="1" ht="15" x14ac:dyDescent="0.25"/>
    <row r="2627" s="2" customFormat="1" ht="15" x14ac:dyDescent="0.25"/>
    <row r="2628" s="2" customFormat="1" ht="15" x14ac:dyDescent="0.25"/>
    <row r="2629" s="2" customFormat="1" ht="15" x14ac:dyDescent="0.25"/>
    <row r="2630" s="2" customFormat="1" ht="15" x14ac:dyDescent="0.25"/>
    <row r="2631" s="2" customFormat="1" ht="15" x14ac:dyDescent="0.25"/>
    <row r="2632" s="2" customFormat="1" ht="15" x14ac:dyDescent="0.25"/>
    <row r="2633" s="2" customFormat="1" ht="15" x14ac:dyDescent="0.25"/>
    <row r="2634" s="2" customFormat="1" ht="15" x14ac:dyDescent="0.25"/>
    <row r="2635" s="2" customFormat="1" ht="15" x14ac:dyDescent="0.25"/>
    <row r="2636" s="2" customFormat="1" ht="15" x14ac:dyDescent="0.25"/>
    <row r="2637" s="2" customFormat="1" ht="15" x14ac:dyDescent="0.25"/>
    <row r="2638" s="2" customFormat="1" ht="15" x14ac:dyDescent="0.25"/>
    <row r="2639" s="2" customFormat="1" ht="15" x14ac:dyDescent="0.25"/>
    <row r="2640" s="2" customFormat="1" ht="15" x14ac:dyDescent="0.25"/>
    <row r="2641" s="2" customFormat="1" ht="15" x14ac:dyDescent="0.25"/>
    <row r="2642" s="2" customFormat="1" ht="15" x14ac:dyDescent="0.25"/>
    <row r="2643" s="2" customFormat="1" ht="15" x14ac:dyDescent="0.25"/>
    <row r="2644" s="2" customFormat="1" ht="15" x14ac:dyDescent="0.25"/>
    <row r="2645" s="2" customFormat="1" ht="15" x14ac:dyDescent="0.25"/>
    <row r="2646" s="2" customFormat="1" ht="15" x14ac:dyDescent="0.25"/>
    <row r="2647" s="2" customFormat="1" ht="15" x14ac:dyDescent="0.25"/>
    <row r="2648" s="2" customFormat="1" ht="15" x14ac:dyDescent="0.25"/>
    <row r="2649" s="2" customFormat="1" ht="15" x14ac:dyDescent="0.25"/>
    <row r="2650" s="2" customFormat="1" ht="15" x14ac:dyDescent="0.25"/>
    <row r="2651" s="2" customFormat="1" ht="15" x14ac:dyDescent="0.25"/>
    <row r="2652" s="2" customFormat="1" ht="15" x14ac:dyDescent="0.25"/>
    <row r="2653" s="2" customFormat="1" ht="15" x14ac:dyDescent="0.25"/>
    <row r="2654" s="2" customFormat="1" ht="15" x14ac:dyDescent="0.25"/>
    <row r="2655" s="2" customFormat="1" ht="15" x14ac:dyDescent="0.25"/>
    <row r="2656" s="2" customFormat="1" ht="15" x14ac:dyDescent="0.25"/>
    <row r="2657" s="2" customFormat="1" ht="15" x14ac:dyDescent="0.25"/>
    <row r="2658" s="2" customFormat="1" ht="15" x14ac:dyDescent="0.25"/>
    <row r="2659" s="2" customFormat="1" ht="15" x14ac:dyDescent="0.25"/>
    <row r="2660" s="2" customFormat="1" ht="15" x14ac:dyDescent="0.25"/>
    <row r="2661" s="2" customFormat="1" ht="15" x14ac:dyDescent="0.25"/>
    <row r="2662" s="2" customFormat="1" ht="15" x14ac:dyDescent="0.25"/>
    <row r="2663" s="2" customFormat="1" ht="15" x14ac:dyDescent="0.25"/>
    <row r="2664" s="2" customFormat="1" ht="15" x14ac:dyDescent="0.25"/>
    <row r="2665" s="2" customFormat="1" ht="15" x14ac:dyDescent="0.25"/>
    <row r="2666" s="2" customFormat="1" ht="15" x14ac:dyDescent="0.25"/>
    <row r="2667" s="2" customFormat="1" ht="15" x14ac:dyDescent="0.25"/>
    <row r="2668" s="2" customFormat="1" ht="15" x14ac:dyDescent="0.25"/>
    <row r="2669" s="2" customFormat="1" ht="15" x14ac:dyDescent="0.25"/>
    <row r="2670" s="2" customFormat="1" ht="15" x14ac:dyDescent="0.25"/>
    <row r="2671" s="2" customFormat="1" ht="15" x14ac:dyDescent="0.25"/>
    <row r="2672" s="2" customFormat="1" ht="15" x14ac:dyDescent="0.25"/>
    <row r="2673" s="2" customFormat="1" ht="15" x14ac:dyDescent="0.25"/>
    <row r="2674" s="2" customFormat="1" ht="15" x14ac:dyDescent="0.25"/>
    <row r="2675" s="2" customFormat="1" ht="15" x14ac:dyDescent="0.25"/>
    <row r="2676" s="2" customFormat="1" ht="15" x14ac:dyDescent="0.25"/>
    <row r="2677" s="2" customFormat="1" ht="15" x14ac:dyDescent="0.25"/>
    <row r="2678" s="2" customFormat="1" ht="15" x14ac:dyDescent="0.25"/>
    <row r="2679" s="2" customFormat="1" ht="15" x14ac:dyDescent="0.25"/>
    <row r="2680" s="2" customFormat="1" ht="15" x14ac:dyDescent="0.25"/>
    <row r="2681" s="2" customFormat="1" ht="15" x14ac:dyDescent="0.25"/>
    <row r="2682" s="2" customFormat="1" ht="15" x14ac:dyDescent="0.25"/>
    <row r="2683" s="2" customFormat="1" ht="15" x14ac:dyDescent="0.25"/>
    <row r="2684" s="2" customFormat="1" ht="15" x14ac:dyDescent="0.25"/>
    <row r="2685" s="2" customFormat="1" ht="15" x14ac:dyDescent="0.25"/>
    <row r="2686" s="2" customFormat="1" ht="15" x14ac:dyDescent="0.25"/>
    <row r="2687" s="2" customFormat="1" ht="15" x14ac:dyDescent="0.25"/>
    <row r="2688" s="2" customFormat="1" ht="15" x14ac:dyDescent="0.25"/>
    <row r="2689" s="2" customFormat="1" ht="15" x14ac:dyDescent="0.25"/>
    <row r="2690" s="2" customFormat="1" ht="15" x14ac:dyDescent="0.25"/>
    <row r="2691" s="2" customFormat="1" ht="15" x14ac:dyDescent="0.25"/>
    <row r="2692" s="2" customFormat="1" ht="15" x14ac:dyDescent="0.25"/>
    <row r="2693" s="2" customFormat="1" ht="15" x14ac:dyDescent="0.25"/>
    <row r="2694" s="2" customFormat="1" ht="15" x14ac:dyDescent="0.25"/>
    <row r="2695" s="2" customFormat="1" ht="15" x14ac:dyDescent="0.25"/>
    <row r="2696" s="2" customFormat="1" ht="15" x14ac:dyDescent="0.25"/>
    <row r="2697" s="2" customFormat="1" ht="15" x14ac:dyDescent="0.25"/>
    <row r="2698" s="2" customFormat="1" ht="15" x14ac:dyDescent="0.25"/>
    <row r="2699" s="2" customFormat="1" ht="15" x14ac:dyDescent="0.25"/>
    <row r="2700" s="2" customFormat="1" ht="15" x14ac:dyDescent="0.25"/>
    <row r="2701" s="2" customFormat="1" ht="15" x14ac:dyDescent="0.25"/>
    <row r="2702" s="2" customFormat="1" ht="15" x14ac:dyDescent="0.25"/>
    <row r="2703" s="2" customFormat="1" ht="15" x14ac:dyDescent="0.25"/>
    <row r="2704" s="2" customFormat="1" ht="15" x14ac:dyDescent="0.25"/>
    <row r="2705" s="2" customFormat="1" ht="15" x14ac:dyDescent="0.25"/>
    <row r="2706" s="2" customFormat="1" ht="15" x14ac:dyDescent="0.25"/>
    <row r="2707" s="2" customFormat="1" ht="15" x14ac:dyDescent="0.25"/>
    <row r="2708" s="2" customFormat="1" ht="15" x14ac:dyDescent="0.25"/>
    <row r="2709" s="2" customFormat="1" ht="15" x14ac:dyDescent="0.25"/>
    <row r="2710" s="2" customFormat="1" ht="15" x14ac:dyDescent="0.25"/>
    <row r="2711" s="2" customFormat="1" ht="15" x14ac:dyDescent="0.25"/>
    <row r="2712" s="2" customFormat="1" ht="15" x14ac:dyDescent="0.25"/>
    <row r="2713" s="2" customFormat="1" ht="15" x14ac:dyDescent="0.25"/>
    <row r="2714" s="2" customFormat="1" ht="15" x14ac:dyDescent="0.25"/>
    <row r="2715" s="2" customFormat="1" ht="15" x14ac:dyDescent="0.25"/>
    <row r="2716" s="2" customFormat="1" ht="15" x14ac:dyDescent="0.25"/>
    <row r="2717" s="2" customFormat="1" ht="15" x14ac:dyDescent="0.25"/>
    <row r="2718" s="2" customFormat="1" ht="15" x14ac:dyDescent="0.25"/>
    <row r="2719" s="2" customFormat="1" ht="15" x14ac:dyDescent="0.25"/>
    <row r="2720" s="2" customFormat="1" ht="15" x14ac:dyDescent="0.25"/>
    <row r="2721" s="2" customFormat="1" ht="15" x14ac:dyDescent="0.25"/>
    <row r="2722" s="2" customFormat="1" ht="15" x14ac:dyDescent="0.25"/>
    <row r="2723" s="2" customFormat="1" ht="15" x14ac:dyDescent="0.25"/>
    <row r="2724" s="2" customFormat="1" ht="15" x14ac:dyDescent="0.25"/>
    <row r="2725" s="2" customFormat="1" ht="15" x14ac:dyDescent="0.25"/>
    <row r="2726" s="2" customFormat="1" ht="15" x14ac:dyDescent="0.25"/>
    <row r="2727" s="2" customFormat="1" ht="15" x14ac:dyDescent="0.25"/>
    <row r="2728" s="2" customFormat="1" ht="15" x14ac:dyDescent="0.25"/>
    <row r="2729" s="2" customFormat="1" ht="15" x14ac:dyDescent="0.25"/>
    <row r="2730" s="2" customFormat="1" ht="15" x14ac:dyDescent="0.25"/>
    <row r="2731" s="2" customFormat="1" ht="15" x14ac:dyDescent="0.25"/>
    <row r="2732" s="2" customFormat="1" ht="15" x14ac:dyDescent="0.25"/>
    <row r="2733" s="2" customFormat="1" ht="15" x14ac:dyDescent="0.25"/>
    <row r="2734" s="2" customFormat="1" ht="15" x14ac:dyDescent="0.25"/>
    <row r="2735" s="2" customFormat="1" ht="15" x14ac:dyDescent="0.25"/>
    <row r="2736" s="2" customFormat="1" ht="15" x14ac:dyDescent="0.25"/>
    <row r="2737" s="2" customFormat="1" ht="15" x14ac:dyDescent="0.25"/>
    <row r="2738" s="2" customFormat="1" ht="15" x14ac:dyDescent="0.25"/>
    <row r="2739" s="2" customFormat="1" ht="15" x14ac:dyDescent="0.25"/>
    <row r="2740" s="2" customFormat="1" ht="15" x14ac:dyDescent="0.25"/>
    <row r="2741" s="2" customFormat="1" ht="15" x14ac:dyDescent="0.25"/>
    <row r="2742" s="2" customFormat="1" ht="15" x14ac:dyDescent="0.25"/>
    <row r="2743" s="2" customFormat="1" ht="15" x14ac:dyDescent="0.25"/>
    <row r="2744" s="2" customFormat="1" ht="15" x14ac:dyDescent="0.25"/>
    <row r="2745" s="2" customFormat="1" ht="15" x14ac:dyDescent="0.25"/>
    <row r="2746" s="2" customFormat="1" ht="15" x14ac:dyDescent="0.25"/>
    <row r="2747" s="2" customFormat="1" ht="15" x14ac:dyDescent="0.25"/>
    <row r="2748" s="2" customFormat="1" ht="15" x14ac:dyDescent="0.25"/>
    <row r="2749" s="2" customFormat="1" ht="15" x14ac:dyDescent="0.25"/>
    <row r="2750" s="2" customFormat="1" ht="15" x14ac:dyDescent="0.25"/>
    <row r="2751" s="2" customFormat="1" ht="15" x14ac:dyDescent="0.25"/>
    <row r="2752" s="2" customFormat="1" ht="15" x14ac:dyDescent="0.25"/>
    <row r="2753" s="2" customFormat="1" ht="15" x14ac:dyDescent="0.25"/>
    <row r="2754" s="2" customFormat="1" ht="15" x14ac:dyDescent="0.25"/>
    <row r="2755" s="2" customFormat="1" ht="15" x14ac:dyDescent="0.25"/>
    <row r="2756" s="2" customFormat="1" ht="15" x14ac:dyDescent="0.25"/>
    <row r="2757" s="2" customFormat="1" ht="15" x14ac:dyDescent="0.25"/>
    <row r="2758" s="2" customFormat="1" ht="15" x14ac:dyDescent="0.25"/>
    <row r="2759" s="2" customFormat="1" ht="15" x14ac:dyDescent="0.25"/>
    <row r="2760" s="2" customFormat="1" ht="15" x14ac:dyDescent="0.25"/>
    <row r="2761" s="2" customFormat="1" ht="15" x14ac:dyDescent="0.25"/>
    <row r="2762" s="2" customFormat="1" ht="15" x14ac:dyDescent="0.25"/>
    <row r="2763" s="2" customFormat="1" ht="15" x14ac:dyDescent="0.25"/>
    <row r="2764" s="2" customFormat="1" ht="15" x14ac:dyDescent="0.25"/>
    <row r="2765" s="2" customFormat="1" ht="15" x14ac:dyDescent="0.25"/>
    <row r="2766" s="2" customFormat="1" ht="15" x14ac:dyDescent="0.25"/>
    <row r="2767" s="2" customFormat="1" ht="15" x14ac:dyDescent="0.25"/>
    <row r="2768" s="2" customFormat="1" ht="15" x14ac:dyDescent="0.25"/>
    <row r="2769" s="2" customFormat="1" ht="15" x14ac:dyDescent="0.25"/>
    <row r="2770" s="2" customFormat="1" ht="15" x14ac:dyDescent="0.25"/>
    <row r="2771" s="2" customFormat="1" ht="15" x14ac:dyDescent="0.25"/>
    <row r="2772" s="2" customFormat="1" ht="15" x14ac:dyDescent="0.25"/>
    <row r="2773" s="2" customFormat="1" ht="15" x14ac:dyDescent="0.25"/>
    <row r="2774" s="2" customFormat="1" ht="15" x14ac:dyDescent="0.25"/>
    <row r="2775" s="2" customFormat="1" ht="15" x14ac:dyDescent="0.25"/>
    <row r="2776" s="2" customFormat="1" ht="15" x14ac:dyDescent="0.25"/>
    <row r="2777" s="2" customFormat="1" ht="15" x14ac:dyDescent="0.25"/>
    <row r="2778" s="2" customFormat="1" ht="15" x14ac:dyDescent="0.25"/>
    <row r="2779" s="2" customFormat="1" ht="15" x14ac:dyDescent="0.25"/>
    <row r="2780" s="2" customFormat="1" ht="15" x14ac:dyDescent="0.25"/>
    <row r="2781" s="2" customFormat="1" ht="15" x14ac:dyDescent="0.25"/>
    <row r="2782" s="2" customFormat="1" ht="15" x14ac:dyDescent="0.25"/>
    <row r="2783" s="2" customFormat="1" ht="15" x14ac:dyDescent="0.25"/>
    <row r="2784" s="2" customFormat="1" ht="15" x14ac:dyDescent="0.25"/>
    <row r="2785" s="2" customFormat="1" ht="15" x14ac:dyDescent="0.25"/>
    <row r="2786" s="2" customFormat="1" ht="15" x14ac:dyDescent="0.25"/>
    <row r="2787" s="2" customFormat="1" ht="15" x14ac:dyDescent="0.25"/>
    <row r="2788" s="2" customFormat="1" ht="15" x14ac:dyDescent="0.25"/>
    <row r="2789" s="2" customFormat="1" ht="15" x14ac:dyDescent="0.25"/>
    <row r="2790" s="2" customFormat="1" ht="15" x14ac:dyDescent="0.25"/>
    <row r="2791" s="2" customFormat="1" ht="15" x14ac:dyDescent="0.25"/>
    <row r="2792" s="2" customFormat="1" ht="15" x14ac:dyDescent="0.25"/>
    <row r="2793" s="2" customFormat="1" ht="15" x14ac:dyDescent="0.25"/>
    <row r="2794" s="2" customFormat="1" ht="15" x14ac:dyDescent="0.25"/>
    <row r="2795" s="2" customFormat="1" ht="15" x14ac:dyDescent="0.25"/>
    <row r="2796" s="2" customFormat="1" ht="15" x14ac:dyDescent="0.25"/>
    <row r="2797" s="2" customFormat="1" ht="15" x14ac:dyDescent="0.25"/>
    <row r="2798" s="2" customFormat="1" ht="15" x14ac:dyDescent="0.25"/>
    <row r="2799" s="2" customFormat="1" ht="15" x14ac:dyDescent="0.25"/>
    <row r="2800" s="2" customFormat="1" ht="15" x14ac:dyDescent="0.25"/>
    <row r="2801" s="2" customFormat="1" ht="15" x14ac:dyDescent="0.25"/>
    <row r="2802" s="2" customFormat="1" ht="15" x14ac:dyDescent="0.25"/>
    <row r="2803" s="2" customFormat="1" ht="15" x14ac:dyDescent="0.25"/>
    <row r="2804" s="2" customFormat="1" ht="15" x14ac:dyDescent="0.25"/>
    <row r="2805" s="2" customFormat="1" ht="15" x14ac:dyDescent="0.25"/>
    <row r="2806" s="2" customFormat="1" ht="15" x14ac:dyDescent="0.25"/>
    <row r="2807" s="2" customFormat="1" ht="15" x14ac:dyDescent="0.25"/>
    <row r="2808" s="2" customFormat="1" ht="15" x14ac:dyDescent="0.25"/>
    <row r="2809" s="2" customFormat="1" ht="15" x14ac:dyDescent="0.25"/>
    <row r="2810" s="2" customFormat="1" ht="15" x14ac:dyDescent="0.25"/>
    <row r="2811" s="2" customFormat="1" ht="15" x14ac:dyDescent="0.25"/>
    <row r="2812" s="2" customFormat="1" ht="15" x14ac:dyDescent="0.25"/>
    <row r="2813" s="2" customFormat="1" ht="15" x14ac:dyDescent="0.25"/>
    <row r="2814" s="2" customFormat="1" ht="15" x14ac:dyDescent="0.25"/>
    <row r="2815" s="2" customFormat="1" ht="15" x14ac:dyDescent="0.25"/>
    <row r="2816" s="2" customFormat="1" ht="15" x14ac:dyDescent="0.25"/>
    <row r="2817" s="2" customFormat="1" ht="15" x14ac:dyDescent="0.25"/>
    <row r="2818" s="2" customFormat="1" ht="15" x14ac:dyDescent="0.25"/>
    <row r="2819" s="2" customFormat="1" ht="15" x14ac:dyDescent="0.25"/>
    <row r="2820" s="2" customFormat="1" ht="15" x14ac:dyDescent="0.25"/>
    <row r="2821" s="2" customFormat="1" ht="15" x14ac:dyDescent="0.25"/>
    <row r="2822" s="2" customFormat="1" ht="15" x14ac:dyDescent="0.25"/>
    <row r="2823" s="2" customFormat="1" ht="15" x14ac:dyDescent="0.25"/>
    <row r="2824" s="2" customFormat="1" ht="15" x14ac:dyDescent="0.25"/>
    <row r="2825" s="2" customFormat="1" ht="15" x14ac:dyDescent="0.25"/>
    <row r="2826" s="2" customFormat="1" ht="15" x14ac:dyDescent="0.25"/>
    <row r="2827" s="2" customFormat="1" ht="15" x14ac:dyDescent="0.25"/>
    <row r="2828" s="2" customFormat="1" ht="15" x14ac:dyDescent="0.25"/>
    <row r="2829" s="2" customFormat="1" ht="15" x14ac:dyDescent="0.25"/>
    <row r="2830" s="2" customFormat="1" ht="15" x14ac:dyDescent="0.25"/>
    <row r="2831" s="2" customFormat="1" ht="15" x14ac:dyDescent="0.25"/>
    <row r="2832" s="2" customFormat="1" ht="15" x14ac:dyDescent="0.25"/>
    <row r="2833" s="2" customFormat="1" ht="15" x14ac:dyDescent="0.25"/>
    <row r="2834" s="2" customFormat="1" ht="15" x14ac:dyDescent="0.25"/>
    <row r="2835" s="2" customFormat="1" ht="15" x14ac:dyDescent="0.25"/>
    <row r="2836" s="2" customFormat="1" ht="15" x14ac:dyDescent="0.25"/>
    <row r="2837" s="2" customFormat="1" ht="15" x14ac:dyDescent="0.25"/>
    <row r="2838" s="2" customFormat="1" ht="15" x14ac:dyDescent="0.25"/>
    <row r="2839" s="2" customFormat="1" ht="15" x14ac:dyDescent="0.25"/>
    <row r="2840" s="2" customFormat="1" ht="15" x14ac:dyDescent="0.25"/>
    <row r="2841" s="2" customFormat="1" ht="15" x14ac:dyDescent="0.25"/>
    <row r="2842" s="2" customFormat="1" ht="15" x14ac:dyDescent="0.25"/>
    <row r="2843" s="2" customFormat="1" ht="15" x14ac:dyDescent="0.25"/>
    <row r="2844" s="2" customFormat="1" ht="15" x14ac:dyDescent="0.25"/>
    <row r="2845" s="2" customFormat="1" ht="15" x14ac:dyDescent="0.25"/>
    <row r="2846" s="2" customFormat="1" ht="15" x14ac:dyDescent="0.25"/>
    <row r="2847" s="2" customFormat="1" ht="15" x14ac:dyDescent="0.25"/>
    <row r="2848" s="2" customFormat="1" ht="15" x14ac:dyDescent="0.25"/>
    <row r="2849" s="2" customFormat="1" ht="15" x14ac:dyDescent="0.25"/>
    <row r="2850" s="2" customFormat="1" ht="15" x14ac:dyDescent="0.25"/>
    <row r="2851" s="2" customFormat="1" ht="15" x14ac:dyDescent="0.25"/>
    <row r="2852" s="2" customFormat="1" ht="15" x14ac:dyDescent="0.25"/>
    <row r="2853" s="2" customFormat="1" ht="15" x14ac:dyDescent="0.25"/>
    <row r="2854" s="2" customFormat="1" ht="15" x14ac:dyDescent="0.25"/>
    <row r="2855" s="2" customFormat="1" ht="15" x14ac:dyDescent="0.25"/>
    <row r="2856" s="2" customFormat="1" ht="15" x14ac:dyDescent="0.25"/>
    <row r="2857" s="2" customFormat="1" ht="15" x14ac:dyDescent="0.25"/>
    <row r="2858" s="2" customFormat="1" ht="15" x14ac:dyDescent="0.25"/>
    <row r="2859" s="2" customFormat="1" ht="15" x14ac:dyDescent="0.25"/>
    <row r="2860" s="2" customFormat="1" ht="15" x14ac:dyDescent="0.25"/>
    <row r="2861" s="2" customFormat="1" ht="15" x14ac:dyDescent="0.25"/>
    <row r="2862" s="2" customFormat="1" ht="15" x14ac:dyDescent="0.25"/>
    <row r="2863" s="2" customFormat="1" ht="15" x14ac:dyDescent="0.25"/>
    <row r="2864" s="2" customFormat="1" ht="15" x14ac:dyDescent="0.25"/>
    <row r="2865" s="2" customFormat="1" ht="15" x14ac:dyDescent="0.25"/>
    <row r="2866" s="2" customFormat="1" ht="15" x14ac:dyDescent="0.25"/>
    <row r="2867" s="2" customFormat="1" ht="15" x14ac:dyDescent="0.25"/>
    <row r="2868" s="2" customFormat="1" ht="15" x14ac:dyDescent="0.25"/>
    <row r="2869" s="2" customFormat="1" ht="15" x14ac:dyDescent="0.25"/>
    <row r="2870" s="2" customFormat="1" ht="15" x14ac:dyDescent="0.25"/>
    <row r="2871" s="2" customFormat="1" ht="15" x14ac:dyDescent="0.25"/>
    <row r="2872" s="2" customFormat="1" ht="15" x14ac:dyDescent="0.25"/>
    <row r="2873" s="2" customFormat="1" ht="15" x14ac:dyDescent="0.25"/>
    <row r="2874" s="2" customFormat="1" ht="15" x14ac:dyDescent="0.25"/>
    <row r="2875" s="2" customFormat="1" ht="15" x14ac:dyDescent="0.25"/>
    <row r="2876" s="2" customFormat="1" ht="15" x14ac:dyDescent="0.25"/>
    <row r="2877" s="2" customFormat="1" ht="15" x14ac:dyDescent="0.25"/>
    <row r="2878" s="2" customFormat="1" ht="15" x14ac:dyDescent="0.25"/>
    <row r="2879" s="2" customFormat="1" ht="15" x14ac:dyDescent="0.25"/>
    <row r="2880" s="2" customFormat="1" ht="15" x14ac:dyDescent="0.25"/>
    <row r="2881" s="2" customFormat="1" ht="15" x14ac:dyDescent="0.25"/>
    <row r="2882" s="2" customFormat="1" ht="15" x14ac:dyDescent="0.25"/>
    <row r="2883" s="2" customFormat="1" ht="15" x14ac:dyDescent="0.25"/>
    <row r="2884" s="2" customFormat="1" ht="15" x14ac:dyDescent="0.25"/>
    <row r="2885" s="2" customFormat="1" ht="15" x14ac:dyDescent="0.25"/>
    <row r="2886" s="2" customFormat="1" ht="15" x14ac:dyDescent="0.25"/>
    <row r="2887" s="2" customFormat="1" ht="15" x14ac:dyDescent="0.25"/>
    <row r="2888" s="2" customFormat="1" ht="15" x14ac:dyDescent="0.25"/>
    <row r="2889" s="2" customFormat="1" ht="15" x14ac:dyDescent="0.25"/>
    <row r="2890" s="2" customFormat="1" ht="15" x14ac:dyDescent="0.25"/>
    <row r="2891" s="2" customFormat="1" ht="15" x14ac:dyDescent="0.25"/>
    <row r="2892" s="2" customFormat="1" ht="15" x14ac:dyDescent="0.25"/>
    <row r="2893" s="2" customFormat="1" ht="15" x14ac:dyDescent="0.25"/>
    <row r="2894" s="2" customFormat="1" ht="15" x14ac:dyDescent="0.25"/>
    <row r="2895" s="2" customFormat="1" ht="15" x14ac:dyDescent="0.25"/>
    <row r="2896" s="2" customFormat="1" ht="15" x14ac:dyDescent="0.25"/>
    <row r="2897" s="2" customFormat="1" ht="15" x14ac:dyDescent="0.25"/>
    <row r="2898" s="2" customFormat="1" ht="15" x14ac:dyDescent="0.25"/>
    <row r="2899" s="2" customFormat="1" ht="15" x14ac:dyDescent="0.25"/>
    <row r="2900" s="2" customFormat="1" ht="15" x14ac:dyDescent="0.25"/>
    <row r="2901" s="2" customFormat="1" ht="15" x14ac:dyDescent="0.25"/>
    <row r="2902" s="2" customFormat="1" ht="15" x14ac:dyDescent="0.25"/>
    <row r="2903" s="2" customFormat="1" ht="15" x14ac:dyDescent="0.25"/>
    <row r="2904" s="2" customFormat="1" ht="15" x14ac:dyDescent="0.25"/>
    <row r="2905" s="2" customFormat="1" ht="15" x14ac:dyDescent="0.25"/>
    <row r="2906" s="2" customFormat="1" ht="15" x14ac:dyDescent="0.25"/>
    <row r="2907" s="2" customFormat="1" ht="15" x14ac:dyDescent="0.25"/>
    <row r="2908" s="2" customFormat="1" ht="15" x14ac:dyDescent="0.25"/>
    <row r="2909" s="2" customFormat="1" ht="15" x14ac:dyDescent="0.25"/>
    <row r="2910" s="2" customFormat="1" ht="15" x14ac:dyDescent="0.25"/>
    <row r="2911" s="2" customFormat="1" ht="15" x14ac:dyDescent="0.25"/>
    <row r="2912" s="2" customFormat="1" ht="15" x14ac:dyDescent="0.25"/>
    <row r="2913" s="2" customFormat="1" ht="15" x14ac:dyDescent="0.25"/>
    <row r="2914" s="2" customFormat="1" ht="15" x14ac:dyDescent="0.25"/>
    <row r="2915" s="2" customFormat="1" ht="15" x14ac:dyDescent="0.25"/>
    <row r="2916" s="2" customFormat="1" ht="15" x14ac:dyDescent="0.25"/>
    <row r="2917" s="2" customFormat="1" ht="15" x14ac:dyDescent="0.25"/>
    <row r="2918" s="2" customFormat="1" ht="15" x14ac:dyDescent="0.25"/>
    <row r="2919" s="2" customFormat="1" ht="15" x14ac:dyDescent="0.25"/>
    <row r="2920" s="2" customFormat="1" ht="15" x14ac:dyDescent="0.25"/>
    <row r="2921" s="2" customFormat="1" ht="15" x14ac:dyDescent="0.25"/>
    <row r="2922" s="2" customFormat="1" ht="15" x14ac:dyDescent="0.25"/>
    <row r="2923" s="2" customFormat="1" ht="15" x14ac:dyDescent="0.25"/>
    <row r="2924" s="2" customFormat="1" ht="15" x14ac:dyDescent="0.25"/>
    <row r="2925" s="2" customFormat="1" ht="15" x14ac:dyDescent="0.25"/>
    <row r="2926" s="2" customFormat="1" ht="15" x14ac:dyDescent="0.25"/>
    <row r="2927" s="2" customFormat="1" ht="15" x14ac:dyDescent="0.25"/>
    <row r="2928" s="2" customFormat="1" ht="15" x14ac:dyDescent="0.25"/>
    <row r="2929" s="2" customFormat="1" ht="15" x14ac:dyDescent="0.25"/>
    <row r="2930" s="2" customFormat="1" ht="15" x14ac:dyDescent="0.25"/>
    <row r="2931" s="2" customFormat="1" ht="15" x14ac:dyDescent="0.25"/>
    <row r="2932" s="2" customFormat="1" ht="15" x14ac:dyDescent="0.25"/>
    <row r="2933" s="2" customFormat="1" ht="15" x14ac:dyDescent="0.25"/>
    <row r="2934" s="2" customFormat="1" ht="15" x14ac:dyDescent="0.25"/>
    <row r="2935" s="2" customFormat="1" ht="15" x14ac:dyDescent="0.25"/>
    <row r="2936" s="2" customFormat="1" ht="15" x14ac:dyDescent="0.25"/>
    <row r="2937" s="2" customFormat="1" ht="15" x14ac:dyDescent="0.25"/>
    <row r="2938" s="2" customFormat="1" ht="15" x14ac:dyDescent="0.25"/>
    <row r="2939" s="2" customFormat="1" ht="15" x14ac:dyDescent="0.25"/>
    <row r="2940" s="2" customFormat="1" ht="15" x14ac:dyDescent="0.25"/>
    <row r="2941" s="2" customFormat="1" ht="15" x14ac:dyDescent="0.25"/>
    <row r="2942" s="2" customFormat="1" ht="15" x14ac:dyDescent="0.25"/>
    <row r="2943" s="2" customFormat="1" ht="15" x14ac:dyDescent="0.25"/>
    <row r="2944" s="2" customFormat="1" ht="15" x14ac:dyDescent="0.25"/>
    <row r="2945" s="2" customFormat="1" ht="15" x14ac:dyDescent="0.25"/>
    <row r="2946" s="2" customFormat="1" ht="15" x14ac:dyDescent="0.25"/>
    <row r="2947" s="2" customFormat="1" ht="15" x14ac:dyDescent="0.25"/>
    <row r="2948" s="2" customFormat="1" ht="15" x14ac:dyDescent="0.25"/>
    <row r="2949" s="2" customFormat="1" ht="15" x14ac:dyDescent="0.25"/>
    <row r="2950" s="2" customFormat="1" ht="15" x14ac:dyDescent="0.25"/>
    <row r="2951" s="2" customFormat="1" ht="15" x14ac:dyDescent="0.25"/>
    <row r="2952" s="2" customFormat="1" ht="15" x14ac:dyDescent="0.25"/>
    <row r="2953" s="2" customFormat="1" ht="15" x14ac:dyDescent="0.25"/>
    <row r="2954" s="2" customFormat="1" ht="15" x14ac:dyDescent="0.25"/>
    <row r="2955" s="2" customFormat="1" ht="15" x14ac:dyDescent="0.25"/>
    <row r="2956" s="2" customFormat="1" ht="15" x14ac:dyDescent="0.25"/>
    <row r="2957" s="2" customFormat="1" ht="15" x14ac:dyDescent="0.25"/>
    <row r="2958" s="2" customFormat="1" ht="15" x14ac:dyDescent="0.25"/>
    <row r="2959" s="2" customFormat="1" ht="15" x14ac:dyDescent="0.25"/>
    <row r="2960" s="2" customFormat="1" ht="15" x14ac:dyDescent="0.25"/>
    <row r="2961" s="2" customFormat="1" ht="15" x14ac:dyDescent="0.25"/>
    <row r="2962" s="2" customFormat="1" ht="15" x14ac:dyDescent="0.25"/>
    <row r="2963" s="2" customFormat="1" ht="15" x14ac:dyDescent="0.25"/>
    <row r="2964" s="2" customFormat="1" ht="15" x14ac:dyDescent="0.25"/>
    <row r="2965" s="2" customFormat="1" ht="15" x14ac:dyDescent="0.25"/>
    <row r="2966" s="2" customFormat="1" ht="15" x14ac:dyDescent="0.25"/>
    <row r="2967" s="2" customFormat="1" ht="15" x14ac:dyDescent="0.25"/>
    <row r="2968" s="2" customFormat="1" ht="15" x14ac:dyDescent="0.25"/>
    <row r="2969" s="2" customFormat="1" ht="15" x14ac:dyDescent="0.25"/>
    <row r="2970" s="2" customFormat="1" ht="15" x14ac:dyDescent="0.25"/>
    <row r="2971" s="2" customFormat="1" ht="15" x14ac:dyDescent="0.25"/>
    <row r="2972" s="2" customFormat="1" ht="15" x14ac:dyDescent="0.25"/>
    <row r="2973" s="2" customFormat="1" ht="15" x14ac:dyDescent="0.25"/>
    <row r="2974" s="2" customFormat="1" ht="15" x14ac:dyDescent="0.25"/>
    <row r="2975" s="2" customFormat="1" ht="15" x14ac:dyDescent="0.25"/>
    <row r="2976" s="2" customFormat="1" ht="15" x14ac:dyDescent="0.25"/>
    <row r="2977" s="2" customFormat="1" ht="15" x14ac:dyDescent="0.25"/>
    <row r="2978" s="2" customFormat="1" ht="15" x14ac:dyDescent="0.25"/>
    <row r="2979" s="2" customFormat="1" ht="15" x14ac:dyDescent="0.25"/>
    <row r="2980" s="2" customFormat="1" ht="15" x14ac:dyDescent="0.25"/>
    <row r="2981" s="2" customFormat="1" ht="15" x14ac:dyDescent="0.25"/>
    <row r="2982" s="2" customFormat="1" ht="15" x14ac:dyDescent="0.25"/>
    <row r="2983" s="2" customFormat="1" ht="15" x14ac:dyDescent="0.25"/>
    <row r="2984" s="2" customFormat="1" ht="15" x14ac:dyDescent="0.25"/>
    <row r="2985" s="2" customFormat="1" ht="15" x14ac:dyDescent="0.25"/>
    <row r="2986" s="2" customFormat="1" ht="15" x14ac:dyDescent="0.25"/>
    <row r="2987" s="2" customFormat="1" ht="15" x14ac:dyDescent="0.25"/>
    <row r="2988" s="2" customFormat="1" ht="15" x14ac:dyDescent="0.25"/>
    <row r="2989" s="2" customFormat="1" ht="15" x14ac:dyDescent="0.25"/>
    <row r="2990" s="2" customFormat="1" ht="15" x14ac:dyDescent="0.25"/>
    <row r="2991" s="2" customFormat="1" ht="15" x14ac:dyDescent="0.25"/>
    <row r="2992" s="2" customFormat="1" ht="15" x14ac:dyDescent="0.25"/>
    <row r="2993" s="2" customFormat="1" ht="15" x14ac:dyDescent="0.25"/>
    <row r="2994" s="2" customFormat="1" ht="15" x14ac:dyDescent="0.25"/>
    <row r="2995" s="2" customFormat="1" ht="15" x14ac:dyDescent="0.25"/>
    <row r="2996" s="2" customFormat="1" ht="15" x14ac:dyDescent="0.25"/>
    <row r="2997" s="2" customFormat="1" ht="15" x14ac:dyDescent="0.25"/>
    <row r="2998" s="2" customFormat="1" ht="15" x14ac:dyDescent="0.25"/>
    <row r="2999" s="2" customFormat="1" ht="15" x14ac:dyDescent="0.25"/>
    <row r="3000" s="2" customFormat="1" ht="15" x14ac:dyDescent="0.25"/>
    <row r="3001" s="2" customFormat="1" ht="15" x14ac:dyDescent="0.25"/>
    <row r="3002" s="2" customFormat="1" ht="15" x14ac:dyDescent="0.25"/>
    <row r="3003" s="2" customFormat="1" ht="15" x14ac:dyDescent="0.25"/>
    <row r="3004" s="2" customFormat="1" ht="15" x14ac:dyDescent="0.25"/>
    <row r="3005" s="2" customFormat="1" ht="15" x14ac:dyDescent="0.25"/>
    <row r="3006" s="2" customFormat="1" ht="15" x14ac:dyDescent="0.25"/>
    <row r="3007" s="2" customFormat="1" ht="15" x14ac:dyDescent="0.25"/>
    <row r="3008" s="2" customFormat="1" ht="15" x14ac:dyDescent="0.25"/>
    <row r="3009" s="2" customFormat="1" ht="15" x14ac:dyDescent="0.25"/>
    <row r="3010" s="2" customFormat="1" ht="15" x14ac:dyDescent="0.25"/>
    <row r="3011" s="2" customFormat="1" ht="15" x14ac:dyDescent="0.25"/>
    <row r="3012" s="2" customFormat="1" ht="15" x14ac:dyDescent="0.25"/>
    <row r="3013" s="2" customFormat="1" ht="15" x14ac:dyDescent="0.25"/>
    <row r="3014" s="2" customFormat="1" ht="15" x14ac:dyDescent="0.25"/>
    <row r="3015" s="2" customFormat="1" ht="15" x14ac:dyDescent="0.25"/>
    <row r="3016" s="2" customFormat="1" ht="15" x14ac:dyDescent="0.25"/>
    <row r="3017" s="2" customFormat="1" ht="15" x14ac:dyDescent="0.25"/>
    <row r="3018" s="2" customFormat="1" ht="15" x14ac:dyDescent="0.25"/>
    <row r="3019" s="2" customFormat="1" ht="15" x14ac:dyDescent="0.25"/>
    <row r="3020" s="2" customFormat="1" ht="15" x14ac:dyDescent="0.25"/>
    <row r="3021" s="2" customFormat="1" ht="15" x14ac:dyDescent="0.25"/>
    <row r="3022" s="2" customFormat="1" ht="15" x14ac:dyDescent="0.25"/>
    <row r="3023" s="2" customFormat="1" ht="15" x14ac:dyDescent="0.25"/>
    <row r="3024" s="2" customFormat="1" ht="15" x14ac:dyDescent="0.25"/>
    <row r="3025" s="2" customFormat="1" ht="15" x14ac:dyDescent="0.25"/>
    <row r="3026" s="2" customFormat="1" ht="15" x14ac:dyDescent="0.25"/>
    <row r="3027" s="2" customFormat="1" ht="15" x14ac:dyDescent="0.25"/>
    <row r="3028" s="2" customFormat="1" ht="15" x14ac:dyDescent="0.25"/>
    <row r="3029" s="2" customFormat="1" ht="15" x14ac:dyDescent="0.25"/>
    <row r="3030" s="2" customFormat="1" ht="15" x14ac:dyDescent="0.25"/>
    <row r="3031" s="2" customFormat="1" ht="15" x14ac:dyDescent="0.25"/>
    <row r="3032" s="2" customFormat="1" ht="15" x14ac:dyDescent="0.25"/>
    <row r="3033" s="2" customFormat="1" ht="15" x14ac:dyDescent="0.25"/>
    <row r="3034" s="2" customFormat="1" ht="15" x14ac:dyDescent="0.25"/>
    <row r="3035" s="2" customFormat="1" ht="15" x14ac:dyDescent="0.25"/>
    <row r="3036" s="2" customFormat="1" ht="15" x14ac:dyDescent="0.25"/>
    <row r="3037" s="2" customFormat="1" ht="15" x14ac:dyDescent="0.25"/>
    <row r="3038" s="2" customFormat="1" ht="15" x14ac:dyDescent="0.25"/>
    <row r="3039" s="2" customFormat="1" ht="15" x14ac:dyDescent="0.25"/>
    <row r="3040" s="2" customFormat="1" ht="15" x14ac:dyDescent="0.25"/>
    <row r="3041" s="2" customFormat="1" ht="15" x14ac:dyDescent="0.25"/>
    <row r="3042" s="2" customFormat="1" ht="15" x14ac:dyDescent="0.25"/>
    <row r="3043" s="2" customFormat="1" ht="15" x14ac:dyDescent="0.25"/>
    <row r="3044" s="2" customFormat="1" ht="15" x14ac:dyDescent="0.25"/>
    <row r="3045" s="2" customFormat="1" ht="15" x14ac:dyDescent="0.25"/>
    <row r="3046" s="2" customFormat="1" ht="15" x14ac:dyDescent="0.25"/>
    <row r="3047" s="2" customFormat="1" ht="15" x14ac:dyDescent="0.25"/>
    <row r="3048" s="2" customFormat="1" ht="15" x14ac:dyDescent="0.25"/>
    <row r="3049" s="2" customFormat="1" ht="15" x14ac:dyDescent="0.25"/>
    <row r="3050" s="2" customFormat="1" ht="15" x14ac:dyDescent="0.25"/>
    <row r="3051" s="2" customFormat="1" ht="15" x14ac:dyDescent="0.25"/>
    <row r="3052" s="2" customFormat="1" ht="15" x14ac:dyDescent="0.25"/>
    <row r="3053" s="2" customFormat="1" ht="15" x14ac:dyDescent="0.25"/>
    <row r="3054" s="2" customFormat="1" ht="15" x14ac:dyDescent="0.25"/>
    <row r="3055" s="2" customFormat="1" ht="15" x14ac:dyDescent="0.25"/>
    <row r="3056" s="2" customFormat="1" ht="15" x14ac:dyDescent="0.25"/>
    <row r="3057" s="2" customFormat="1" ht="15" x14ac:dyDescent="0.25"/>
    <row r="3058" s="2" customFormat="1" ht="15" x14ac:dyDescent="0.25"/>
    <row r="3059" s="2" customFormat="1" ht="15" x14ac:dyDescent="0.25"/>
    <row r="3060" s="2" customFormat="1" ht="15" x14ac:dyDescent="0.25"/>
    <row r="3061" s="2" customFormat="1" ht="15" x14ac:dyDescent="0.25"/>
    <row r="3062" s="2" customFormat="1" ht="15" x14ac:dyDescent="0.25"/>
    <row r="3063" s="2" customFormat="1" ht="15" x14ac:dyDescent="0.25"/>
    <row r="3064" s="2" customFormat="1" ht="15" x14ac:dyDescent="0.25"/>
    <row r="3065" s="2" customFormat="1" ht="15" x14ac:dyDescent="0.25"/>
    <row r="3066" s="2" customFormat="1" ht="15" x14ac:dyDescent="0.25"/>
    <row r="3067" s="2" customFormat="1" ht="15" x14ac:dyDescent="0.25"/>
    <row r="3068" s="2" customFormat="1" ht="15" x14ac:dyDescent="0.25"/>
    <row r="3069" s="2" customFormat="1" ht="15" x14ac:dyDescent="0.25"/>
    <row r="3070" s="2" customFormat="1" ht="15" x14ac:dyDescent="0.25"/>
    <row r="3071" s="2" customFormat="1" ht="15" x14ac:dyDescent="0.25"/>
    <row r="3072" s="2" customFormat="1" ht="15" x14ac:dyDescent="0.25"/>
    <row r="3073" s="2" customFormat="1" ht="15" x14ac:dyDescent="0.25"/>
    <row r="3074" s="2" customFormat="1" ht="15" x14ac:dyDescent="0.25"/>
    <row r="3075" s="2" customFormat="1" ht="15" x14ac:dyDescent="0.25"/>
    <row r="3076" s="2" customFormat="1" ht="15" x14ac:dyDescent="0.25"/>
    <row r="3077" s="2" customFormat="1" ht="15" x14ac:dyDescent="0.25"/>
    <row r="3078" s="2" customFormat="1" ht="15" x14ac:dyDescent="0.25"/>
    <row r="3079" s="2" customFormat="1" ht="15" x14ac:dyDescent="0.25"/>
    <row r="3080" s="2" customFormat="1" ht="15" x14ac:dyDescent="0.25"/>
    <row r="3081" s="2" customFormat="1" ht="15" x14ac:dyDescent="0.25"/>
    <row r="3082" s="2" customFormat="1" ht="15" x14ac:dyDescent="0.25"/>
    <row r="3083" s="2" customFormat="1" ht="15" x14ac:dyDescent="0.25"/>
    <row r="3084" s="2" customFormat="1" ht="15" x14ac:dyDescent="0.25"/>
    <row r="3085" s="2" customFormat="1" ht="15" x14ac:dyDescent="0.25"/>
    <row r="3086" s="2" customFormat="1" ht="15" x14ac:dyDescent="0.25"/>
    <row r="3087" s="2" customFormat="1" ht="15" x14ac:dyDescent="0.25"/>
    <row r="3088" s="2" customFormat="1" ht="15" x14ac:dyDescent="0.25"/>
    <row r="3089" s="2" customFormat="1" ht="15" x14ac:dyDescent="0.25"/>
    <row r="3090" s="2" customFormat="1" ht="15" x14ac:dyDescent="0.25"/>
    <row r="3091" s="2" customFormat="1" ht="15" x14ac:dyDescent="0.25"/>
    <row r="3092" s="2" customFormat="1" ht="15" x14ac:dyDescent="0.25"/>
    <row r="3093" s="2" customFormat="1" ht="15" x14ac:dyDescent="0.25"/>
    <row r="3094" s="2" customFormat="1" ht="15" x14ac:dyDescent="0.25"/>
    <row r="3095" s="2" customFormat="1" ht="15" x14ac:dyDescent="0.25"/>
    <row r="3096" s="2" customFormat="1" ht="15" x14ac:dyDescent="0.25"/>
    <row r="3097" s="2" customFormat="1" ht="15" x14ac:dyDescent="0.25"/>
    <row r="3098" s="2" customFormat="1" ht="15" x14ac:dyDescent="0.25"/>
    <row r="3099" s="2" customFormat="1" ht="15" x14ac:dyDescent="0.25"/>
    <row r="3100" s="2" customFormat="1" ht="15" x14ac:dyDescent="0.25"/>
    <row r="3101" s="2" customFormat="1" ht="15" x14ac:dyDescent="0.25"/>
    <row r="3102" s="2" customFormat="1" ht="15" x14ac:dyDescent="0.25"/>
    <row r="3103" s="2" customFormat="1" ht="15" x14ac:dyDescent="0.25"/>
    <row r="3104" s="2" customFormat="1" ht="15" x14ac:dyDescent="0.25"/>
    <row r="3105" s="2" customFormat="1" ht="15" x14ac:dyDescent="0.25"/>
    <row r="3106" s="2" customFormat="1" ht="15" x14ac:dyDescent="0.25"/>
    <row r="3107" s="2" customFormat="1" ht="15" x14ac:dyDescent="0.25"/>
    <row r="3108" s="2" customFormat="1" ht="15" x14ac:dyDescent="0.25"/>
    <row r="3109" s="2" customFormat="1" ht="15" x14ac:dyDescent="0.25"/>
    <row r="3110" s="2" customFormat="1" ht="15" x14ac:dyDescent="0.25"/>
    <row r="3111" s="2" customFormat="1" ht="15" x14ac:dyDescent="0.25"/>
    <row r="3112" s="2" customFormat="1" ht="15" x14ac:dyDescent="0.25"/>
    <row r="3113" s="2" customFormat="1" ht="15" x14ac:dyDescent="0.25"/>
    <row r="3114" s="2" customFormat="1" ht="15" x14ac:dyDescent="0.25"/>
    <row r="3115" s="2" customFormat="1" ht="15" x14ac:dyDescent="0.25"/>
    <row r="3116" s="2" customFormat="1" ht="15" x14ac:dyDescent="0.25"/>
    <row r="3117" s="2" customFormat="1" ht="15" x14ac:dyDescent="0.25"/>
    <row r="3118" s="2" customFormat="1" ht="15" x14ac:dyDescent="0.25"/>
    <row r="3119" s="2" customFormat="1" ht="15" x14ac:dyDescent="0.25"/>
    <row r="3120" s="2" customFormat="1" ht="15" x14ac:dyDescent="0.25"/>
    <row r="3121" s="2" customFormat="1" ht="15" x14ac:dyDescent="0.25"/>
    <row r="3122" s="2" customFormat="1" ht="15" x14ac:dyDescent="0.25"/>
    <row r="3123" s="2" customFormat="1" ht="15" x14ac:dyDescent="0.25"/>
    <row r="3124" s="2" customFormat="1" ht="15" x14ac:dyDescent="0.25"/>
    <row r="3125" s="2" customFormat="1" ht="15" x14ac:dyDescent="0.25"/>
    <row r="3126" s="2" customFormat="1" ht="15" x14ac:dyDescent="0.25"/>
    <row r="3127" s="2" customFormat="1" ht="15" x14ac:dyDescent="0.25"/>
    <row r="3128" s="2" customFormat="1" ht="15" x14ac:dyDescent="0.25"/>
    <row r="3129" s="2" customFormat="1" ht="15" x14ac:dyDescent="0.25"/>
    <row r="3130" s="2" customFormat="1" ht="15" x14ac:dyDescent="0.25"/>
    <row r="3131" s="2" customFormat="1" ht="15" x14ac:dyDescent="0.25"/>
    <row r="3132" s="2" customFormat="1" ht="15" x14ac:dyDescent="0.25"/>
    <row r="3133" s="2" customFormat="1" ht="15" x14ac:dyDescent="0.25"/>
    <row r="3134" s="2" customFormat="1" ht="15" x14ac:dyDescent="0.25"/>
    <row r="3135" s="2" customFormat="1" ht="15" x14ac:dyDescent="0.25"/>
    <row r="3136" s="2" customFormat="1" ht="15" x14ac:dyDescent="0.25"/>
    <row r="3137" s="2" customFormat="1" ht="15" x14ac:dyDescent="0.25"/>
    <row r="3138" s="2" customFormat="1" ht="15" x14ac:dyDescent="0.25"/>
    <row r="3139" s="2" customFormat="1" ht="15" x14ac:dyDescent="0.25"/>
    <row r="3140" s="2" customFormat="1" ht="15" x14ac:dyDescent="0.25"/>
    <row r="3141" s="2" customFormat="1" ht="15" x14ac:dyDescent="0.25"/>
    <row r="3142" s="2" customFormat="1" ht="15" x14ac:dyDescent="0.25"/>
    <row r="3143" s="2" customFormat="1" ht="15" x14ac:dyDescent="0.25"/>
    <row r="3144" s="2" customFormat="1" ht="15" x14ac:dyDescent="0.25"/>
    <row r="3145" s="2" customFormat="1" ht="15" x14ac:dyDescent="0.25"/>
    <row r="3146" s="2" customFormat="1" ht="15" x14ac:dyDescent="0.25"/>
    <row r="3147" s="2" customFormat="1" ht="15" x14ac:dyDescent="0.25"/>
    <row r="3148" s="2" customFormat="1" ht="15" x14ac:dyDescent="0.25"/>
    <row r="3149" s="2" customFormat="1" ht="15" x14ac:dyDescent="0.25"/>
    <row r="3150" s="2" customFormat="1" ht="15" x14ac:dyDescent="0.25"/>
    <row r="3151" s="2" customFormat="1" ht="15" x14ac:dyDescent="0.25"/>
    <row r="3152" s="2" customFormat="1" ht="15" x14ac:dyDescent="0.25"/>
    <row r="3153" s="2" customFormat="1" ht="15" x14ac:dyDescent="0.25"/>
    <row r="3154" s="2" customFormat="1" ht="15" x14ac:dyDescent="0.25"/>
    <row r="3155" s="2" customFormat="1" ht="15" x14ac:dyDescent="0.25"/>
    <row r="3156" s="2" customFormat="1" ht="15" x14ac:dyDescent="0.25"/>
    <row r="3157" s="2" customFormat="1" ht="15" x14ac:dyDescent="0.25"/>
    <row r="3158" s="2" customFormat="1" ht="15" x14ac:dyDescent="0.25"/>
    <row r="3159" s="2" customFormat="1" ht="15" x14ac:dyDescent="0.25"/>
    <row r="3160" s="2" customFormat="1" ht="15" x14ac:dyDescent="0.25"/>
    <row r="3161" s="2" customFormat="1" ht="15" x14ac:dyDescent="0.25"/>
    <row r="3162" s="2" customFormat="1" ht="15" x14ac:dyDescent="0.25"/>
    <row r="3163" s="2" customFormat="1" ht="15" x14ac:dyDescent="0.25"/>
    <row r="3164" s="2" customFormat="1" ht="15" x14ac:dyDescent="0.25"/>
    <row r="3165" s="2" customFormat="1" ht="15" x14ac:dyDescent="0.25"/>
    <row r="3166" s="2" customFormat="1" ht="15" x14ac:dyDescent="0.25"/>
    <row r="3167" s="2" customFormat="1" ht="15" x14ac:dyDescent="0.25"/>
    <row r="3168" s="2" customFormat="1" ht="15" x14ac:dyDescent="0.25"/>
    <row r="3169" s="2" customFormat="1" ht="15" x14ac:dyDescent="0.25"/>
    <row r="3170" s="2" customFormat="1" ht="15" x14ac:dyDescent="0.25"/>
    <row r="3171" s="2" customFormat="1" ht="15" x14ac:dyDescent="0.25"/>
    <row r="3172" s="2" customFormat="1" ht="15" x14ac:dyDescent="0.25"/>
    <row r="3173" s="2" customFormat="1" ht="15" x14ac:dyDescent="0.25"/>
    <row r="3174" s="2" customFormat="1" ht="15" x14ac:dyDescent="0.25"/>
    <row r="3175" s="2" customFormat="1" ht="15" x14ac:dyDescent="0.25"/>
    <row r="3176" s="2" customFormat="1" ht="15" x14ac:dyDescent="0.25"/>
    <row r="3177" s="2" customFormat="1" ht="15" x14ac:dyDescent="0.25"/>
    <row r="3178" s="2" customFormat="1" ht="15" x14ac:dyDescent="0.25"/>
    <row r="3179" s="2" customFormat="1" ht="15" x14ac:dyDescent="0.25"/>
    <row r="3180" s="2" customFormat="1" ht="15" x14ac:dyDescent="0.25"/>
    <row r="3181" s="2" customFormat="1" ht="15" x14ac:dyDescent="0.25"/>
    <row r="3182" s="2" customFormat="1" ht="15" x14ac:dyDescent="0.25"/>
    <row r="3183" s="2" customFormat="1" ht="15" x14ac:dyDescent="0.25"/>
    <row r="3184" s="2" customFormat="1" ht="15" x14ac:dyDescent="0.25"/>
    <row r="3185" s="2" customFormat="1" ht="15" x14ac:dyDescent="0.25"/>
    <row r="3186" s="2" customFormat="1" ht="15" x14ac:dyDescent="0.25"/>
    <row r="3187" s="2" customFormat="1" ht="15" x14ac:dyDescent="0.25"/>
    <row r="3188" s="2" customFormat="1" ht="15" x14ac:dyDescent="0.25"/>
    <row r="3189" s="2" customFormat="1" ht="15" x14ac:dyDescent="0.25"/>
    <row r="3190" s="2" customFormat="1" ht="15" x14ac:dyDescent="0.25"/>
    <row r="3191" s="2" customFormat="1" ht="15" x14ac:dyDescent="0.25"/>
    <row r="3192" s="2" customFormat="1" ht="15" x14ac:dyDescent="0.25"/>
    <row r="3193" s="2" customFormat="1" ht="15" x14ac:dyDescent="0.25"/>
    <row r="3194" s="2" customFormat="1" ht="15" x14ac:dyDescent="0.25"/>
    <row r="3195" s="2" customFormat="1" ht="15" x14ac:dyDescent="0.25"/>
    <row r="3196" s="2" customFormat="1" ht="15" x14ac:dyDescent="0.25"/>
    <row r="3197" s="2" customFormat="1" ht="15" x14ac:dyDescent="0.25"/>
    <row r="3198" s="2" customFormat="1" ht="15" x14ac:dyDescent="0.25"/>
    <row r="3199" s="2" customFormat="1" ht="15" x14ac:dyDescent="0.25"/>
    <row r="3200" s="2" customFormat="1" ht="15" x14ac:dyDescent="0.25"/>
    <row r="3201" s="2" customFormat="1" ht="15" x14ac:dyDescent="0.25"/>
    <row r="3202" s="2" customFormat="1" ht="15" x14ac:dyDescent="0.25"/>
    <row r="3203" s="2" customFormat="1" ht="15" x14ac:dyDescent="0.25"/>
    <row r="3204" s="2" customFormat="1" ht="15" x14ac:dyDescent="0.25"/>
    <row r="3205" s="2" customFormat="1" ht="15" x14ac:dyDescent="0.25"/>
    <row r="3206" s="2" customFormat="1" ht="15" x14ac:dyDescent="0.25"/>
    <row r="3207" s="2" customFormat="1" ht="15" x14ac:dyDescent="0.25"/>
    <row r="3208" s="2" customFormat="1" ht="15" x14ac:dyDescent="0.25"/>
    <row r="3209" s="2" customFormat="1" ht="15" x14ac:dyDescent="0.25"/>
    <row r="3210" s="2" customFormat="1" ht="15" x14ac:dyDescent="0.25"/>
    <row r="3211" s="2" customFormat="1" ht="15" x14ac:dyDescent="0.25"/>
    <row r="3212" s="2" customFormat="1" ht="15" x14ac:dyDescent="0.25"/>
    <row r="3213" s="2" customFormat="1" ht="15" x14ac:dyDescent="0.25"/>
    <row r="3214" s="2" customFormat="1" ht="15" x14ac:dyDescent="0.25"/>
    <row r="3215" s="2" customFormat="1" ht="15" x14ac:dyDescent="0.25"/>
    <row r="3216" s="2" customFormat="1" ht="15" x14ac:dyDescent="0.25"/>
    <row r="3217" s="2" customFormat="1" ht="15" x14ac:dyDescent="0.25"/>
    <row r="3218" s="2" customFormat="1" ht="15" x14ac:dyDescent="0.25"/>
    <row r="3219" s="2" customFormat="1" ht="15" x14ac:dyDescent="0.25"/>
    <row r="3220" s="2" customFormat="1" ht="15" x14ac:dyDescent="0.25"/>
    <row r="3221" s="2" customFormat="1" ht="15" x14ac:dyDescent="0.25"/>
    <row r="3222" s="2" customFormat="1" ht="15" x14ac:dyDescent="0.25"/>
    <row r="3223" s="2" customFormat="1" ht="15" x14ac:dyDescent="0.25"/>
    <row r="3224" s="2" customFormat="1" ht="15" x14ac:dyDescent="0.25"/>
    <row r="3225" s="2" customFormat="1" ht="15" x14ac:dyDescent="0.25"/>
    <row r="3226" s="2" customFormat="1" ht="15" x14ac:dyDescent="0.25"/>
    <row r="3227" s="2" customFormat="1" ht="15" x14ac:dyDescent="0.25"/>
    <row r="3228" s="2" customFormat="1" ht="15" x14ac:dyDescent="0.25"/>
    <row r="3229" s="2" customFormat="1" ht="15" x14ac:dyDescent="0.25"/>
    <row r="3230" s="2" customFormat="1" ht="15" x14ac:dyDescent="0.25"/>
    <row r="3231" s="2" customFormat="1" ht="15" x14ac:dyDescent="0.25"/>
    <row r="3232" s="2" customFormat="1" ht="15" x14ac:dyDescent="0.25"/>
    <row r="3233" s="2" customFormat="1" ht="15" x14ac:dyDescent="0.25"/>
    <row r="3234" s="2" customFormat="1" ht="15" x14ac:dyDescent="0.25"/>
    <row r="3235" s="2" customFormat="1" ht="15" x14ac:dyDescent="0.25"/>
    <row r="3236" s="2" customFormat="1" ht="15" x14ac:dyDescent="0.25"/>
    <row r="3237" s="2" customFormat="1" ht="15" x14ac:dyDescent="0.25"/>
    <row r="3238" s="2" customFormat="1" ht="15" x14ac:dyDescent="0.25"/>
    <row r="3239" s="2" customFormat="1" ht="15" x14ac:dyDescent="0.25"/>
    <row r="3240" s="2" customFormat="1" ht="15" x14ac:dyDescent="0.25"/>
    <row r="3241" s="2" customFormat="1" ht="15" x14ac:dyDescent="0.25"/>
    <row r="3242" s="2" customFormat="1" ht="15" x14ac:dyDescent="0.25"/>
    <row r="3243" s="2" customFormat="1" ht="15" x14ac:dyDescent="0.25"/>
    <row r="3244" s="2" customFormat="1" ht="15" x14ac:dyDescent="0.25"/>
    <row r="3245" s="2" customFormat="1" ht="15" x14ac:dyDescent="0.25"/>
    <row r="3246" s="2" customFormat="1" ht="15" x14ac:dyDescent="0.25"/>
    <row r="3247" s="2" customFormat="1" ht="15" x14ac:dyDescent="0.25"/>
    <row r="3248" s="2" customFormat="1" ht="15" x14ac:dyDescent="0.25"/>
    <row r="3249" s="2" customFormat="1" ht="15" x14ac:dyDescent="0.25"/>
    <row r="3250" s="2" customFormat="1" ht="15" x14ac:dyDescent="0.25"/>
    <row r="3251" s="2" customFormat="1" ht="15" x14ac:dyDescent="0.25"/>
    <row r="3252" s="2" customFormat="1" ht="15" x14ac:dyDescent="0.25"/>
    <row r="3253" s="2" customFormat="1" ht="15" x14ac:dyDescent="0.25"/>
    <row r="3254" s="2" customFormat="1" ht="15" x14ac:dyDescent="0.25"/>
    <row r="3255" s="2" customFormat="1" ht="15" x14ac:dyDescent="0.25"/>
    <row r="3256" s="2" customFormat="1" ht="15" x14ac:dyDescent="0.25"/>
    <row r="3257" s="2" customFormat="1" ht="15" x14ac:dyDescent="0.25"/>
    <row r="3258" s="2" customFormat="1" ht="15" x14ac:dyDescent="0.25"/>
    <row r="3259" s="2" customFormat="1" ht="15" x14ac:dyDescent="0.25"/>
    <row r="3260" s="2" customFormat="1" ht="15" x14ac:dyDescent="0.25"/>
    <row r="3261" s="2" customFormat="1" ht="15" x14ac:dyDescent="0.25"/>
    <row r="3262" s="2" customFormat="1" ht="15" x14ac:dyDescent="0.25"/>
    <row r="3263" s="2" customFormat="1" ht="15" x14ac:dyDescent="0.25"/>
    <row r="3264" s="2" customFormat="1" ht="15" x14ac:dyDescent="0.25"/>
    <row r="3265" s="2" customFormat="1" ht="15" x14ac:dyDescent="0.25"/>
    <row r="3266" s="2" customFormat="1" ht="15" x14ac:dyDescent="0.25"/>
    <row r="3267" s="2" customFormat="1" ht="15" x14ac:dyDescent="0.25"/>
    <row r="3268" s="2" customFormat="1" ht="15" x14ac:dyDescent="0.25"/>
    <row r="3269" s="2" customFormat="1" ht="15" x14ac:dyDescent="0.25"/>
    <row r="3270" s="2" customFormat="1" ht="15" x14ac:dyDescent="0.25"/>
    <row r="3271" s="2" customFormat="1" ht="15" x14ac:dyDescent="0.25"/>
    <row r="3272" s="2" customFormat="1" ht="15" x14ac:dyDescent="0.25"/>
    <row r="3273" s="2" customFormat="1" ht="15" x14ac:dyDescent="0.25"/>
    <row r="3274" s="2" customFormat="1" ht="15" x14ac:dyDescent="0.25"/>
    <row r="3275" s="2" customFormat="1" ht="15" x14ac:dyDescent="0.25"/>
    <row r="3276" s="2" customFormat="1" ht="15" x14ac:dyDescent="0.25"/>
    <row r="3277" s="2" customFormat="1" ht="15" x14ac:dyDescent="0.25"/>
    <row r="3278" s="2" customFormat="1" ht="15" x14ac:dyDescent="0.25"/>
    <row r="3279" s="2" customFormat="1" ht="15" x14ac:dyDescent="0.25"/>
    <row r="3280" s="2" customFormat="1" ht="15" x14ac:dyDescent="0.25"/>
    <row r="3281" s="2" customFormat="1" ht="15" x14ac:dyDescent="0.25"/>
    <row r="3282" s="2" customFormat="1" ht="15" x14ac:dyDescent="0.25"/>
    <row r="3283" s="2" customFormat="1" ht="15" x14ac:dyDescent="0.25"/>
    <row r="3284" s="2" customFormat="1" ht="15" x14ac:dyDescent="0.25"/>
    <row r="3285" s="2" customFormat="1" ht="15" x14ac:dyDescent="0.25"/>
    <row r="3286" s="2" customFormat="1" ht="15" x14ac:dyDescent="0.25"/>
    <row r="3287" s="2" customFormat="1" ht="15" x14ac:dyDescent="0.25"/>
    <row r="3288" s="2" customFormat="1" ht="15" x14ac:dyDescent="0.25"/>
    <row r="3289" s="2" customFormat="1" ht="15" x14ac:dyDescent="0.25"/>
    <row r="3290" s="2" customFormat="1" ht="15" x14ac:dyDescent="0.25"/>
    <row r="3291" s="2" customFormat="1" ht="15" x14ac:dyDescent="0.25"/>
    <row r="3292" s="2" customFormat="1" ht="15" x14ac:dyDescent="0.25"/>
    <row r="3293" s="2" customFormat="1" ht="15" x14ac:dyDescent="0.25"/>
    <row r="3294" s="2" customFormat="1" ht="15" x14ac:dyDescent="0.25"/>
    <row r="3295" s="2" customFormat="1" ht="15" x14ac:dyDescent="0.25"/>
    <row r="3296" s="2" customFormat="1" ht="15" x14ac:dyDescent="0.25"/>
    <row r="3297" s="2" customFormat="1" ht="15" x14ac:dyDescent="0.25"/>
    <row r="3298" s="2" customFormat="1" ht="15" x14ac:dyDescent="0.25"/>
    <row r="3299" s="2" customFormat="1" ht="15" x14ac:dyDescent="0.25"/>
    <row r="3300" s="2" customFormat="1" ht="15" x14ac:dyDescent="0.25"/>
    <row r="3301" s="2" customFormat="1" ht="15" x14ac:dyDescent="0.25"/>
    <row r="3302" s="2" customFormat="1" ht="15" x14ac:dyDescent="0.25"/>
    <row r="3303" s="2" customFormat="1" ht="15" x14ac:dyDescent="0.25"/>
    <row r="3304" s="2" customFormat="1" ht="15" x14ac:dyDescent="0.25"/>
    <row r="3305" s="2" customFormat="1" ht="15" x14ac:dyDescent="0.25"/>
    <row r="3306" s="2" customFormat="1" ht="15" x14ac:dyDescent="0.25"/>
    <row r="3307" s="2" customFormat="1" ht="15" x14ac:dyDescent="0.25"/>
    <row r="3308" s="2" customFormat="1" ht="15" x14ac:dyDescent="0.25"/>
    <row r="3309" s="2" customFormat="1" ht="15" x14ac:dyDescent="0.25"/>
    <row r="3310" s="2" customFormat="1" ht="15" x14ac:dyDescent="0.25"/>
    <row r="3311" s="2" customFormat="1" ht="15" x14ac:dyDescent="0.25"/>
    <row r="3312" s="2" customFormat="1" ht="15" x14ac:dyDescent="0.25"/>
    <row r="3313" s="2" customFormat="1" ht="15" x14ac:dyDescent="0.25"/>
    <row r="3314" s="2" customFormat="1" ht="15" x14ac:dyDescent="0.25"/>
    <row r="3315" s="2" customFormat="1" ht="15" x14ac:dyDescent="0.25"/>
    <row r="3316" s="2" customFormat="1" ht="15" x14ac:dyDescent="0.25"/>
    <row r="3317" s="2" customFormat="1" ht="15" x14ac:dyDescent="0.25"/>
    <row r="3318" s="2" customFormat="1" ht="15" x14ac:dyDescent="0.25"/>
    <row r="3319" s="2" customFormat="1" ht="15" x14ac:dyDescent="0.25"/>
    <row r="3320" s="2" customFormat="1" ht="15" x14ac:dyDescent="0.25"/>
    <row r="3321" s="2" customFormat="1" ht="15" x14ac:dyDescent="0.25"/>
    <row r="3322" s="2" customFormat="1" ht="15" x14ac:dyDescent="0.25"/>
    <row r="3323" s="2" customFormat="1" ht="15" x14ac:dyDescent="0.25"/>
    <row r="3324" s="2" customFormat="1" ht="15" x14ac:dyDescent="0.25"/>
    <row r="3325" s="2" customFormat="1" ht="15" x14ac:dyDescent="0.25"/>
    <row r="3326" s="2" customFormat="1" ht="15" x14ac:dyDescent="0.25"/>
    <row r="3327" s="2" customFormat="1" ht="15" x14ac:dyDescent="0.25"/>
    <row r="3328" s="2" customFormat="1" ht="15" x14ac:dyDescent="0.25"/>
    <row r="3329" s="2" customFormat="1" ht="15" x14ac:dyDescent="0.25"/>
    <row r="3330" s="2" customFormat="1" ht="15" x14ac:dyDescent="0.25"/>
    <row r="3331" s="2" customFormat="1" ht="15" x14ac:dyDescent="0.25"/>
    <row r="3332" s="2" customFormat="1" ht="15" x14ac:dyDescent="0.25"/>
    <row r="3333" s="2" customFormat="1" ht="15" x14ac:dyDescent="0.25"/>
    <row r="3334" s="2" customFormat="1" ht="15" x14ac:dyDescent="0.25"/>
    <row r="3335" s="2" customFormat="1" ht="15" x14ac:dyDescent="0.25"/>
    <row r="3336" s="2" customFormat="1" ht="15" x14ac:dyDescent="0.25"/>
    <row r="3337" s="2" customFormat="1" ht="15" x14ac:dyDescent="0.25"/>
    <row r="3338" s="2" customFormat="1" ht="15" x14ac:dyDescent="0.25"/>
    <row r="3339" s="2" customFormat="1" ht="15" x14ac:dyDescent="0.25"/>
    <row r="3340" s="2" customFormat="1" ht="15" x14ac:dyDescent="0.25"/>
    <row r="3341" s="2" customFormat="1" ht="15" x14ac:dyDescent="0.25"/>
    <row r="3342" s="2" customFormat="1" ht="15" x14ac:dyDescent="0.25"/>
    <row r="3343" s="2" customFormat="1" ht="15" x14ac:dyDescent="0.25"/>
    <row r="3344" s="2" customFormat="1" ht="15" x14ac:dyDescent="0.25"/>
    <row r="3345" s="2" customFormat="1" ht="15" x14ac:dyDescent="0.25"/>
    <row r="3346" s="2" customFormat="1" ht="15" x14ac:dyDescent="0.25"/>
    <row r="3347" s="2" customFormat="1" ht="15" x14ac:dyDescent="0.25"/>
    <row r="3348" s="2" customFormat="1" ht="15" x14ac:dyDescent="0.25"/>
    <row r="3349" s="2" customFormat="1" ht="15" x14ac:dyDescent="0.25"/>
    <row r="3350" s="2" customFormat="1" ht="15" x14ac:dyDescent="0.25"/>
    <row r="3351" s="2" customFormat="1" ht="15" x14ac:dyDescent="0.25"/>
    <row r="3352" s="2" customFormat="1" ht="15" x14ac:dyDescent="0.25"/>
    <row r="3353" s="2" customFormat="1" ht="15" x14ac:dyDescent="0.25"/>
    <row r="3354" s="2" customFormat="1" ht="15" x14ac:dyDescent="0.25"/>
    <row r="3355" s="2" customFormat="1" ht="15" x14ac:dyDescent="0.25"/>
    <row r="3356" s="2" customFormat="1" ht="15" x14ac:dyDescent="0.25"/>
    <row r="3357" s="2" customFormat="1" ht="15" x14ac:dyDescent="0.25"/>
    <row r="3358" s="2" customFormat="1" ht="15" x14ac:dyDescent="0.25"/>
    <row r="3359" s="2" customFormat="1" ht="15" x14ac:dyDescent="0.25"/>
    <row r="3360" s="2" customFormat="1" ht="15" x14ac:dyDescent="0.25"/>
    <row r="3361" s="2" customFormat="1" ht="15" x14ac:dyDescent="0.25"/>
    <row r="3362" s="2" customFormat="1" ht="15" x14ac:dyDescent="0.25"/>
    <row r="3363" s="2" customFormat="1" ht="15" x14ac:dyDescent="0.25"/>
    <row r="3364" s="2" customFormat="1" ht="15" x14ac:dyDescent="0.25"/>
    <row r="3365" s="2" customFormat="1" ht="15" x14ac:dyDescent="0.25"/>
    <row r="3366" s="2" customFormat="1" ht="15" x14ac:dyDescent="0.25"/>
    <row r="3367" s="2" customFormat="1" ht="15" x14ac:dyDescent="0.25"/>
    <row r="3368" s="2" customFormat="1" ht="15" x14ac:dyDescent="0.25"/>
    <row r="3369" s="2" customFormat="1" ht="15" x14ac:dyDescent="0.25"/>
    <row r="3370" s="2" customFormat="1" ht="15" x14ac:dyDescent="0.25"/>
    <row r="3371" s="2" customFormat="1" ht="15" x14ac:dyDescent="0.25"/>
    <row r="3372" s="2" customFormat="1" ht="15" x14ac:dyDescent="0.25"/>
    <row r="3373" s="2" customFormat="1" ht="15" x14ac:dyDescent="0.25"/>
    <row r="3374" s="2" customFormat="1" ht="15" x14ac:dyDescent="0.25"/>
    <row r="3375" s="2" customFormat="1" ht="15" x14ac:dyDescent="0.25"/>
    <row r="3376" s="2" customFormat="1" ht="15" x14ac:dyDescent="0.25"/>
    <row r="3377" s="2" customFormat="1" ht="15" x14ac:dyDescent="0.25"/>
    <row r="3378" s="2" customFormat="1" ht="15" x14ac:dyDescent="0.25"/>
    <row r="3379" s="2" customFormat="1" ht="15" x14ac:dyDescent="0.25"/>
    <row r="3380" s="2" customFormat="1" ht="15" x14ac:dyDescent="0.25"/>
    <row r="3381" s="2" customFormat="1" ht="15" x14ac:dyDescent="0.25"/>
    <row r="3382" s="2" customFormat="1" ht="15" x14ac:dyDescent="0.25"/>
    <row r="3383" s="2" customFormat="1" ht="15" x14ac:dyDescent="0.25"/>
    <row r="3384" s="2" customFormat="1" ht="15" x14ac:dyDescent="0.25"/>
    <row r="3385" s="2" customFormat="1" ht="15" x14ac:dyDescent="0.25"/>
    <row r="3386" s="2" customFormat="1" ht="15" x14ac:dyDescent="0.25"/>
    <row r="3387" s="2" customFormat="1" ht="15" x14ac:dyDescent="0.25"/>
    <row r="3388" s="2" customFormat="1" ht="15" x14ac:dyDescent="0.25"/>
    <row r="3389" s="2" customFormat="1" ht="15" x14ac:dyDescent="0.25"/>
    <row r="3390" s="2" customFormat="1" ht="15" x14ac:dyDescent="0.25"/>
    <row r="3391" s="2" customFormat="1" ht="15" x14ac:dyDescent="0.25"/>
    <row r="3392" s="2" customFormat="1" ht="15" x14ac:dyDescent="0.25"/>
    <row r="3393" s="2" customFormat="1" ht="15" x14ac:dyDescent="0.25"/>
    <row r="3394" s="2" customFormat="1" ht="15" x14ac:dyDescent="0.25"/>
    <row r="3395" s="2" customFormat="1" ht="15" x14ac:dyDescent="0.25"/>
    <row r="3396" s="2" customFormat="1" ht="15" x14ac:dyDescent="0.25"/>
    <row r="3397" s="2" customFormat="1" ht="15" x14ac:dyDescent="0.25"/>
    <row r="3398" s="2" customFormat="1" ht="15" x14ac:dyDescent="0.25"/>
    <row r="3399" s="2" customFormat="1" ht="15" x14ac:dyDescent="0.25"/>
    <row r="3400" s="2" customFormat="1" ht="15" x14ac:dyDescent="0.25"/>
    <row r="3401" s="2" customFormat="1" ht="15" x14ac:dyDescent="0.25"/>
    <row r="3402" s="2" customFormat="1" ht="15" x14ac:dyDescent="0.25"/>
    <row r="3403" s="2" customFormat="1" ht="15" x14ac:dyDescent="0.25"/>
    <row r="3404" s="2" customFormat="1" ht="15" x14ac:dyDescent="0.25"/>
    <row r="3405" s="2" customFormat="1" ht="15" x14ac:dyDescent="0.25"/>
    <row r="3406" s="2" customFormat="1" ht="15" x14ac:dyDescent="0.25"/>
    <row r="3407" s="2" customFormat="1" ht="15" x14ac:dyDescent="0.25"/>
    <row r="3408" s="2" customFormat="1" ht="15" x14ac:dyDescent="0.25"/>
    <row r="3409" s="2" customFormat="1" ht="15" x14ac:dyDescent="0.25"/>
    <row r="3410" s="2" customFormat="1" ht="15" x14ac:dyDescent="0.25"/>
    <row r="3411" s="2" customFormat="1" ht="15" x14ac:dyDescent="0.25"/>
    <row r="3412" s="2" customFormat="1" ht="15" x14ac:dyDescent="0.25"/>
    <row r="3413" s="2" customFormat="1" ht="15" x14ac:dyDescent="0.25"/>
    <row r="3414" s="2" customFormat="1" ht="15" x14ac:dyDescent="0.25"/>
    <row r="3415" s="2" customFormat="1" ht="15" x14ac:dyDescent="0.25"/>
    <row r="3416" s="2" customFormat="1" ht="15" x14ac:dyDescent="0.25"/>
    <row r="3417" s="2" customFormat="1" ht="15" x14ac:dyDescent="0.25"/>
    <row r="3418" s="2" customFormat="1" ht="15" x14ac:dyDescent="0.25"/>
    <row r="3419" s="2" customFormat="1" ht="15" x14ac:dyDescent="0.25"/>
    <row r="3420" s="2" customFormat="1" ht="15" x14ac:dyDescent="0.25"/>
    <row r="3421" s="2" customFormat="1" ht="15" x14ac:dyDescent="0.25"/>
    <row r="3422" s="2" customFormat="1" ht="15" x14ac:dyDescent="0.25"/>
    <row r="3423" s="2" customFormat="1" ht="15" x14ac:dyDescent="0.25"/>
    <row r="3424" s="2" customFormat="1" ht="15" x14ac:dyDescent="0.25"/>
    <row r="3425" s="2" customFormat="1" ht="15" x14ac:dyDescent="0.25"/>
    <row r="3426" s="2" customFormat="1" ht="15" x14ac:dyDescent="0.25"/>
    <row r="3427" s="2" customFormat="1" ht="15" x14ac:dyDescent="0.25"/>
    <row r="3428" s="2" customFormat="1" ht="15" x14ac:dyDescent="0.25"/>
    <row r="3429" s="2" customFormat="1" ht="15" x14ac:dyDescent="0.25"/>
    <row r="3430" s="2" customFormat="1" ht="15" x14ac:dyDescent="0.25"/>
    <row r="3431" s="2" customFormat="1" ht="15" x14ac:dyDescent="0.25"/>
    <row r="3432" s="2" customFormat="1" ht="15" x14ac:dyDescent="0.25"/>
    <row r="3433" s="2" customFormat="1" ht="15" x14ac:dyDescent="0.25"/>
    <row r="3434" s="2" customFormat="1" ht="15" x14ac:dyDescent="0.25"/>
    <row r="3435" s="2" customFormat="1" ht="15" x14ac:dyDescent="0.25"/>
    <row r="3436" s="2" customFormat="1" ht="15" x14ac:dyDescent="0.25"/>
    <row r="3437" s="2" customFormat="1" ht="15" x14ac:dyDescent="0.25"/>
    <row r="3438" s="2" customFormat="1" ht="15" x14ac:dyDescent="0.25"/>
    <row r="3439" s="2" customFormat="1" ht="15" x14ac:dyDescent="0.25"/>
    <row r="3440" s="2" customFormat="1" ht="15" x14ac:dyDescent="0.25"/>
    <row r="3441" s="2" customFormat="1" ht="15" x14ac:dyDescent="0.25"/>
    <row r="3442" s="2" customFormat="1" ht="15" x14ac:dyDescent="0.25"/>
    <row r="3443" s="2" customFormat="1" ht="15" x14ac:dyDescent="0.25"/>
    <row r="3444" s="2" customFormat="1" ht="15" x14ac:dyDescent="0.25"/>
    <row r="3445" s="2" customFormat="1" ht="15" x14ac:dyDescent="0.25"/>
    <row r="3446" s="2" customFormat="1" ht="15" x14ac:dyDescent="0.25"/>
    <row r="3447" s="2" customFormat="1" ht="15" x14ac:dyDescent="0.25"/>
    <row r="3448" s="2" customFormat="1" ht="15" x14ac:dyDescent="0.25"/>
    <row r="3449" s="2" customFormat="1" ht="15" x14ac:dyDescent="0.25"/>
    <row r="3450" s="2" customFormat="1" ht="15" x14ac:dyDescent="0.25"/>
    <row r="3451" s="2" customFormat="1" ht="15" x14ac:dyDescent="0.25"/>
    <row r="3452" s="2" customFormat="1" ht="15" x14ac:dyDescent="0.25"/>
    <row r="3453" s="2" customFormat="1" ht="15" x14ac:dyDescent="0.25"/>
    <row r="3454" s="2" customFormat="1" ht="15" x14ac:dyDescent="0.25"/>
    <row r="3455" s="2" customFormat="1" ht="15" x14ac:dyDescent="0.25"/>
    <row r="3456" s="2" customFormat="1" ht="15" x14ac:dyDescent="0.25"/>
    <row r="3457" s="2" customFormat="1" ht="15" x14ac:dyDescent="0.25"/>
    <row r="3458" s="2" customFormat="1" ht="15" x14ac:dyDescent="0.25"/>
    <row r="3459" s="2" customFormat="1" ht="15" x14ac:dyDescent="0.25"/>
    <row r="3460" s="2" customFormat="1" ht="15" x14ac:dyDescent="0.25"/>
    <row r="3461" s="2" customFormat="1" ht="15" x14ac:dyDescent="0.25"/>
    <row r="3462" s="2" customFormat="1" ht="15" x14ac:dyDescent="0.25"/>
    <row r="3463" s="2" customFormat="1" ht="15" x14ac:dyDescent="0.25"/>
    <row r="3464" s="2" customFormat="1" ht="15" x14ac:dyDescent="0.25"/>
    <row r="3465" s="2" customFormat="1" ht="15" x14ac:dyDescent="0.25"/>
    <row r="3466" s="2" customFormat="1" ht="15" x14ac:dyDescent="0.25"/>
    <row r="3467" s="2" customFormat="1" ht="15" x14ac:dyDescent="0.25"/>
    <row r="3468" s="2" customFormat="1" ht="15" x14ac:dyDescent="0.25"/>
    <row r="3469" s="2" customFormat="1" ht="15" x14ac:dyDescent="0.25"/>
    <row r="3470" s="2" customFormat="1" ht="15" x14ac:dyDescent="0.25"/>
    <row r="3471" s="2" customFormat="1" ht="15" x14ac:dyDescent="0.25"/>
    <row r="3472" s="2" customFormat="1" ht="15" x14ac:dyDescent="0.25"/>
    <row r="3473" s="2" customFormat="1" ht="15" x14ac:dyDescent="0.25"/>
    <row r="3474" s="2" customFormat="1" ht="15" x14ac:dyDescent="0.25"/>
    <row r="3475" s="2" customFormat="1" ht="15" x14ac:dyDescent="0.25"/>
    <row r="3476" s="2" customFormat="1" ht="15" x14ac:dyDescent="0.25"/>
    <row r="3477" s="2" customFormat="1" ht="15" x14ac:dyDescent="0.25"/>
    <row r="3478" s="2" customFormat="1" ht="15" x14ac:dyDescent="0.25"/>
    <row r="3479" s="2" customFormat="1" ht="15" x14ac:dyDescent="0.25"/>
    <row r="3480" s="2" customFormat="1" ht="15" x14ac:dyDescent="0.25"/>
    <row r="3481" s="2" customFormat="1" ht="15" x14ac:dyDescent="0.25"/>
    <row r="3482" s="2" customFormat="1" ht="15" x14ac:dyDescent="0.25"/>
    <row r="3483" s="2" customFormat="1" ht="15" x14ac:dyDescent="0.25"/>
    <row r="3484" s="2" customFormat="1" ht="15" x14ac:dyDescent="0.25"/>
    <row r="3485" s="2" customFormat="1" ht="15" x14ac:dyDescent="0.25"/>
    <row r="3486" s="2" customFormat="1" ht="15" x14ac:dyDescent="0.25"/>
    <row r="3487" s="2" customFormat="1" ht="15" x14ac:dyDescent="0.25"/>
    <row r="3488" s="2" customFormat="1" ht="15" x14ac:dyDescent="0.25"/>
    <row r="3489" s="2" customFormat="1" ht="15" x14ac:dyDescent="0.25"/>
    <row r="3490" s="2" customFormat="1" ht="15" x14ac:dyDescent="0.25"/>
    <row r="3491" s="2" customFormat="1" ht="15" x14ac:dyDescent="0.25"/>
    <row r="3492" s="2" customFormat="1" ht="15" x14ac:dyDescent="0.25"/>
    <row r="3493" s="2" customFormat="1" ht="15" x14ac:dyDescent="0.25"/>
    <row r="3494" s="2" customFormat="1" ht="15" x14ac:dyDescent="0.25"/>
    <row r="3495" s="2" customFormat="1" ht="15" x14ac:dyDescent="0.25"/>
    <row r="3496" s="2" customFormat="1" ht="15" x14ac:dyDescent="0.25"/>
    <row r="3497" s="2" customFormat="1" ht="15" x14ac:dyDescent="0.25"/>
    <row r="3498" s="2" customFormat="1" ht="15" x14ac:dyDescent="0.25"/>
    <row r="3499" s="2" customFormat="1" ht="15" x14ac:dyDescent="0.25"/>
    <row r="3500" s="2" customFormat="1" ht="15" x14ac:dyDescent="0.25"/>
    <row r="3501" s="2" customFormat="1" ht="15" x14ac:dyDescent="0.25"/>
    <row r="3502" s="2" customFormat="1" ht="15" x14ac:dyDescent="0.25"/>
    <row r="3503" s="2" customFormat="1" ht="15" x14ac:dyDescent="0.25"/>
    <row r="3504" s="2" customFormat="1" ht="15" x14ac:dyDescent="0.25"/>
    <row r="3505" s="2" customFormat="1" ht="15" x14ac:dyDescent="0.25"/>
    <row r="3506" s="2" customFormat="1" ht="15" x14ac:dyDescent="0.25"/>
    <row r="3507" s="2" customFormat="1" ht="15" x14ac:dyDescent="0.25"/>
    <row r="3508" s="2" customFormat="1" ht="15" x14ac:dyDescent="0.25"/>
    <row r="3509" s="2" customFormat="1" ht="15" x14ac:dyDescent="0.25"/>
    <row r="3510" s="2" customFormat="1" ht="15" x14ac:dyDescent="0.25"/>
    <row r="3511" s="2" customFormat="1" ht="15" x14ac:dyDescent="0.25"/>
    <row r="3512" s="2" customFormat="1" ht="15" x14ac:dyDescent="0.25"/>
    <row r="3513" s="2" customFormat="1" ht="15" x14ac:dyDescent="0.25"/>
    <row r="3514" s="2" customFormat="1" ht="15" x14ac:dyDescent="0.25"/>
    <row r="3515" s="2" customFormat="1" ht="15" x14ac:dyDescent="0.25"/>
    <row r="3516" s="2" customFormat="1" ht="15" x14ac:dyDescent="0.25"/>
    <row r="3517" s="2" customFormat="1" ht="15" x14ac:dyDescent="0.25"/>
    <row r="3518" s="2" customFormat="1" ht="15" x14ac:dyDescent="0.25"/>
    <row r="3519" s="2" customFormat="1" ht="15" x14ac:dyDescent="0.25"/>
    <row r="3520" s="2" customFormat="1" ht="15" x14ac:dyDescent="0.25"/>
    <row r="3521" s="2" customFormat="1" ht="15" x14ac:dyDescent="0.25"/>
    <row r="3522" s="2" customFormat="1" ht="15" x14ac:dyDescent="0.25"/>
    <row r="3523" s="2" customFormat="1" ht="15" x14ac:dyDescent="0.25"/>
    <row r="3524" s="2" customFormat="1" ht="15" x14ac:dyDescent="0.25"/>
    <row r="3525" s="2" customFormat="1" ht="15" x14ac:dyDescent="0.25"/>
    <row r="3526" s="2" customFormat="1" ht="15" x14ac:dyDescent="0.25"/>
    <row r="3527" s="2" customFormat="1" ht="15" x14ac:dyDescent="0.25"/>
    <row r="3528" s="2" customFormat="1" ht="15" x14ac:dyDescent="0.25"/>
    <row r="3529" s="2" customFormat="1" ht="15" x14ac:dyDescent="0.25"/>
    <row r="3530" s="2" customFormat="1" ht="15" x14ac:dyDescent="0.25"/>
    <row r="3531" s="2" customFormat="1" ht="15" x14ac:dyDescent="0.25"/>
    <row r="3532" s="2" customFormat="1" ht="15" x14ac:dyDescent="0.25"/>
    <row r="3533" s="2" customFormat="1" ht="15" x14ac:dyDescent="0.25"/>
    <row r="3534" s="2" customFormat="1" ht="15" x14ac:dyDescent="0.25"/>
    <row r="3535" s="2" customFormat="1" ht="15" x14ac:dyDescent="0.25"/>
    <row r="3536" s="2" customFormat="1" ht="15" x14ac:dyDescent="0.25"/>
    <row r="3537" s="2" customFormat="1" ht="15" x14ac:dyDescent="0.25"/>
    <row r="3538" s="2" customFormat="1" ht="15" x14ac:dyDescent="0.25"/>
    <row r="3539" s="2" customFormat="1" ht="15" x14ac:dyDescent="0.25"/>
    <row r="3540" s="2" customFormat="1" ht="15" x14ac:dyDescent="0.25"/>
    <row r="3541" s="2" customFormat="1" ht="15" x14ac:dyDescent="0.25"/>
    <row r="3542" s="2" customFormat="1" ht="15" x14ac:dyDescent="0.25"/>
    <row r="3543" s="2" customFormat="1" ht="15" x14ac:dyDescent="0.25"/>
    <row r="3544" s="2" customFormat="1" ht="15" x14ac:dyDescent="0.25"/>
    <row r="3545" s="2" customFormat="1" ht="15" x14ac:dyDescent="0.25"/>
    <row r="3546" s="2" customFormat="1" ht="15" x14ac:dyDescent="0.25"/>
    <row r="3547" s="2" customFormat="1" ht="15" x14ac:dyDescent="0.25"/>
    <row r="3548" s="2" customFormat="1" ht="15" x14ac:dyDescent="0.25"/>
    <row r="3549" s="2" customFormat="1" ht="15" x14ac:dyDescent="0.25"/>
    <row r="3550" s="2" customFormat="1" ht="15" x14ac:dyDescent="0.25"/>
    <row r="3551" s="2" customFormat="1" ht="15" x14ac:dyDescent="0.25"/>
    <row r="3552" s="2" customFormat="1" ht="15" x14ac:dyDescent="0.25"/>
    <row r="3553" s="2" customFormat="1" ht="15" x14ac:dyDescent="0.25"/>
    <row r="3554" s="2" customFormat="1" ht="15" x14ac:dyDescent="0.25"/>
    <row r="3555" s="2" customFormat="1" ht="15" x14ac:dyDescent="0.25"/>
    <row r="3556" s="2" customFormat="1" ht="15" x14ac:dyDescent="0.25"/>
    <row r="3557" s="2" customFormat="1" ht="15" x14ac:dyDescent="0.25"/>
    <row r="3558" s="2" customFormat="1" ht="15" x14ac:dyDescent="0.25"/>
    <row r="3559" s="2" customFormat="1" ht="15" x14ac:dyDescent="0.25"/>
    <row r="3560" s="2" customFormat="1" ht="15" x14ac:dyDescent="0.25"/>
    <row r="3561" s="2" customFormat="1" ht="15" x14ac:dyDescent="0.25"/>
    <row r="3562" s="2" customFormat="1" ht="15" x14ac:dyDescent="0.25"/>
    <row r="3563" s="2" customFormat="1" ht="15" x14ac:dyDescent="0.25"/>
    <row r="3564" s="2" customFormat="1" ht="15" x14ac:dyDescent="0.25"/>
    <row r="3565" s="2" customFormat="1" ht="15" x14ac:dyDescent="0.25"/>
    <row r="3566" s="2" customFormat="1" ht="15" x14ac:dyDescent="0.25"/>
    <row r="3567" s="2" customFormat="1" ht="15" x14ac:dyDescent="0.25"/>
    <row r="3568" s="2" customFormat="1" ht="15" x14ac:dyDescent="0.25"/>
    <row r="3569" s="2" customFormat="1" ht="15" x14ac:dyDescent="0.25"/>
    <row r="3570" s="2" customFormat="1" ht="15" x14ac:dyDescent="0.25"/>
    <row r="3571" s="2" customFormat="1" ht="15" x14ac:dyDescent="0.25"/>
    <row r="3572" s="2" customFormat="1" ht="15" x14ac:dyDescent="0.25"/>
    <row r="3573" s="2" customFormat="1" ht="15" x14ac:dyDescent="0.25"/>
    <row r="3574" s="2" customFormat="1" ht="15" x14ac:dyDescent="0.25"/>
    <row r="3575" s="2" customFormat="1" ht="15" x14ac:dyDescent="0.25"/>
    <row r="3576" s="2" customFormat="1" ht="15" x14ac:dyDescent="0.25"/>
    <row r="3577" s="2" customFormat="1" ht="15" x14ac:dyDescent="0.25"/>
    <row r="3578" s="2" customFormat="1" ht="15" x14ac:dyDescent="0.25"/>
    <row r="3579" s="2" customFormat="1" ht="15" x14ac:dyDescent="0.25"/>
    <row r="3580" s="2" customFormat="1" ht="15" x14ac:dyDescent="0.25"/>
    <row r="3581" s="2" customFormat="1" ht="15" x14ac:dyDescent="0.25"/>
    <row r="3582" s="2" customFormat="1" ht="15" x14ac:dyDescent="0.25"/>
    <row r="3583" s="2" customFormat="1" ht="15" x14ac:dyDescent="0.25"/>
    <row r="3584" s="2" customFormat="1" ht="15" x14ac:dyDescent="0.25"/>
    <row r="3585" s="2" customFormat="1" ht="15" x14ac:dyDescent="0.25"/>
    <row r="3586" s="2" customFormat="1" ht="15" x14ac:dyDescent="0.25"/>
    <row r="3587" s="2" customFormat="1" ht="15" x14ac:dyDescent="0.25"/>
    <row r="3588" s="2" customFormat="1" ht="15" x14ac:dyDescent="0.25"/>
    <row r="3589" s="2" customFormat="1" ht="15" x14ac:dyDescent="0.25"/>
    <row r="3590" s="2" customFormat="1" ht="15" x14ac:dyDescent="0.25"/>
    <row r="3591" s="2" customFormat="1" ht="15" x14ac:dyDescent="0.25"/>
    <row r="3592" s="2" customFormat="1" ht="15" x14ac:dyDescent="0.25"/>
    <row r="3593" s="2" customFormat="1" ht="15" x14ac:dyDescent="0.25"/>
    <row r="3594" s="2" customFormat="1" ht="15" x14ac:dyDescent="0.25"/>
    <row r="3595" s="2" customFormat="1" ht="15" x14ac:dyDescent="0.25"/>
    <row r="3596" s="2" customFormat="1" ht="15" x14ac:dyDescent="0.25"/>
    <row r="3597" s="2" customFormat="1" ht="15" x14ac:dyDescent="0.25"/>
    <row r="3598" s="2" customFormat="1" ht="15" x14ac:dyDescent="0.25"/>
    <row r="3599" s="2" customFormat="1" ht="15" x14ac:dyDescent="0.25"/>
    <row r="3600" s="2" customFormat="1" ht="15" x14ac:dyDescent="0.25"/>
    <row r="3601" s="2" customFormat="1" ht="15" x14ac:dyDescent="0.25"/>
    <row r="3602" s="2" customFormat="1" ht="15" x14ac:dyDescent="0.25"/>
    <row r="3603" s="2" customFormat="1" ht="15" x14ac:dyDescent="0.25"/>
    <row r="3604" s="2" customFormat="1" ht="15" x14ac:dyDescent="0.25"/>
    <row r="3605" s="2" customFormat="1" ht="15" x14ac:dyDescent="0.25"/>
    <row r="3606" s="2" customFormat="1" ht="15" x14ac:dyDescent="0.25"/>
    <row r="3607" s="2" customFormat="1" ht="15" x14ac:dyDescent="0.25"/>
    <row r="3608" s="2" customFormat="1" ht="15" x14ac:dyDescent="0.25"/>
    <row r="3609" s="2" customFormat="1" ht="15" x14ac:dyDescent="0.25"/>
    <row r="3610" s="2" customFormat="1" ht="15" x14ac:dyDescent="0.25"/>
    <row r="3611" s="2" customFormat="1" ht="15" x14ac:dyDescent="0.25"/>
    <row r="3612" s="2" customFormat="1" ht="15" x14ac:dyDescent="0.25"/>
    <row r="3613" s="2" customFormat="1" ht="15" x14ac:dyDescent="0.25"/>
    <row r="3614" s="2" customFormat="1" ht="15" x14ac:dyDescent="0.25"/>
    <row r="3615" s="2" customFormat="1" ht="15" x14ac:dyDescent="0.25"/>
    <row r="3616" s="2" customFormat="1" ht="15" x14ac:dyDescent="0.25"/>
    <row r="3617" s="2" customFormat="1" ht="15" x14ac:dyDescent="0.25"/>
    <row r="3618" s="2" customFormat="1" ht="15" x14ac:dyDescent="0.25"/>
    <row r="3619" s="2" customFormat="1" ht="15" x14ac:dyDescent="0.25"/>
    <row r="3620" s="2" customFormat="1" ht="15" x14ac:dyDescent="0.25"/>
    <row r="3621" s="2" customFormat="1" ht="15" x14ac:dyDescent="0.25"/>
    <row r="3622" s="2" customFormat="1" ht="15" x14ac:dyDescent="0.25"/>
    <row r="3623" s="2" customFormat="1" ht="15" x14ac:dyDescent="0.25"/>
    <row r="3624" s="2" customFormat="1" ht="15" x14ac:dyDescent="0.25"/>
    <row r="3625" s="2" customFormat="1" ht="15" x14ac:dyDescent="0.25"/>
    <row r="3626" s="2" customFormat="1" ht="15" x14ac:dyDescent="0.25"/>
    <row r="3627" s="2" customFormat="1" ht="15" x14ac:dyDescent="0.25"/>
    <row r="3628" s="2" customFormat="1" ht="15" x14ac:dyDescent="0.25"/>
    <row r="3629" s="2" customFormat="1" ht="15" x14ac:dyDescent="0.25"/>
    <row r="3630" s="2" customFormat="1" ht="15" x14ac:dyDescent="0.25"/>
    <row r="3631" s="2" customFormat="1" ht="15" x14ac:dyDescent="0.25"/>
    <row r="3632" s="2" customFormat="1" ht="15" x14ac:dyDescent="0.25"/>
    <row r="3633" s="2" customFormat="1" ht="15" x14ac:dyDescent="0.25"/>
    <row r="3634" s="2" customFormat="1" ht="15" x14ac:dyDescent="0.25"/>
    <row r="3635" s="2" customFormat="1" ht="15" x14ac:dyDescent="0.25"/>
    <row r="3636" s="2" customFormat="1" ht="15" x14ac:dyDescent="0.25"/>
    <row r="3637" s="2" customFormat="1" ht="15" x14ac:dyDescent="0.25"/>
    <row r="3638" s="2" customFormat="1" ht="15" x14ac:dyDescent="0.25"/>
    <row r="3639" s="2" customFormat="1" ht="15" x14ac:dyDescent="0.25"/>
    <row r="3640" s="2" customFormat="1" ht="15" x14ac:dyDescent="0.25"/>
    <row r="3641" s="2" customFormat="1" ht="15" x14ac:dyDescent="0.25"/>
    <row r="3642" s="2" customFormat="1" ht="15" x14ac:dyDescent="0.25"/>
    <row r="3643" s="2" customFormat="1" ht="15" x14ac:dyDescent="0.25"/>
    <row r="3644" s="2" customFormat="1" ht="15" x14ac:dyDescent="0.25"/>
    <row r="3645" s="2" customFormat="1" ht="15" x14ac:dyDescent="0.25"/>
    <row r="3646" s="2" customFormat="1" ht="15" x14ac:dyDescent="0.25"/>
    <row r="3647" s="2" customFormat="1" ht="15" x14ac:dyDescent="0.25"/>
    <row r="3648" s="2" customFormat="1" ht="15" x14ac:dyDescent="0.25"/>
    <row r="3649" s="2" customFormat="1" ht="15" x14ac:dyDescent="0.25"/>
    <row r="3650" s="2" customFormat="1" ht="15" x14ac:dyDescent="0.25"/>
    <row r="3651" s="2" customFormat="1" ht="15" x14ac:dyDescent="0.25"/>
    <row r="3652" s="2" customFormat="1" ht="15" x14ac:dyDescent="0.25"/>
    <row r="3653" s="2" customFormat="1" ht="15" x14ac:dyDescent="0.25"/>
    <row r="3654" s="2" customFormat="1" ht="15" x14ac:dyDescent="0.25"/>
    <row r="3655" s="2" customFormat="1" ht="15" x14ac:dyDescent="0.25"/>
    <row r="3656" s="2" customFormat="1" ht="15" x14ac:dyDescent="0.25"/>
    <row r="3657" s="2" customFormat="1" ht="15" x14ac:dyDescent="0.25"/>
    <row r="3658" s="2" customFormat="1" ht="15" x14ac:dyDescent="0.25"/>
    <row r="3659" s="2" customFormat="1" ht="15" x14ac:dyDescent="0.25"/>
    <row r="3660" s="2" customFormat="1" ht="15" x14ac:dyDescent="0.25"/>
    <row r="3661" s="2" customFormat="1" ht="15" x14ac:dyDescent="0.25"/>
    <row r="3662" s="2" customFormat="1" ht="15" x14ac:dyDescent="0.25"/>
    <row r="3663" s="2" customFormat="1" ht="15" x14ac:dyDescent="0.25"/>
    <row r="3664" s="2" customFormat="1" ht="15" x14ac:dyDescent="0.25"/>
    <row r="3665" s="2" customFormat="1" ht="15" x14ac:dyDescent="0.25"/>
    <row r="3666" s="2" customFormat="1" ht="15" x14ac:dyDescent="0.25"/>
    <row r="3667" s="2" customFormat="1" ht="15" x14ac:dyDescent="0.25"/>
    <row r="3668" s="2" customFormat="1" ht="15" x14ac:dyDescent="0.25"/>
    <row r="3669" s="2" customFormat="1" ht="15" x14ac:dyDescent="0.25"/>
    <row r="3670" s="2" customFormat="1" ht="15" x14ac:dyDescent="0.25"/>
    <row r="3671" s="2" customFormat="1" ht="15" x14ac:dyDescent="0.25"/>
    <row r="3672" s="2" customFormat="1" ht="15" x14ac:dyDescent="0.25"/>
    <row r="3673" s="2" customFormat="1" ht="15" x14ac:dyDescent="0.25"/>
    <row r="3674" s="2" customFormat="1" ht="15" x14ac:dyDescent="0.25"/>
    <row r="3675" s="2" customFormat="1" ht="15" x14ac:dyDescent="0.25"/>
    <row r="3676" s="2" customFormat="1" ht="15" x14ac:dyDescent="0.25"/>
    <row r="3677" s="2" customFormat="1" ht="15" x14ac:dyDescent="0.25"/>
    <row r="3678" s="2" customFormat="1" ht="15" x14ac:dyDescent="0.25"/>
    <row r="3679" s="2" customFormat="1" ht="15" x14ac:dyDescent="0.25"/>
    <row r="3680" s="2" customFormat="1" ht="15" x14ac:dyDescent="0.25"/>
    <row r="3681" s="2" customFormat="1" ht="15" x14ac:dyDescent="0.25"/>
    <row r="3682" s="2" customFormat="1" ht="15" x14ac:dyDescent="0.25"/>
    <row r="3683" s="2" customFormat="1" ht="15" x14ac:dyDescent="0.25"/>
    <row r="3684" s="2" customFormat="1" ht="15" x14ac:dyDescent="0.25"/>
    <row r="3685" s="2" customFormat="1" ht="15" x14ac:dyDescent="0.25"/>
    <row r="3686" s="2" customFormat="1" ht="15" x14ac:dyDescent="0.25"/>
    <row r="3687" s="2" customFormat="1" ht="15" x14ac:dyDescent="0.25"/>
    <row r="3688" s="2" customFormat="1" ht="15" x14ac:dyDescent="0.25"/>
    <row r="3689" s="2" customFormat="1" ht="15" x14ac:dyDescent="0.25"/>
    <row r="3690" s="2" customFormat="1" ht="15" x14ac:dyDescent="0.25"/>
    <row r="3691" s="2" customFormat="1" ht="15" x14ac:dyDescent="0.25"/>
    <row r="3692" s="2" customFormat="1" ht="15" x14ac:dyDescent="0.25"/>
    <row r="3693" s="2" customFormat="1" ht="15" x14ac:dyDescent="0.25"/>
    <row r="3694" s="2" customFormat="1" ht="15" x14ac:dyDescent="0.25"/>
    <row r="3695" s="2" customFormat="1" ht="15" x14ac:dyDescent="0.25"/>
    <row r="3696" s="2" customFormat="1" ht="15" x14ac:dyDescent="0.25"/>
    <row r="3697" s="2" customFormat="1" ht="15" x14ac:dyDescent="0.25"/>
    <row r="3698" s="2" customFormat="1" ht="15" x14ac:dyDescent="0.25"/>
    <row r="3699" s="2" customFormat="1" ht="15" x14ac:dyDescent="0.25"/>
    <row r="3700" s="2" customFormat="1" ht="15" x14ac:dyDescent="0.25"/>
    <row r="3701" s="2" customFormat="1" ht="15" x14ac:dyDescent="0.25"/>
    <row r="3702" s="2" customFormat="1" ht="15" x14ac:dyDescent="0.25"/>
    <row r="3703" s="2" customFormat="1" ht="15" x14ac:dyDescent="0.25"/>
    <row r="3704" s="2" customFormat="1" ht="15" x14ac:dyDescent="0.25"/>
    <row r="3705" s="2" customFormat="1" ht="15" x14ac:dyDescent="0.25"/>
    <row r="3706" s="2" customFormat="1" ht="15" x14ac:dyDescent="0.25"/>
    <row r="3707" s="2" customFormat="1" ht="15" x14ac:dyDescent="0.25"/>
    <row r="3708" s="2" customFormat="1" ht="15" x14ac:dyDescent="0.25"/>
    <row r="3709" s="2" customFormat="1" ht="15" x14ac:dyDescent="0.25"/>
    <row r="3710" s="2" customFormat="1" ht="15" x14ac:dyDescent="0.25"/>
    <row r="3711" s="2" customFormat="1" ht="15" x14ac:dyDescent="0.25"/>
    <row r="3712" s="2" customFormat="1" ht="15" x14ac:dyDescent="0.25"/>
    <row r="3713" s="2" customFormat="1" ht="15" x14ac:dyDescent="0.25"/>
    <row r="3714" s="2" customFormat="1" ht="15" x14ac:dyDescent="0.25"/>
    <row r="3715" s="2" customFormat="1" ht="15" x14ac:dyDescent="0.25"/>
    <row r="3716" s="2" customFormat="1" ht="15" x14ac:dyDescent="0.25"/>
    <row r="3717" s="2" customFormat="1" ht="15" x14ac:dyDescent="0.25"/>
    <row r="3718" s="2" customFormat="1" ht="15" x14ac:dyDescent="0.25"/>
    <row r="3719" s="2" customFormat="1" ht="15" x14ac:dyDescent="0.25"/>
    <row r="3720" s="2" customFormat="1" ht="15" x14ac:dyDescent="0.25"/>
    <row r="3721" s="2" customFormat="1" ht="15" x14ac:dyDescent="0.25"/>
    <row r="3722" s="2" customFormat="1" ht="15" x14ac:dyDescent="0.25"/>
    <row r="3723" s="2" customFormat="1" ht="15" x14ac:dyDescent="0.25"/>
    <row r="3724" s="2" customFormat="1" ht="15" x14ac:dyDescent="0.25"/>
    <row r="3725" s="2" customFormat="1" ht="15" x14ac:dyDescent="0.25"/>
    <row r="3726" s="2" customFormat="1" ht="15" x14ac:dyDescent="0.25"/>
    <row r="3727" s="2" customFormat="1" ht="15" x14ac:dyDescent="0.25"/>
    <row r="3728" s="2" customFormat="1" ht="15" x14ac:dyDescent="0.25"/>
    <row r="3729" s="2" customFormat="1" ht="15" x14ac:dyDescent="0.25"/>
    <row r="3730" s="2" customFormat="1" ht="15" x14ac:dyDescent="0.25"/>
    <row r="3731" s="2" customFormat="1" ht="15" x14ac:dyDescent="0.25"/>
    <row r="3732" s="2" customFormat="1" ht="15" x14ac:dyDescent="0.25"/>
    <row r="3733" s="2" customFormat="1" ht="15" x14ac:dyDescent="0.25"/>
    <row r="3734" s="2" customFormat="1" ht="15" x14ac:dyDescent="0.25"/>
    <row r="3735" s="2" customFormat="1" ht="15" x14ac:dyDescent="0.25"/>
    <row r="3736" s="2" customFormat="1" ht="15" x14ac:dyDescent="0.25"/>
    <row r="3737" s="2" customFormat="1" ht="15" x14ac:dyDescent="0.25"/>
    <row r="3738" s="2" customFormat="1" ht="15" x14ac:dyDescent="0.25"/>
    <row r="3739" s="2" customFormat="1" ht="15" x14ac:dyDescent="0.25"/>
    <row r="3740" s="2" customFormat="1" ht="15" x14ac:dyDescent="0.25"/>
    <row r="3741" s="2" customFormat="1" ht="15" x14ac:dyDescent="0.25"/>
    <row r="3742" s="2" customFormat="1" ht="15" x14ac:dyDescent="0.25"/>
    <row r="3743" s="2" customFormat="1" ht="15" x14ac:dyDescent="0.25"/>
    <row r="3744" s="2" customFormat="1" ht="15" x14ac:dyDescent="0.25"/>
    <row r="3745" s="2" customFormat="1" ht="15" x14ac:dyDescent="0.25"/>
    <row r="3746" s="2" customFormat="1" ht="15" x14ac:dyDescent="0.25"/>
    <row r="3747" s="2" customFormat="1" ht="15" x14ac:dyDescent="0.25"/>
    <row r="3748" s="2" customFormat="1" ht="15" x14ac:dyDescent="0.25"/>
    <row r="3749" s="2" customFormat="1" ht="15" x14ac:dyDescent="0.25"/>
    <row r="3750" s="2" customFormat="1" ht="15" x14ac:dyDescent="0.25"/>
    <row r="3751" s="2" customFormat="1" ht="15" x14ac:dyDescent="0.25"/>
    <row r="3752" s="2" customFormat="1" ht="15" x14ac:dyDescent="0.25"/>
    <row r="3753" s="2" customFormat="1" ht="15" x14ac:dyDescent="0.25"/>
    <row r="3754" s="2" customFormat="1" ht="15" x14ac:dyDescent="0.25"/>
    <row r="3755" s="2" customFormat="1" ht="15" x14ac:dyDescent="0.25"/>
    <row r="3756" s="2" customFormat="1" ht="15" x14ac:dyDescent="0.25"/>
    <row r="3757" s="2" customFormat="1" ht="15" x14ac:dyDescent="0.25"/>
    <row r="3758" s="2" customFormat="1" ht="15" x14ac:dyDescent="0.25"/>
    <row r="3759" s="2" customFormat="1" ht="15" x14ac:dyDescent="0.25"/>
    <row r="3760" s="2" customFormat="1" ht="15" x14ac:dyDescent="0.25"/>
    <row r="3761" s="2" customFormat="1" ht="15" x14ac:dyDescent="0.25"/>
    <row r="3762" s="2" customFormat="1" ht="15" x14ac:dyDescent="0.25"/>
    <row r="3763" s="2" customFormat="1" ht="15" x14ac:dyDescent="0.25"/>
    <row r="3764" s="2" customFormat="1" ht="15" x14ac:dyDescent="0.25"/>
    <row r="3765" s="2" customFormat="1" ht="15" x14ac:dyDescent="0.25"/>
    <row r="3766" s="2" customFormat="1" ht="15" x14ac:dyDescent="0.25"/>
    <row r="3767" s="2" customFormat="1" ht="15" x14ac:dyDescent="0.25"/>
    <row r="3768" s="2" customFormat="1" ht="15" x14ac:dyDescent="0.25"/>
    <row r="3769" s="2" customFormat="1" ht="15" x14ac:dyDescent="0.25"/>
    <row r="3770" s="2" customFormat="1" ht="15" x14ac:dyDescent="0.25"/>
    <row r="3771" s="2" customFormat="1" ht="15" x14ac:dyDescent="0.25"/>
    <row r="3772" s="2" customFormat="1" ht="15" x14ac:dyDescent="0.25"/>
    <row r="3773" s="2" customFormat="1" ht="15" x14ac:dyDescent="0.25"/>
    <row r="3774" s="2" customFormat="1" ht="15" x14ac:dyDescent="0.25"/>
    <row r="3775" s="2" customFormat="1" ht="15" x14ac:dyDescent="0.25"/>
    <row r="3776" s="2" customFormat="1" ht="15" x14ac:dyDescent="0.25"/>
    <row r="3777" s="2" customFormat="1" ht="15" x14ac:dyDescent="0.25"/>
    <row r="3778" s="2" customFormat="1" ht="15" x14ac:dyDescent="0.25"/>
    <row r="3779" s="2" customFormat="1" ht="15" x14ac:dyDescent="0.25"/>
    <row r="3780" s="2" customFormat="1" ht="15" x14ac:dyDescent="0.25"/>
    <row r="3781" s="2" customFormat="1" ht="15" x14ac:dyDescent="0.25"/>
    <row r="3782" s="2" customFormat="1" ht="15" x14ac:dyDescent="0.25"/>
    <row r="3783" s="2" customFormat="1" ht="15" x14ac:dyDescent="0.25"/>
    <row r="3784" s="2" customFormat="1" ht="15" x14ac:dyDescent="0.25"/>
    <row r="3785" s="2" customFormat="1" ht="15" x14ac:dyDescent="0.25"/>
    <row r="3786" s="2" customFormat="1" ht="15" x14ac:dyDescent="0.25"/>
    <row r="3787" s="2" customFormat="1" ht="15" x14ac:dyDescent="0.25"/>
    <row r="3788" s="2" customFormat="1" ht="15" x14ac:dyDescent="0.25"/>
    <row r="3789" s="2" customFormat="1" ht="15" x14ac:dyDescent="0.25"/>
    <row r="3790" s="2" customFormat="1" ht="15" x14ac:dyDescent="0.25"/>
    <row r="3791" s="2" customFormat="1" ht="15" x14ac:dyDescent="0.25"/>
    <row r="3792" s="2" customFormat="1" ht="15" x14ac:dyDescent="0.25"/>
    <row r="3793" s="2" customFormat="1" ht="15" x14ac:dyDescent="0.25"/>
    <row r="3794" s="2" customFormat="1" ht="15" x14ac:dyDescent="0.25"/>
    <row r="3795" s="2" customFormat="1" ht="15" x14ac:dyDescent="0.25"/>
    <row r="3796" s="2" customFormat="1" ht="15" x14ac:dyDescent="0.25"/>
    <row r="3797" s="2" customFormat="1" ht="15" x14ac:dyDescent="0.25"/>
    <row r="3798" s="2" customFormat="1" ht="15" x14ac:dyDescent="0.25"/>
    <row r="3799" s="2" customFormat="1" ht="15" x14ac:dyDescent="0.25"/>
    <row r="3800" s="2" customFormat="1" ht="15" x14ac:dyDescent="0.25"/>
    <row r="3801" s="2" customFormat="1" ht="15" x14ac:dyDescent="0.25"/>
    <row r="3802" s="2" customFormat="1" ht="15" x14ac:dyDescent="0.25"/>
    <row r="3803" s="2" customFormat="1" ht="15" x14ac:dyDescent="0.25"/>
    <row r="3804" s="2" customFormat="1" ht="15" x14ac:dyDescent="0.25"/>
    <row r="3805" s="2" customFormat="1" ht="15" x14ac:dyDescent="0.25"/>
    <row r="3806" s="2" customFormat="1" ht="15" x14ac:dyDescent="0.25"/>
    <row r="3807" s="2" customFormat="1" ht="15" x14ac:dyDescent="0.25"/>
    <row r="3808" s="2" customFormat="1" ht="15" x14ac:dyDescent="0.25"/>
    <row r="3809" s="2" customFormat="1" ht="15" x14ac:dyDescent="0.25"/>
    <row r="3810" s="2" customFormat="1" ht="15" x14ac:dyDescent="0.25"/>
    <row r="3811" s="2" customFormat="1" ht="15" x14ac:dyDescent="0.25"/>
    <row r="3812" s="2" customFormat="1" ht="15" x14ac:dyDescent="0.25"/>
    <row r="3813" s="2" customFormat="1" ht="15" x14ac:dyDescent="0.25"/>
    <row r="3814" s="2" customFormat="1" ht="15" x14ac:dyDescent="0.25"/>
    <row r="3815" s="2" customFormat="1" ht="15" x14ac:dyDescent="0.25"/>
    <row r="3816" s="2" customFormat="1" ht="15" x14ac:dyDescent="0.25"/>
    <row r="3817" s="2" customFormat="1" ht="15" x14ac:dyDescent="0.25"/>
    <row r="3818" s="2" customFormat="1" ht="15" x14ac:dyDescent="0.25"/>
    <row r="3819" s="2" customFormat="1" ht="15" x14ac:dyDescent="0.25"/>
    <row r="3820" s="2" customFormat="1" ht="15" x14ac:dyDescent="0.25"/>
    <row r="3821" s="2" customFormat="1" ht="15" x14ac:dyDescent="0.25"/>
    <row r="3822" s="2" customFormat="1" ht="15" x14ac:dyDescent="0.25"/>
    <row r="3823" s="2" customFormat="1" ht="15" x14ac:dyDescent="0.25"/>
    <row r="3824" s="2" customFormat="1" ht="15" x14ac:dyDescent="0.25"/>
    <row r="3825" s="2" customFormat="1" ht="15" x14ac:dyDescent="0.25"/>
    <row r="3826" s="2" customFormat="1" ht="15" x14ac:dyDescent="0.25"/>
    <row r="3827" s="2" customFormat="1" ht="15" x14ac:dyDescent="0.25"/>
    <row r="3828" s="2" customFormat="1" ht="15" x14ac:dyDescent="0.25"/>
    <row r="3829" s="2" customFormat="1" ht="15" x14ac:dyDescent="0.25"/>
    <row r="3830" s="2" customFormat="1" ht="15" x14ac:dyDescent="0.25"/>
    <row r="3831" s="2" customFormat="1" ht="15" x14ac:dyDescent="0.25"/>
    <row r="3832" s="2" customFormat="1" ht="15" x14ac:dyDescent="0.25"/>
    <row r="3833" s="2" customFormat="1" ht="15" x14ac:dyDescent="0.25"/>
    <row r="3834" s="2" customFormat="1" ht="15" x14ac:dyDescent="0.25"/>
    <row r="3835" s="2" customFormat="1" ht="15" x14ac:dyDescent="0.25"/>
    <row r="3836" s="2" customFormat="1" ht="15" x14ac:dyDescent="0.25"/>
    <row r="3837" s="2" customFormat="1" ht="15" x14ac:dyDescent="0.25"/>
    <row r="3838" s="2" customFormat="1" ht="15" x14ac:dyDescent="0.25"/>
    <row r="3839" s="2" customFormat="1" ht="15" x14ac:dyDescent="0.25"/>
    <row r="3840" s="2" customFormat="1" ht="15" x14ac:dyDescent="0.25"/>
    <row r="3841" s="2" customFormat="1" ht="15" x14ac:dyDescent="0.25"/>
    <row r="3842" s="2" customFormat="1" ht="15" x14ac:dyDescent="0.25"/>
    <row r="3843" s="2" customFormat="1" ht="15" x14ac:dyDescent="0.25"/>
    <row r="3844" s="2" customFormat="1" ht="15" x14ac:dyDescent="0.25"/>
    <row r="3845" s="2" customFormat="1" ht="15" x14ac:dyDescent="0.25"/>
    <row r="3846" s="2" customFormat="1" ht="15" x14ac:dyDescent="0.25"/>
    <row r="3847" s="2" customFormat="1" ht="15" x14ac:dyDescent="0.25"/>
    <row r="3848" s="2" customFormat="1" ht="15" x14ac:dyDescent="0.25"/>
    <row r="3849" s="2" customFormat="1" ht="15" x14ac:dyDescent="0.25"/>
    <row r="3850" s="2" customFormat="1" ht="15" x14ac:dyDescent="0.25"/>
    <row r="3851" s="2" customFormat="1" ht="15" x14ac:dyDescent="0.25"/>
    <row r="3852" s="2" customFormat="1" ht="15" x14ac:dyDescent="0.25"/>
    <row r="3853" s="2" customFormat="1" ht="15" x14ac:dyDescent="0.25"/>
    <row r="3854" s="2" customFormat="1" ht="15" x14ac:dyDescent="0.25"/>
    <row r="3855" s="2" customFormat="1" ht="15" x14ac:dyDescent="0.25"/>
    <row r="3856" s="2" customFormat="1" ht="15" x14ac:dyDescent="0.25"/>
    <row r="3857" s="2" customFormat="1" ht="15" x14ac:dyDescent="0.25"/>
    <row r="3858" s="2" customFormat="1" ht="15" x14ac:dyDescent="0.25"/>
    <row r="3859" s="2" customFormat="1" ht="15" x14ac:dyDescent="0.25"/>
    <row r="3860" s="2" customFormat="1" ht="15" x14ac:dyDescent="0.25"/>
    <row r="3861" s="2" customFormat="1" ht="15" x14ac:dyDescent="0.25"/>
    <row r="3862" s="2" customFormat="1" ht="15" x14ac:dyDescent="0.25"/>
    <row r="3863" s="2" customFormat="1" ht="15" x14ac:dyDescent="0.25"/>
    <row r="3864" s="2" customFormat="1" ht="15" x14ac:dyDescent="0.25"/>
    <row r="3865" s="2" customFormat="1" ht="15" x14ac:dyDescent="0.25"/>
    <row r="3866" s="2" customFormat="1" ht="15" x14ac:dyDescent="0.25"/>
    <row r="3867" s="2" customFormat="1" ht="15" x14ac:dyDescent="0.25"/>
    <row r="3868" s="2" customFormat="1" ht="15" x14ac:dyDescent="0.25"/>
    <row r="3869" s="2" customFormat="1" ht="15" x14ac:dyDescent="0.25"/>
    <row r="3870" s="2" customFormat="1" ht="15" x14ac:dyDescent="0.25"/>
    <row r="3871" s="2" customFormat="1" ht="15" x14ac:dyDescent="0.25"/>
    <row r="3872" s="2" customFormat="1" ht="15" x14ac:dyDescent="0.25"/>
    <row r="3873" s="2" customFormat="1" ht="15" x14ac:dyDescent="0.25"/>
    <row r="3874" s="2" customFormat="1" ht="15" x14ac:dyDescent="0.25"/>
    <row r="3875" s="2" customFormat="1" ht="15" x14ac:dyDescent="0.25"/>
    <row r="3876" s="2" customFormat="1" ht="15" x14ac:dyDescent="0.25"/>
    <row r="3877" s="2" customFormat="1" ht="15" x14ac:dyDescent="0.25"/>
    <row r="3878" s="2" customFormat="1" ht="15" x14ac:dyDescent="0.25"/>
    <row r="3879" s="2" customFormat="1" ht="15" x14ac:dyDescent="0.25"/>
    <row r="3880" s="2" customFormat="1" ht="15" x14ac:dyDescent="0.25"/>
    <row r="3881" s="2" customFormat="1" ht="15" x14ac:dyDescent="0.25"/>
    <row r="3882" s="2" customFormat="1" ht="15" x14ac:dyDescent="0.25"/>
    <row r="3883" s="2" customFormat="1" ht="15" x14ac:dyDescent="0.25"/>
    <row r="3884" s="2" customFormat="1" ht="15" x14ac:dyDescent="0.25"/>
    <row r="3885" s="2" customFormat="1" ht="15" x14ac:dyDescent="0.25"/>
    <row r="3886" s="2" customFormat="1" ht="15" x14ac:dyDescent="0.25"/>
    <row r="3887" s="2" customFormat="1" ht="15" x14ac:dyDescent="0.25"/>
    <row r="3888" s="2" customFormat="1" ht="15" x14ac:dyDescent="0.25"/>
    <row r="3889" s="2" customFormat="1" ht="15" x14ac:dyDescent="0.25"/>
    <row r="3890" s="2" customFormat="1" ht="15" x14ac:dyDescent="0.25"/>
    <row r="3891" s="2" customFormat="1" ht="15" x14ac:dyDescent="0.25"/>
    <row r="3892" s="2" customFormat="1" ht="15" x14ac:dyDescent="0.25"/>
    <row r="3893" s="2" customFormat="1" ht="15" x14ac:dyDescent="0.25"/>
    <row r="3894" s="2" customFormat="1" ht="15" x14ac:dyDescent="0.25"/>
    <row r="3895" s="2" customFormat="1" ht="15" x14ac:dyDescent="0.25"/>
    <row r="3896" s="2" customFormat="1" ht="15" x14ac:dyDescent="0.25"/>
    <row r="3897" s="2" customFormat="1" ht="15" x14ac:dyDescent="0.25"/>
    <row r="3898" s="2" customFormat="1" ht="15" x14ac:dyDescent="0.25"/>
    <row r="3899" s="2" customFormat="1" ht="15" x14ac:dyDescent="0.25"/>
    <row r="3900" s="2" customFormat="1" ht="15" x14ac:dyDescent="0.25"/>
    <row r="3901" s="2" customFormat="1" ht="15" x14ac:dyDescent="0.25"/>
    <row r="3902" s="2" customFormat="1" ht="15" x14ac:dyDescent="0.25"/>
    <row r="3903" s="2" customFormat="1" ht="15" x14ac:dyDescent="0.25"/>
    <row r="3904" s="2" customFormat="1" ht="15" x14ac:dyDescent="0.25"/>
    <row r="3905" s="2" customFormat="1" ht="15" x14ac:dyDescent="0.25"/>
    <row r="3906" s="2" customFormat="1" ht="15" x14ac:dyDescent="0.25"/>
    <row r="3907" s="2" customFormat="1" ht="15" x14ac:dyDescent="0.25"/>
    <row r="3908" s="2" customFormat="1" ht="15" x14ac:dyDescent="0.25"/>
    <row r="3909" s="2" customFormat="1" ht="15" x14ac:dyDescent="0.25"/>
    <row r="3910" s="2" customFormat="1" ht="15" x14ac:dyDescent="0.25"/>
    <row r="3911" s="2" customFormat="1" ht="15" x14ac:dyDescent="0.25"/>
    <row r="3912" s="2" customFormat="1" ht="15" x14ac:dyDescent="0.25"/>
    <row r="3913" s="2" customFormat="1" ht="15" x14ac:dyDescent="0.25"/>
    <row r="3914" s="2" customFormat="1" ht="15" x14ac:dyDescent="0.25"/>
    <row r="3915" s="2" customFormat="1" ht="15" x14ac:dyDescent="0.25"/>
    <row r="3916" s="2" customFormat="1" ht="15" x14ac:dyDescent="0.25"/>
    <row r="3917" s="2" customFormat="1" ht="15" x14ac:dyDescent="0.25"/>
    <row r="3918" s="2" customFormat="1" ht="15" x14ac:dyDescent="0.25"/>
    <row r="3919" s="2" customFormat="1" ht="15" x14ac:dyDescent="0.25"/>
    <row r="3920" s="2" customFormat="1" ht="15" x14ac:dyDescent="0.25"/>
    <row r="3921" s="2" customFormat="1" ht="15" x14ac:dyDescent="0.25"/>
    <row r="3922" s="2" customFormat="1" ht="15" x14ac:dyDescent="0.25"/>
    <row r="3923" s="2" customFormat="1" ht="15" x14ac:dyDescent="0.25"/>
    <row r="3924" s="2" customFormat="1" ht="15" x14ac:dyDescent="0.25"/>
    <row r="3925" s="2" customFormat="1" ht="15" x14ac:dyDescent="0.25"/>
    <row r="3926" s="2" customFormat="1" ht="15" x14ac:dyDescent="0.25"/>
    <row r="3927" s="2" customFormat="1" ht="15" x14ac:dyDescent="0.25"/>
    <row r="3928" s="2" customFormat="1" ht="15" x14ac:dyDescent="0.25"/>
    <row r="3929" s="2" customFormat="1" ht="15" x14ac:dyDescent="0.25"/>
    <row r="3930" s="2" customFormat="1" ht="15" x14ac:dyDescent="0.25"/>
    <row r="3931" s="2" customFormat="1" ht="15" x14ac:dyDescent="0.25"/>
    <row r="3932" s="2" customFormat="1" ht="15" x14ac:dyDescent="0.25"/>
    <row r="3933" s="2" customFormat="1" ht="15" x14ac:dyDescent="0.25"/>
    <row r="3934" s="2" customFormat="1" ht="15" x14ac:dyDescent="0.25"/>
    <row r="3935" s="2" customFormat="1" ht="15" x14ac:dyDescent="0.25"/>
    <row r="3936" s="2" customFormat="1" ht="15" x14ac:dyDescent="0.25"/>
    <row r="3937" s="2" customFormat="1" ht="15" x14ac:dyDescent="0.25"/>
    <row r="3938" s="2" customFormat="1" ht="15" x14ac:dyDescent="0.25"/>
    <row r="3939" s="2" customFormat="1" ht="15" x14ac:dyDescent="0.25"/>
    <row r="3940" s="2" customFormat="1" ht="15" x14ac:dyDescent="0.25"/>
    <row r="3941" s="2" customFormat="1" ht="15" x14ac:dyDescent="0.25"/>
    <row r="3942" s="2" customFormat="1" ht="15" x14ac:dyDescent="0.25"/>
    <row r="3943" s="2" customFormat="1" ht="15" x14ac:dyDescent="0.25"/>
    <row r="3944" s="2" customFormat="1" ht="15" x14ac:dyDescent="0.25"/>
    <row r="3945" s="2" customFormat="1" ht="15" x14ac:dyDescent="0.25"/>
    <row r="3946" s="2" customFormat="1" ht="15" x14ac:dyDescent="0.25"/>
    <row r="3947" s="2" customFormat="1" ht="15" x14ac:dyDescent="0.25"/>
    <row r="3948" s="2" customFormat="1" ht="15" x14ac:dyDescent="0.25"/>
    <row r="3949" s="2" customFormat="1" ht="15" x14ac:dyDescent="0.25"/>
    <row r="3950" s="2" customFormat="1" ht="15" x14ac:dyDescent="0.25"/>
    <row r="3951" s="2" customFormat="1" ht="15" x14ac:dyDescent="0.25"/>
    <row r="3952" s="2" customFormat="1" ht="15" x14ac:dyDescent="0.25"/>
    <row r="3953" s="2" customFormat="1" ht="15" x14ac:dyDescent="0.25"/>
    <row r="3954" s="2" customFormat="1" ht="15" x14ac:dyDescent="0.25"/>
    <row r="3955" s="2" customFormat="1" ht="15" x14ac:dyDescent="0.25"/>
    <row r="3956" s="2" customFormat="1" ht="15" x14ac:dyDescent="0.25"/>
    <row r="3957" s="2" customFormat="1" ht="15" x14ac:dyDescent="0.25"/>
    <row r="3958" s="2" customFormat="1" ht="15" x14ac:dyDescent="0.25"/>
    <row r="3959" s="2" customFormat="1" ht="15" x14ac:dyDescent="0.25"/>
    <row r="3960" s="2" customFormat="1" ht="15" x14ac:dyDescent="0.25"/>
    <row r="3961" s="2" customFormat="1" ht="15" x14ac:dyDescent="0.25"/>
    <row r="3962" s="2" customFormat="1" ht="15" x14ac:dyDescent="0.25"/>
    <row r="3963" s="2" customFormat="1" ht="15" x14ac:dyDescent="0.25"/>
    <row r="3964" s="2" customFormat="1" ht="15" x14ac:dyDescent="0.25"/>
    <row r="3965" s="2" customFormat="1" ht="15" x14ac:dyDescent="0.25"/>
    <row r="3966" s="2" customFormat="1" ht="15" x14ac:dyDescent="0.25"/>
    <row r="3967" s="2" customFormat="1" ht="15" x14ac:dyDescent="0.25"/>
    <row r="3968" s="2" customFormat="1" ht="15" x14ac:dyDescent="0.25"/>
    <row r="3969" s="2" customFormat="1" ht="15" x14ac:dyDescent="0.25"/>
    <row r="3970" s="2" customFormat="1" ht="15" x14ac:dyDescent="0.25"/>
    <row r="3971" s="2" customFormat="1" ht="15" x14ac:dyDescent="0.25"/>
    <row r="3972" s="2" customFormat="1" ht="15" x14ac:dyDescent="0.25"/>
    <row r="3973" s="2" customFormat="1" ht="15" x14ac:dyDescent="0.25"/>
    <row r="3974" s="2" customFormat="1" ht="15" x14ac:dyDescent="0.25"/>
    <row r="3975" s="2" customFormat="1" ht="15" x14ac:dyDescent="0.25"/>
    <row r="3976" s="2" customFormat="1" ht="15" x14ac:dyDescent="0.25"/>
    <row r="3977" s="2" customFormat="1" ht="15" x14ac:dyDescent="0.25"/>
    <row r="3978" s="2" customFormat="1" ht="15" x14ac:dyDescent="0.25"/>
    <row r="3979" s="2" customFormat="1" ht="15" x14ac:dyDescent="0.25"/>
    <row r="3980" s="2" customFormat="1" ht="15" x14ac:dyDescent="0.25"/>
    <row r="3981" s="2" customFormat="1" ht="15" x14ac:dyDescent="0.25"/>
    <row r="3982" s="2" customFormat="1" ht="15" x14ac:dyDescent="0.25"/>
    <row r="3983" s="2" customFormat="1" ht="15" x14ac:dyDescent="0.25"/>
    <row r="3984" s="2" customFormat="1" ht="15" x14ac:dyDescent="0.25"/>
    <row r="3985" s="2" customFormat="1" ht="15" x14ac:dyDescent="0.25"/>
    <row r="3986" s="2" customFormat="1" ht="15" x14ac:dyDescent="0.25"/>
    <row r="3987" s="2" customFormat="1" ht="15" x14ac:dyDescent="0.25"/>
    <row r="3988" s="2" customFormat="1" ht="15" x14ac:dyDescent="0.25"/>
    <row r="3989" s="2" customFormat="1" ht="15" x14ac:dyDescent="0.25"/>
    <row r="3990" s="2" customFormat="1" ht="15" x14ac:dyDescent="0.25"/>
    <row r="3991" s="2" customFormat="1" ht="15" x14ac:dyDescent="0.25"/>
    <row r="3992" s="2" customFormat="1" ht="15" x14ac:dyDescent="0.25"/>
    <row r="3993" s="2" customFormat="1" ht="15" x14ac:dyDescent="0.25"/>
    <row r="3994" s="2" customFormat="1" ht="15" x14ac:dyDescent="0.25"/>
    <row r="3995" s="2" customFormat="1" ht="15" x14ac:dyDescent="0.25"/>
    <row r="3996" s="2" customFormat="1" ht="15" x14ac:dyDescent="0.25"/>
    <row r="3997" s="2" customFormat="1" ht="15" x14ac:dyDescent="0.25"/>
    <row r="3998" s="2" customFormat="1" ht="15" x14ac:dyDescent="0.25"/>
    <row r="3999" s="2" customFormat="1" ht="15" x14ac:dyDescent="0.25"/>
    <row r="4000" s="2" customFormat="1" ht="15" x14ac:dyDescent="0.25"/>
    <row r="4001" s="2" customFormat="1" ht="15" x14ac:dyDescent="0.25"/>
    <row r="4002" s="2" customFormat="1" ht="15" x14ac:dyDescent="0.25"/>
    <row r="4003" s="2" customFormat="1" ht="15" x14ac:dyDescent="0.25"/>
    <row r="4004" s="2" customFormat="1" ht="15" x14ac:dyDescent="0.25"/>
    <row r="4005" s="2" customFormat="1" ht="15" x14ac:dyDescent="0.25"/>
    <row r="4006" s="2" customFormat="1" ht="15" x14ac:dyDescent="0.25"/>
    <row r="4007" s="2" customFormat="1" ht="15" x14ac:dyDescent="0.25"/>
    <row r="4008" s="2" customFormat="1" ht="15" x14ac:dyDescent="0.25"/>
    <row r="4009" s="2" customFormat="1" ht="15" x14ac:dyDescent="0.25"/>
    <row r="4010" s="2" customFormat="1" ht="15" x14ac:dyDescent="0.25"/>
    <row r="4011" s="2" customFormat="1" ht="15" x14ac:dyDescent="0.25"/>
    <row r="4012" s="2" customFormat="1" ht="15" x14ac:dyDescent="0.25"/>
    <row r="4013" s="2" customFormat="1" ht="15" x14ac:dyDescent="0.25"/>
    <row r="4014" s="2" customFormat="1" ht="15" x14ac:dyDescent="0.25"/>
    <row r="4015" s="2" customFormat="1" ht="15" x14ac:dyDescent="0.25"/>
    <row r="4016" s="2" customFormat="1" ht="15" x14ac:dyDescent="0.25"/>
    <row r="4017" s="2" customFormat="1" ht="15" x14ac:dyDescent="0.25"/>
    <row r="4018" s="2" customFormat="1" ht="15" x14ac:dyDescent="0.25"/>
    <row r="4019" s="2" customFormat="1" ht="15" x14ac:dyDescent="0.25"/>
    <row r="4020" s="2" customFormat="1" ht="15" x14ac:dyDescent="0.25"/>
    <row r="4021" s="2" customFormat="1" ht="15" x14ac:dyDescent="0.25"/>
    <row r="4022" s="2" customFormat="1" ht="15" x14ac:dyDescent="0.25"/>
    <row r="4023" s="2" customFormat="1" ht="15" x14ac:dyDescent="0.25"/>
    <row r="4024" s="2" customFormat="1" ht="15" x14ac:dyDescent="0.25"/>
    <row r="4025" s="2" customFormat="1" ht="15" x14ac:dyDescent="0.25"/>
    <row r="4026" s="2" customFormat="1" ht="15" x14ac:dyDescent="0.25"/>
    <row r="4027" s="2" customFormat="1" ht="15" x14ac:dyDescent="0.25"/>
    <row r="4028" s="2" customFormat="1" ht="15" x14ac:dyDescent="0.25"/>
    <row r="4029" s="2" customFormat="1" ht="15" x14ac:dyDescent="0.25"/>
    <row r="4030" s="2" customFormat="1" ht="15" x14ac:dyDescent="0.25"/>
    <row r="4031" s="2" customFormat="1" ht="15" x14ac:dyDescent="0.25"/>
    <row r="4032" s="2" customFormat="1" ht="15" x14ac:dyDescent="0.25"/>
    <row r="4033" s="2" customFormat="1" ht="15" x14ac:dyDescent="0.25"/>
    <row r="4034" s="2" customFormat="1" ht="15" x14ac:dyDescent="0.25"/>
    <row r="4035" s="2" customFormat="1" ht="15" x14ac:dyDescent="0.25"/>
    <row r="4036" s="2" customFormat="1" ht="15" x14ac:dyDescent="0.25"/>
    <row r="4037" s="2" customFormat="1" ht="15" x14ac:dyDescent="0.25"/>
    <row r="4038" s="2" customFormat="1" ht="15" x14ac:dyDescent="0.25"/>
    <row r="4039" s="2" customFormat="1" ht="15" x14ac:dyDescent="0.25"/>
    <row r="4040" s="2" customFormat="1" ht="15" x14ac:dyDescent="0.25"/>
    <row r="4041" s="2" customFormat="1" ht="15" x14ac:dyDescent="0.25"/>
    <row r="4042" s="2" customFormat="1" ht="15" x14ac:dyDescent="0.25"/>
    <row r="4043" s="2" customFormat="1" ht="15" x14ac:dyDescent="0.25"/>
    <row r="4044" s="2" customFormat="1" ht="15" x14ac:dyDescent="0.25"/>
    <row r="4045" s="2" customFormat="1" ht="15" x14ac:dyDescent="0.25"/>
    <row r="4046" s="2" customFormat="1" ht="15" x14ac:dyDescent="0.25"/>
    <row r="4047" s="2" customFormat="1" ht="15" x14ac:dyDescent="0.25"/>
    <row r="4048" s="2" customFormat="1" ht="15" x14ac:dyDescent="0.25"/>
    <row r="4049" s="2" customFormat="1" ht="15" x14ac:dyDescent="0.25"/>
    <row r="4050" s="2" customFormat="1" ht="15" x14ac:dyDescent="0.25"/>
    <row r="4051" s="2" customFormat="1" ht="15" x14ac:dyDescent="0.25"/>
    <row r="4052" s="2" customFormat="1" ht="15" x14ac:dyDescent="0.25"/>
    <row r="4053" s="2" customFormat="1" ht="15" x14ac:dyDescent="0.25"/>
    <row r="4054" s="2" customFormat="1" ht="15" x14ac:dyDescent="0.25"/>
    <row r="4055" s="2" customFormat="1" ht="15" x14ac:dyDescent="0.25"/>
    <row r="4056" s="2" customFormat="1" ht="15" x14ac:dyDescent="0.25"/>
    <row r="4057" s="2" customFormat="1" ht="15" x14ac:dyDescent="0.25"/>
    <row r="4058" s="2" customFormat="1" ht="15" x14ac:dyDescent="0.25"/>
    <row r="4059" s="2" customFormat="1" ht="15" x14ac:dyDescent="0.25"/>
    <row r="4060" s="2" customFormat="1" ht="15" x14ac:dyDescent="0.25"/>
    <row r="4061" s="2" customFormat="1" ht="15" x14ac:dyDescent="0.25"/>
    <row r="4062" s="2" customFormat="1" ht="15" x14ac:dyDescent="0.25"/>
    <row r="4063" s="2" customFormat="1" ht="15" x14ac:dyDescent="0.25"/>
    <row r="4064" s="2" customFormat="1" ht="15" x14ac:dyDescent="0.25"/>
    <row r="4065" s="2" customFormat="1" ht="15" x14ac:dyDescent="0.25"/>
    <row r="4066" s="2" customFormat="1" ht="15" x14ac:dyDescent="0.25"/>
    <row r="4067" s="2" customFormat="1" ht="15" x14ac:dyDescent="0.25"/>
    <row r="4068" s="2" customFormat="1" ht="15" x14ac:dyDescent="0.25"/>
    <row r="4069" s="2" customFormat="1" ht="15" x14ac:dyDescent="0.25"/>
    <row r="4070" s="2" customFormat="1" ht="15" x14ac:dyDescent="0.25"/>
    <row r="4071" s="2" customFormat="1" ht="15" x14ac:dyDescent="0.25"/>
    <row r="4072" s="2" customFormat="1" ht="15" x14ac:dyDescent="0.25"/>
    <row r="4073" s="2" customFormat="1" ht="15" x14ac:dyDescent="0.25"/>
    <row r="4074" s="2" customFormat="1" ht="15" x14ac:dyDescent="0.25"/>
    <row r="4075" s="2" customFormat="1" ht="15" x14ac:dyDescent="0.25"/>
    <row r="4076" s="2" customFormat="1" ht="15" x14ac:dyDescent="0.25"/>
    <row r="4077" s="2" customFormat="1" ht="15" x14ac:dyDescent="0.25"/>
    <row r="4078" s="2" customFormat="1" ht="15" x14ac:dyDescent="0.25"/>
    <row r="4079" s="2" customFormat="1" ht="15" x14ac:dyDescent="0.25"/>
    <row r="4080" s="2" customFormat="1" ht="15" x14ac:dyDescent="0.25"/>
    <row r="4081" s="2" customFormat="1" ht="15" x14ac:dyDescent="0.25"/>
    <row r="4082" s="2" customFormat="1" ht="15" x14ac:dyDescent="0.25"/>
    <row r="4083" s="2" customFormat="1" ht="15" x14ac:dyDescent="0.25"/>
    <row r="4084" s="2" customFormat="1" ht="15" x14ac:dyDescent="0.25"/>
    <row r="4085" s="2" customFormat="1" ht="15" x14ac:dyDescent="0.25"/>
    <row r="4086" s="2" customFormat="1" ht="15" x14ac:dyDescent="0.25"/>
    <row r="4087" s="2" customFormat="1" ht="15" x14ac:dyDescent="0.25"/>
    <row r="4088" s="2" customFormat="1" ht="15" x14ac:dyDescent="0.25"/>
    <row r="4089" s="2" customFormat="1" ht="15" x14ac:dyDescent="0.25"/>
    <row r="4090" s="2" customFormat="1" ht="15" x14ac:dyDescent="0.25"/>
    <row r="4091" s="2" customFormat="1" ht="15" x14ac:dyDescent="0.25"/>
    <row r="4092" s="2" customFormat="1" ht="15" x14ac:dyDescent="0.25"/>
    <row r="4093" s="2" customFormat="1" ht="15" x14ac:dyDescent="0.25"/>
    <row r="4094" s="2" customFormat="1" ht="15" x14ac:dyDescent="0.25"/>
    <row r="4095" s="2" customFormat="1" ht="15" x14ac:dyDescent="0.25"/>
    <row r="4096" s="2" customFormat="1" ht="15" x14ac:dyDescent="0.25"/>
    <row r="4097" s="2" customFormat="1" ht="15" x14ac:dyDescent="0.25"/>
    <row r="4098" s="2" customFormat="1" ht="15" x14ac:dyDescent="0.25"/>
    <row r="4099" s="2" customFormat="1" ht="15" x14ac:dyDescent="0.25"/>
    <row r="4100" s="2" customFormat="1" ht="15" x14ac:dyDescent="0.25"/>
    <row r="4101" s="2" customFormat="1" ht="15" x14ac:dyDescent="0.25"/>
    <row r="4102" s="2" customFormat="1" ht="15" x14ac:dyDescent="0.25"/>
    <row r="4103" s="2" customFormat="1" ht="15" x14ac:dyDescent="0.25"/>
    <row r="4104" s="2" customFormat="1" ht="15" x14ac:dyDescent="0.25"/>
    <row r="4105" s="2" customFormat="1" ht="15" x14ac:dyDescent="0.25"/>
    <row r="4106" s="2" customFormat="1" ht="15" x14ac:dyDescent="0.25"/>
    <row r="4107" s="2" customFormat="1" ht="15" x14ac:dyDescent="0.25"/>
    <row r="4108" s="2" customFormat="1" ht="15" x14ac:dyDescent="0.25"/>
    <row r="4109" s="2" customFormat="1" ht="15" x14ac:dyDescent="0.25"/>
    <row r="4110" s="2" customFormat="1" ht="15" x14ac:dyDescent="0.25"/>
    <row r="4111" s="2" customFormat="1" ht="15" x14ac:dyDescent="0.25"/>
    <row r="4112" s="2" customFormat="1" ht="15" x14ac:dyDescent="0.25"/>
    <row r="4113" s="2" customFormat="1" ht="15" x14ac:dyDescent="0.25"/>
    <row r="4114" s="2" customFormat="1" ht="15" x14ac:dyDescent="0.25"/>
    <row r="4115" s="2" customFormat="1" ht="15" x14ac:dyDescent="0.25"/>
    <row r="4116" s="2" customFormat="1" ht="15" x14ac:dyDescent="0.25"/>
    <row r="4117" s="2" customFormat="1" ht="15" x14ac:dyDescent="0.25"/>
    <row r="4118" s="2" customFormat="1" ht="15" x14ac:dyDescent="0.25"/>
    <row r="4119" s="2" customFormat="1" ht="15" x14ac:dyDescent="0.25"/>
    <row r="4120" s="2" customFormat="1" ht="15" x14ac:dyDescent="0.25"/>
    <row r="4121" s="2" customFormat="1" ht="15" x14ac:dyDescent="0.25"/>
    <row r="4122" s="2" customFormat="1" ht="15" x14ac:dyDescent="0.25"/>
    <row r="4123" s="2" customFormat="1" ht="15" x14ac:dyDescent="0.25"/>
    <row r="4124" s="2" customFormat="1" ht="15" x14ac:dyDescent="0.25"/>
    <row r="4125" s="2" customFormat="1" ht="15" x14ac:dyDescent="0.25"/>
    <row r="4126" s="2" customFormat="1" ht="15" x14ac:dyDescent="0.25"/>
    <row r="4127" s="2" customFormat="1" ht="15" x14ac:dyDescent="0.25"/>
    <row r="4128" s="2" customFormat="1" ht="15" x14ac:dyDescent="0.25"/>
    <row r="4129" s="2" customFormat="1" ht="15" x14ac:dyDescent="0.25"/>
    <row r="4130" s="2" customFormat="1" ht="15" x14ac:dyDescent="0.25"/>
    <row r="4131" s="2" customFormat="1" ht="15" x14ac:dyDescent="0.25"/>
    <row r="4132" s="2" customFormat="1" ht="15" x14ac:dyDescent="0.25"/>
    <row r="4133" s="2" customFormat="1" ht="15" x14ac:dyDescent="0.25"/>
    <row r="4134" s="2" customFormat="1" ht="15" x14ac:dyDescent="0.25"/>
    <row r="4135" s="2" customFormat="1" ht="15" x14ac:dyDescent="0.25"/>
    <row r="4136" s="2" customFormat="1" ht="15" x14ac:dyDescent="0.25"/>
    <row r="4137" s="2" customFormat="1" ht="15" x14ac:dyDescent="0.25"/>
    <row r="4138" s="2" customFormat="1" ht="15" x14ac:dyDescent="0.25"/>
    <row r="4139" s="2" customFormat="1" ht="15" x14ac:dyDescent="0.25"/>
    <row r="4140" s="2" customFormat="1" ht="15" x14ac:dyDescent="0.25"/>
    <row r="4141" s="2" customFormat="1" ht="15" x14ac:dyDescent="0.25"/>
    <row r="4142" s="2" customFormat="1" ht="15" x14ac:dyDescent="0.25"/>
    <row r="4143" s="2" customFormat="1" ht="15" x14ac:dyDescent="0.25"/>
    <row r="4144" s="2" customFormat="1" ht="15" x14ac:dyDescent="0.25"/>
    <row r="4145" s="2" customFormat="1" ht="15" x14ac:dyDescent="0.25"/>
    <row r="4146" s="2" customFormat="1" ht="15" x14ac:dyDescent="0.25"/>
    <row r="4147" s="2" customFormat="1" ht="15" x14ac:dyDescent="0.25"/>
    <row r="4148" s="2" customFormat="1" ht="15" x14ac:dyDescent="0.25"/>
    <row r="4149" s="2" customFormat="1" ht="15" x14ac:dyDescent="0.25"/>
    <row r="4150" s="2" customFormat="1" ht="15" x14ac:dyDescent="0.25"/>
    <row r="4151" s="2" customFormat="1" ht="15" x14ac:dyDescent="0.25"/>
    <row r="4152" s="2" customFormat="1" ht="15" x14ac:dyDescent="0.25"/>
    <row r="4153" s="2" customFormat="1" ht="15" x14ac:dyDescent="0.25"/>
    <row r="4154" s="2" customFormat="1" ht="15" x14ac:dyDescent="0.25"/>
    <row r="4155" s="2" customFormat="1" ht="15" x14ac:dyDescent="0.25"/>
    <row r="4156" s="2" customFormat="1" ht="15" x14ac:dyDescent="0.25"/>
    <row r="4157" s="2" customFormat="1" ht="15" x14ac:dyDescent="0.25"/>
    <row r="4158" s="2" customFormat="1" ht="15" x14ac:dyDescent="0.25"/>
    <row r="4159" s="2" customFormat="1" ht="15" x14ac:dyDescent="0.25"/>
    <row r="4160" s="2" customFormat="1" ht="15" x14ac:dyDescent="0.25"/>
    <row r="4161" s="2" customFormat="1" ht="15" x14ac:dyDescent="0.25"/>
    <row r="4162" s="2" customFormat="1" ht="15" x14ac:dyDescent="0.25"/>
    <row r="4163" s="2" customFormat="1" ht="15" x14ac:dyDescent="0.25"/>
    <row r="4164" s="2" customFormat="1" ht="15" x14ac:dyDescent="0.25"/>
    <row r="4165" s="2" customFormat="1" ht="15" x14ac:dyDescent="0.25"/>
    <row r="4166" s="2" customFormat="1" ht="15" x14ac:dyDescent="0.25"/>
    <row r="4167" s="2" customFormat="1" ht="15" x14ac:dyDescent="0.25"/>
    <row r="4168" s="2" customFormat="1" ht="15" x14ac:dyDescent="0.25"/>
    <row r="4169" s="2" customFormat="1" ht="15" x14ac:dyDescent="0.25"/>
    <row r="4170" s="2" customFormat="1" ht="15" x14ac:dyDescent="0.25"/>
    <row r="4171" s="2" customFormat="1" ht="15" x14ac:dyDescent="0.25"/>
    <row r="4172" s="2" customFormat="1" ht="15" x14ac:dyDescent="0.25"/>
    <row r="4173" s="2" customFormat="1" ht="15" x14ac:dyDescent="0.25"/>
    <row r="4174" s="2" customFormat="1" ht="15" x14ac:dyDescent="0.25"/>
    <row r="4175" s="2" customFormat="1" ht="15" x14ac:dyDescent="0.25"/>
    <row r="4176" s="2" customFormat="1" ht="15" x14ac:dyDescent="0.25"/>
    <row r="4177" s="2" customFormat="1" ht="15" x14ac:dyDescent="0.25"/>
    <row r="4178" s="2" customFormat="1" ht="15" x14ac:dyDescent="0.25"/>
    <row r="4179" s="2" customFormat="1" ht="15" x14ac:dyDescent="0.25"/>
    <row r="4180" s="2" customFormat="1" ht="15" x14ac:dyDescent="0.25"/>
    <row r="4181" s="2" customFormat="1" ht="15" x14ac:dyDescent="0.25"/>
    <row r="4182" s="2" customFormat="1" ht="15" x14ac:dyDescent="0.25"/>
    <row r="4183" s="2" customFormat="1" ht="15" x14ac:dyDescent="0.25"/>
    <row r="4184" s="2" customFormat="1" ht="15" x14ac:dyDescent="0.25"/>
    <row r="4185" s="2" customFormat="1" ht="15" x14ac:dyDescent="0.25"/>
    <row r="4186" s="2" customFormat="1" ht="15" x14ac:dyDescent="0.25"/>
    <row r="4187" s="2" customFormat="1" ht="15" x14ac:dyDescent="0.25"/>
    <row r="4188" s="2" customFormat="1" ht="15" x14ac:dyDescent="0.25"/>
    <row r="4189" s="2" customFormat="1" ht="15" x14ac:dyDescent="0.25"/>
    <row r="4190" s="2" customFormat="1" ht="15" x14ac:dyDescent="0.25"/>
    <row r="4191" s="2" customFormat="1" ht="15" x14ac:dyDescent="0.25"/>
    <row r="4192" s="2" customFormat="1" ht="15" x14ac:dyDescent="0.25"/>
    <row r="4193" s="2" customFormat="1" ht="15" x14ac:dyDescent="0.25"/>
    <row r="4194" s="2" customFormat="1" ht="15" x14ac:dyDescent="0.25"/>
    <row r="4195" s="2" customFormat="1" ht="15" x14ac:dyDescent="0.25"/>
    <row r="4196" s="2" customFormat="1" ht="15" x14ac:dyDescent="0.25"/>
    <row r="4197" s="2" customFormat="1" ht="15" x14ac:dyDescent="0.25"/>
    <row r="4198" s="2" customFormat="1" ht="15" x14ac:dyDescent="0.25"/>
    <row r="4199" s="2" customFormat="1" ht="15" x14ac:dyDescent="0.25"/>
    <row r="4200" s="2" customFormat="1" ht="15" x14ac:dyDescent="0.25"/>
    <row r="4201" s="2" customFormat="1" ht="15" x14ac:dyDescent="0.25"/>
    <row r="4202" s="2" customFormat="1" ht="15" x14ac:dyDescent="0.25"/>
    <row r="4203" s="2" customFormat="1" ht="15" x14ac:dyDescent="0.25"/>
    <row r="4204" s="2" customFormat="1" ht="15" x14ac:dyDescent="0.25"/>
    <row r="4205" s="2" customFormat="1" ht="15" x14ac:dyDescent="0.25"/>
    <row r="4206" s="2" customFormat="1" ht="15" x14ac:dyDescent="0.25"/>
    <row r="4207" s="2" customFormat="1" ht="15" x14ac:dyDescent="0.25"/>
    <row r="4208" s="2" customFormat="1" ht="15" x14ac:dyDescent="0.25"/>
    <row r="4209" s="2" customFormat="1" ht="15" x14ac:dyDescent="0.25"/>
    <row r="4210" s="2" customFormat="1" ht="15" x14ac:dyDescent="0.25"/>
    <row r="4211" s="2" customFormat="1" ht="15" x14ac:dyDescent="0.25"/>
    <row r="4212" s="2" customFormat="1" ht="15" x14ac:dyDescent="0.25"/>
    <row r="4213" s="2" customFormat="1" ht="15" x14ac:dyDescent="0.25"/>
    <row r="4214" s="2" customFormat="1" ht="15" x14ac:dyDescent="0.25"/>
    <row r="4215" s="2" customFormat="1" ht="15" x14ac:dyDescent="0.25"/>
    <row r="4216" s="2" customFormat="1" ht="15" x14ac:dyDescent="0.25"/>
    <row r="4217" s="2" customFormat="1" ht="15" x14ac:dyDescent="0.25"/>
    <row r="4218" s="2" customFormat="1" ht="15" x14ac:dyDescent="0.25"/>
    <row r="4219" s="2" customFormat="1" ht="15" x14ac:dyDescent="0.25"/>
    <row r="4220" s="2" customFormat="1" ht="15" x14ac:dyDescent="0.25"/>
    <row r="4221" s="2" customFormat="1" ht="15" x14ac:dyDescent="0.25"/>
    <row r="4222" s="2" customFormat="1" ht="15" x14ac:dyDescent="0.25"/>
    <row r="4223" s="2" customFormat="1" ht="15" x14ac:dyDescent="0.25"/>
    <row r="4224" s="2" customFormat="1" ht="15" x14ac:dyDescent="0.25"/>
    <row r="4225" s="2" customFormat="1" ht="15" x14ac:dyDescent="0.25"/>
    <row r="4226" s="2" customFormat="1" ht="15" x14ac:dyDescent="0.25"/>
    <row r="4227" s="2" customFormat="1" ht="15" x14ac:dyDescent="0.25"/>
    <row r="4228" s="2" customFormat="1" ht="15" x14ac:dyDescent="0.25"/>
    <row r="4229" s="2" customFormat="1" ht="15" x14ac:dyDescent="0.25"/>
    <row r="4230" s="2" customFormat="1" ht="15" x14ac:dyDescent="0.25"/>
    <row r="4231" s="2" customFormat="1" ht="15" x14ac:dyDescent="0.25"/>
    <row r="4232" s="2" customFormat="1" ht="15" x14ac:dyDescent="0.25"/>
    <row r="4233" s="2" customFormat="1" ht="15" x14ac:dyDescent="0.25"/>
    <row r="4234" s="2" customFormat="1" ht="15" x14ac:dyDescent="0.25"/>
    <row r="4235" s="2" customFormat="1" ht="15" x14ac:dyDescent="0.25"/>
    <row r="4236" s="2" customFormat="1" ht="15" x14ac:dyDescent="0.25"/>
    <row r="4237" s="2" customFormat="1" ht="15" x14ac:dyDescent="0.25"/>
    <row r="4238" s="2" customFormat="1" ht="15" x14ac:dyDescent="0.25"/>
    <row r="4239" s="2" customFormat="1" ht="15" x14ac:dyDescent="0.25"/>
    <row r="4240" s="2" customFormat="1" ht="15" x14ac:dyDescent="0.25"/>
    <row r="4241" s="2" customFormat="1" ht="15" x14ac:dyDescent="0.25"/>
    <row r="4242" s="2" customFormat="1" ht="15" x14ac:dyDescent="0.25"/>
    <row r="4243" s="2" customFormat="1" ht="15" x14ac:dyDescent="0.25"/>
    <row r="4244" s="2" customFormat="1" ht="15" x14ac:dyDescent="0.25"/>
    <row r="4245" s="2" customFormat="1" ht="15" x14ac:dyDescent="0.25"/>
    <row r="4246" s="2" customFormat="1" ht="15" x14ac:dyDescent="0.25"/>
    <row r="4247" s="2" customFormat="1" ht="15" x14ac:dyDescent="0.25"/>
    <row r="4248" s="2" customFormat="1" ht="15" x14ac:dyDescent="0.25"/>
    <row r="4249" s="2" customFormat="1" ht="15" x14ac:dyDescent="0.25"/>
    <row r="4250" s="2" customFormat="1" ht="15" x14ac:dyDescent="0.25"/>
    <row r="4251" s="2" customFormat="1" ht="15" x14ac:dyDescent="0.25"/>
    <row r="4252" s="2" customFormat="1" ht="15" x14ac:dyDescent="0.25"/>
    <row r="4253" s="2" customFormat="1" ht="15" x14ac:dyDescent="0.25"/>
    <row r="4254" s="2" customFormat="1" ht="15" x14ac:dyDescent="0.25"/>
    <row r="4255" s="2" customFormat="1" ht="15" x14ac:dyDescent="0.25"/>
    <row r="4256" s="2" customFormat="1" ht="15" x14ac:dyDescent="0.25"/>
    <row r="4257" s="2" customFormat="1" ht="15" x14ac:dyDescent="0.25"/>
    <row r="4258" s="2" customFormat="1" ht="15" x14ac:dyDescent="0.25"/>
    <row r="4259" s="2" customFormat="1" ht="15" x14ac:dyDescent="0.25"/>
    <row r="4260" s="2" customFormat="1" ht="15" x14ac:dyDescent="0.25"/>
    <row r="4261" s="2" customFormat="1" ht="15" x14ac:dyDescent="0.25"/>
    <row r="4262" s="2" customFormat="1" ht="15" x14ac:dyDescent="0.25"/>
    <row r="4263" s="2" customFormat="1" ht="15" x14ac:dyDescent="0.25"/>
    <row r="4264" s="2" customFormat="1" ht="15" x14ac:dyDescent="0.25"/>
    <row r="4265" s="2" customFormat="1" ht="15" x14ac:dyDescent="0.25"/>
    <row r="4266" s="2" customFormat="1" ht="15" x14ac:dyDescent="0.25"/>
    <row r="4267" s="2" customFormat="1" ht="15" x14ac:dyDescent="0.25"/>
    <row r="4268" s="2" customFormat="1" ht="15" x14ac:dyDescent="0.25"/>
    <row r="4269" s="2" customFormat="1" ht="15" x14ac:dyDescent="0.25"/>
    <row r="4270" s="2" customFormat="1" ht="15" x14ac:dyDescent="0.25"/>
    <row r="4271" s="2" customFormat="1" ht="15" x14ac:dyDescent="0.25"/>
    <row r="4272" s="2" customFormat="1" ht="15" x14ac:dyDescent="0.25"/>
    <row r="4273" s="2" customFormat="1" ht="15" x14ac:dyDescent="0.25"/>
    <row r="4274" s="2" customFormat="1" ht="15" x14ac:dyDescent="0.25"/>
    <row r="4275" s="2" customFormat="1" ht="15" x14ac:dyDescent="0.25"/>
    <row r="4276" s="2" customFormat="1" ht="15" x14ac:dyDescent="0.25"/>
    <row r="4277" s="2" customFormat="1" ht="15" x14ac:dyDescent="0.25"/>
    <row r="4278" s="2" customFormat="1" ht="15" x14ac:dyDescent="0.25"/>
    <row r="4279" s="2" customFormat="1" ht="15" x14ac:dyDescent="0.25"/>
    <row r="4280" s="2" customFormat="1" ht="15" x14ac:dyDescent="0.25"/>
    <row r="4281" s="2" customFormat="1" ht="15" x14ac:dyDescent="0.25"/>
    <row r="4282" s="2" customFormat="1" ht="15" x14ac:dyDescent="0.25"/>
    <row r="4283" s="2" customFormat="1" ht="15" x14ac:dyDescent="0.25"/>
    <row r="4284" s="2" customFormat="1" ht="15" x14ac:dyDescent="0.25"/>
    <row r="4285" s="2" customFormat="1" ht="15" x14ac:dyDescent="0.25"/>
    <row r="4286" s="2" customFormat="1" ht="15" x14ac:dyDescent="0.25"/>
    <row r="4287" s="2" customFormat="1" ht="15" x14ac:dyDescent="0.25"/>
    <row r="4288" s="2" customFormat="1" ht="15" x14ac:dyDescent="0.25"/>
    <row r="4289" s="2" customFormat="1" ht="15" x14ac:dyDescent="0.25"/>
    <row r="4290" s="2" customFormat="1" ht="15" x14ac:dyDescent="0.25"/>
    <row r="4291" s="2" customFormat="1" ht="15" x14ac:dyDescent="0.25"/>
    <row r="4292" s="2" customFormat="1" ht="15" x14ac:dyDescent="0.25"/>
    <row r="4293" s="2" customFormat="1" ht="15" x14ac:dyDescent="0.25"/>
    <row r="4294" s="2" customFormat="1" ht="15" x14ac:dyDescent="0.25"/>
    <row r="4295" s="2" customFormat="1" ht="15" x14ac:dyDescent="0.25"/>
    <row r="4296" s="2" customFormat="1" ht="15" x14ac:dyDescent="0.25"/>
    <row r="4297" s="2" customFormat="1" ht="15" x14ac:dyDescent="0.25"/>
    <row r="4298" s="2" customFormat="1" ht="15" x14ac:dyDescent="0.25"/>
    <row r="4299" s="2" customFormat="1" ht="15" x14ac:dyDescent="0.25"/>
    <row r="4300" s="2" customFormat="1" ht="15" x14ac:dyDescent="0.25"/>
    <row r="4301" s="2" customFormat="1" ht="15" x14ac:dyDescent="0.25"/>
    <row r="4302" s="2" customFormat="1" ht="15" x14ac:dyDescent="0.25"/>
    <row r="4303" s="2" customFormat="1" ht="15" x14ac:dyDescent="0.25"/>
    <row r="4304" s="2" customFormat="1" ht="15" x14ac:dyDescent="0.25"/>
    <row r="4305" s="2" customFormat="1" ht="15" x14ac:dyDescent="0.25"/>
    <row r="4306" s="2" customFormat="1" ht="15" x14ac:dyDescent="0.25"/>
    <row r="4307" s="2" customFormat="1" ht="15" x14ac:dyDescent="0.25"/>
    <row r="4308" s="2" customFormat="1" ht="15" x14ac:dyDescent="0.25"/>
    <row r="4309" s="2" customFormat="1" ht="15" x14ac:dyDescent="0.25"/>
    <row r="4310" s="2" customFormat="1" ht="15" x14ac:dyDescent="0.25"/>
    <row r="4311" s="2" customFormat="1" ht="15" x14ac:dyDescent="0.25"/>
    <row r="4312" s="2" customFormat="1" ht="15" x14ac:dyDescent="0.25"/>
    <row r="4313" s="2" customFormat="1" ht="15" x14ac:dyDescent="0.25"/>
    <row r="4314" s="2" customFormat="1" ht="15" x14ac:dyDescent="0.25"/>
    <row r="4315" s="2" customFormat="1" ht="15" x14ac:dyDescent="0.25"/>
    <row r="4316" s="2" customFormat="1" ht="15" x14ac:dyDescent="0.25"/>
    <row r="4317" s="2" customFormat="1" ht="15" x14ac:dyDescent="0.25"/>
    <row r="4318" s="2" customFormat="1" ht="15" x14ac:dyDescent="0.25"/>
    <row r="4319" s="2" customFormat="1" ht="15" x14ac:dyDescent="0.25"/>
    <row r="4320" s="2" customFormat="1" ht="15" x14ac:dyDescent="0.25"/>
    <row r="4321" s="2" customFormat="1" ht="15" x14ac:dyDescent="0.25"/>
    <row r="4322" s="2" customFormat="1" ht="15" x14ac:dyDescent="0.25"/>
    <row r="4323" s="2" customFormat="1" ht="15" x14ac:dyDescent="0.25"/>
    <row r="4324" s="2" customFormat="1" ht="15" x14ac:dyDescent="0.25"/>
    <row r="4325" s="2" customFormat="1" ht="15" x14ac:dyDescent="0.25"/>
    <row r="4326" s="2" customFormat="1" ht="15" x14ac:dyDescent="0.25"/>
    <row r="4327" s="2" customFormat="1" ht="15" x14ac:dyDescent="0.25"/>
    <row r="4328" s="2" customFormat="1" ht="15" x14ac:dyDescent="0.25"/>
    <row r="4329" s="2" customFormat="1" ht="15" x14ac:dyDescent="0.25"/>
    <row r="4330" s="2" customFormat="1" ht="15" x14ac:dyDescent="0.25"/>
    <row r="4331" s="2" customFormat="1" ht="15" x14ac:dyDescent="0.25"/>
    <row r="4332" s="2" customFormat="1" ht="15" x14ac:dyDescent="0.25"/>
    <row r="4333" s="2" customFormat="1" ht="15" x14ac:dyDescent="0.25"/>
    <row r="4334" s="2" customFormat="1" ht="15" x14ac:dyDescent="0.25"/>
    <row r="4335" s="2" customFormat="1" ht="15" x14ac:dyDescent="0.25"/>
    <row r="4336" s="2" customFormat="1" ht="15" x14ac:dyDescent="0.25"/>
    <row r="4337" s="2" customFormat="1" ht="15" x14ac:dyDescent="0.25"/>
    <row r="4338" s="2" customFormat="1" ht="15" x14ac:dyDescent="0.25"/>
    <row r="4339" s="2" customFormat="1" ht="15" x14ac:dyDescent="0.25"/>
    <row r="4340" s="2" customFormat="1" ht="15" x14ac:dyDescent="0.25"/>
    <row r="4341" s="2" customFormat="1" ht="15" x14ac:dyDescent="0.25"/>
    <row r="4342" s="2" customFormat="1" ht="15" x14ac:dyDescent="0.25"/>
    <row r="4343" s="2" customFormat="1" ht="15" x14ac:dyDescent="0.25"/>
    <row r="4344" s="2" customFormat="1" ht="15" x14ac:dyDescent="0.25"/>
    <row r="4345" s="2" customFormat="1" ht="15" x14ac:dyDescent="0.25"/>
    <row r="4346" s="2" customFormat="1" ht="15" x14ac:dyDescent="0.25"/>
    <row r="4347" s="2" customFormat="1" ht="15" x14ac:dyDescent="0.25"/>
    <row r="4348" s="2" customFormat="1" ht="15" x14ac:dyDescent="0.25"/>
    <row r="4349" s="2" customFormat="1" ht="15" x14ac:dyDescent="0.25"/>
    <row r="4350" s="2" customFormat="1" ht="15" x14ac:dyDescent="0.25"/>
    <row r="4351" s="2" customFormat="1" ht="15" x14ac:dyDescent="0.25"/>
    <row r="4352" s="2" customFormat="1" ht="15" x14ac:dyDescent="0.25"/>
    <row r="4353" s="2" customFormat="1" ht="15" x14ac:dyDescent="0.25"/>
    <row r="4354" s="2" customFormat="1" ht="15" x14ac:dyDescent="0.25"/>
    <row r="4355" s="2" customFormat="1" ht="15" x14ac:dyDescent="0.25"/>
    <row r="4356" s="2" customFormat="1" ht="15" x14ac:dyDescent="0.25"/>
    <row r="4357" s="2" customFormat="1" ht="15" x14ac:dyDescent="0.25"/>
    <row r="4358" s="2" customFormat="1" ht="15" x14ac:dyDescent="0.25"/>
    <row r="4359" s="2" customFormat="1" ht="15" x14ac:dyDescent="0.25"/>
    <row r="4360" s="2" customFormat="1" ht="15" x14ac:dyDescent="0.25"/>
    <row r="4361" s="2" customFormat="1" ht="15" x14ac:dyDescent="0.25"/>
    <row r="4362" s="2" customFormat="1" ht="15" x14ac:dyDescent="0.25"/>
    <row r="4363" s="2" customFormat="1" ht="15" x14ac:dyDescent="0.25"/>
    <row r="4364" s="2" customFormat="1" ht="15" x14ac:dyDescent="0.25"/>
    <row r="4365" s="2" customFormat="1" ht="15" x14ac:dyDescent="0.25"/>
    <row r="4366" s="2" customFormat="1" ht="15" x14ac:dyDescent="0.25"/>
    <row r="4367" s="2" customFormat="1" ht="15" x14ac:dyDescent="0.25"/>
    <row r="4368" s="2" customFormat="1" ht="15" x14ac:dyDescent="0.25"/>
    <row r="4369" s="2" customFormat="1" ht="15" x14ac:dyDescent="0.25"/>
    <row r="4370" s="2" customFormat="1" ht="15" x14ac:dyDescent="0.25"/>
    <row r="4371" s="2" customFormat="1" ht="15" x14ac:dyDescent="0.25"/>
    <row r="4372" s="2" customFormat="1" ht="15" x14ac:dyDescent="0.25"/>
    <row r="4373" s="2" customFormat="1" ht="15" x14ac:dyDescent="0.25"/>
    <row r="4374" s="2" customFormat="1" ht="15" x14ac:dyDescent="0.25"/>
    <row r="4375" s="2" customFormat="1" ht="15" x14ac:dyDescent="0.25"/>
    <row r="4376" s="2" customFormat="1" ht="15" x14ac:dyDescent="0.25"/>
    <row r="4377" s="2" customFormat="1" ht="15" x14ac:dyDescent="0.25"/>
    <row r="4378" s="2" customFormat="1" ht="15" x14ac:dyDescent="0.25"/>
    <row r="4379" s="2" customFormat="1" ht="15" x14ac:dyDescent="0.25"/>
    <row r="4380" s="2" customFormat="1" ht="15" x14ac:dyDescent="0.25"/>
    <row r="4381" s="2" customFormat="1" ht="15" x14ac:dyDescent="0.25"/>
    <row r="4382" s="2" customFormat="1" ht="15" x14ac:dyDescent="0.25"/>
    <row r="4383" s="2" customFormat="1" ht="15" x14ac:dyDescent="0.25"/>
    <row r="4384" s="2" customFormat="1" ht="15" x14ac:dyDescent="0.25"/>
    <row r="4385" s="2" customFormat="1" ht="15" x14ac:dyDescent="0.25"/>
    <row r="4386" s="2" customFormat="1" ht="15" x14ac:dyDescent="0.25"/>
    <row r="4387" s="2" customFormat="1" ht="15" x14ac:dyDescent="0.25"/>
    <row r="4388" s="2" customFormat="1" ht="15" x14ac:dyDescent="0.25"/>
    <row r="4389" s="2" customFormat="1" ht="15" x14ac:dyDescent="0.25"/>
    <row r="4390" s="2" customFormat="1" ht="15" x14ac:dyDescent="0.25"/>
    <row r="4391" s="2" customFormat="1" ht="15" x14ac:dyDescent="0.25"/>
    <row r="4392" s="2" customFormat="1" ht="15" x14ac:dyDescent="0.25"/>
    <row r="4393" s="2" customFormat="1" ht="15" x14ac:dyDescent="0.25"/>
    <row r="4394" s="2" customFormat="1" ht="15" x14ac:dyDescent="0.25"/>
    <row r="4395" s="2" customFormat="1" ht="15" x14ac:dyDescent="0.25"/>
    <row r="4396" s="2" customFormat="1" ht="15" x14ac:dyDescent="0.25"/>
    <row r="4397" s="2" customFormat="1" ht="15" x14ac:dyDescent="0.25"/>
    <row r="4398" s="2" customFormat="1" ht="15" x14ac:dyDescent="0.25"/>
    <row r="4399" s="2" customFormat="1" ht="15" x14ac:dyDescent="0.25"/>
    <row r="4400" s="2" customFormat="1" ht="15" x14ac:dyDescent="0.25"/>
    <row r="4401" s="2" customFormat="1" ht="15" x14ac:dyDescent="0.25"/>
    <row r="4402" s="2" customFormat="1" ht="15" x14ac:dyDescent="0.25"/>
    <row r="4403" s="2" customFormat="1" ht="15" x14ac:dyDescent="0.25"/>
    <row r="4404" s="2" customFormat="1" ht="15" x14ac:dyDescent="0.25"/>
    <row r="4405" s="2" customFormat="1" ht="15" x14ac:dyDescent="0.25"/>
    <row r="4406" s="2" customFormat="1" ht="15" x14ac:dyDescent="0.25"/>
    <row r="4407" s="2" customFormat="1" ht="15" x14ac:dyDescent="0.25"/>
    <row r="4408" s="2" customFormat="1" ht="15" x14ac:dyDescent="0.25"/>
    <row r="4409" s="2" customFormat="1" ht="15" x14ac:dyDescent="0.25"/>
    <row r="4410" s="2" customFormat="1" ht="15" x14ac:dyDescent="0.25"/>
    <row r="4411" s="2" customFormat="1" ht="15" x14ac:dyDescent="0.25"/>
    <row r="4412" s="2" customFormat="1" ht="15" x14ac:dyDescent="0.25"/>
    <row r="4413" s="2" customFormat="1" ht="15" x14ac:dyDescent="0.25"/>
    <row r="4414" s="2" customFormat="1" ht="15" x14ac:dyDescent="0.25"/>
    <row r="4415" s="2" customFormat="1" ht="15" x14ac:dyDescent="0.25"/>
    <row r="4416" s="2" customFormat="1" ht="15" x14ac:dyDescent="0.25"/>
    <row r="4417" s="2" customFormat="1" ht="15" x14ac:dyDescent="0.25"/>
    <row r="4418" s="2" customFormat="1" ht="15" x14ac:dyDescent="0.25"/>
    <row r="4419" s="2" customFormat="1" ht="15" x14ac:dyDescent="0.25"/>
    <row r="4420" s="2" customFormat="1" ht="15" x14ac:dyDescent="0.25"/>
    <row r="4421" s="2" customFormat="1" ht="15" x14ac:dyDescent="0.25"/>
    <row r="4422" s="2" customFormat="1" ht="15" x14ac:dyDescent="0.25"/>
    <row r="4423" s="2" customFormat="1" ht="15" x14ac:dyDescent="0.25"/>
    <row r="4424" s="2" customFormat="1" ht="15" x14ac:dyDescent="0.25"/>
    <row r="4425" s="2" customFormat="1" ht="15" x14ac:dyDescent="0.25"/>
    <row r="4426" s="2" customFormat="1" ht="15" x14ac:dyDescent="0.25"/>
    <row r="4427" s="2" customFormat="1" ht="15" x14ac:dyDescent="0.25"/>
    <row r="4428" s="2" customFormat="1" ht="15" x14ac:dyDescent="0.25"/>
    <row r="4429" s="2" customFormat="1" ht="15" x14ac:dyDescent="0.25"/>
    <row r="4430" s="2" customFormat="1" ht="15" x14ac:dyDescent="0.25"/>
    <row r="4431" s="2" customFormat="1" ht="15" x14ac:dyDescent="0.25"/>
    <row r="4432" s="2" customFormat="1" ht="15" x14ac:dyDescent="0.25"/>
    <row r="4433" s="2" customFormat="1" ht="15" x14ac:dyDescent="0.25"/>
    <row r="4434" s="2" customFormat="1" ht="15" x14ac:dyDescent="0.25"/>
    <row r="4435" s="2" customFormat="1" ht="15" x14ac:dyDescent="0.25"/>
    <row r="4436" s="2" customFormat="1" ht="15" x14ac:dyDescent="0.25"/>
    <row r="4437" s="2" customFormat="1" ht="15" x14ac:dyDescent="0.25"/>
    <row r="4438" s="2" customFormat="1" ht="15" x14ac:dyDescent="0.25"/>
    <row r="4439" s="2" customFormat="1" ht="15" x14ac:dyDescent="0.25"/>
    <row r="4440" s="2" customFormat="1" ht="15" x14ac:dyDescent="0.25"/>
    <row r="4441" s="2" customFormat="1" ht="15" x14ac:dyDescent="0.25"/>
    <row r="4442" s="2" customFormat="1" ht="15" x14ac:dyDescent="0.25"/>
    <row r="4443" s="2" customFormat="1" ht="15" x14ac:dyDescent="0.25"/>
    <row r="4444" s="2" customFormat="1" ht="15" x14ac:dyDescent="0.25"/>
    <row r="4445" s="2" customFormat="1" ht="15" x14ac:dyDescent="0.25"/>
    <row r="4446" s="2" customFormat="1" ht="15" x14ac:dyDescent="0.25"/>
    <row r="4447" s="2" customFormat="1" ht="15" x14ac:dyDescent="0.25"/>
    <row r="4448" s="2" customFormat="1" ht="15" x14ac:dyDescent="0.25"/>
    <row r="4449" s="2" customFormat="1" ht="15" x14ac:dyDescent="0.25"/>
    <row r="4450" s="2" customFormat="1" ht="15" x14ac:dyDescent="0.25"/>
    <row r="4451" s="2" customFormat="1" ht="15" x14ac:dyDescent="0.25"/>
    <row r="4452" s="2" customFormat="1" ht="15" x14ac:dyDescent="0.25"/>
    <row r="4453" s="2" customFormat="1" ht="15" x14ac:dyDescent="0.25"/>
    <row r="4454" s="2" customFormat="1" ht="15" x14ac:dyDescent="0.25"/>
    <row r="4455" s="2" customFormat="1" ht="15" x14ac:dyDescent="0.25"/>
    <row r="4456" s="2" customFormat="1" ht="15" x14ac:dyDescent="0.25"/>
    <row r="4457" s="2" customFormat="1" ht="15" x14ac:dyDescent="0.25"/>
    <row r="4458" s="2" customFormat="1" ht="15" x14ac:dyDescent="0.25"/>
    <row r="4459" s="2" customFormat="1" ht="15" x14ac:dyDescent="0.25"/>
    <row r="4460" s="2" customFormat="1" ht="15" x14ac:dyDescent="0.25"/>
    <row r="4461" s="2" customFormat="1" ht="15" x14ac:dyDescent="0.25"/>
    <row r="4462" s="2" customFormat="1" ht="15" x14ac:dyDescent="0.25"/>
    <row r="4463" s="2" customFormat="1" ht="15" x14ac:dyDescent="0.25"/>
    <row r="4464" s="2" customFormat="1" ht="15" x14ac:dyDescent="0.25"/>
    <row r="4465" s="2" customFormat="1" ht="15" x14ac:dyDescent="0.25"/>
    <row r="4466" s="2" customFormat="1" ht="15" x14ac:dyDescent="0.25"/>
    <row r="4467" s="2" customFormat="1" ht="15" x14ac:dyDescent="0.25"/>
    <row r="4468" s="2" customFormat="1" ht="15" x14ac:dyDescent="0.25"/>
    <row r="4469" s="2" customFormat="1" ht="15" x14ac:dyDescent="0.25"/>
    <row r="4470" s="2" customFormat="1" ht="15" x14ac:dyDescent="0.25"/>
    <row r="4471" s="2" customFormat="1" ht="15" x14ac:dyDescent="0.25"/>
    <row r="4472" s="2" customFormat="1" ht="15" x14ac:dyDescent="0.25"/>
    <row r="4473" s="2" customFormat="1" ht="15" x14ac:dyDescent="0.25"/>
    <row r="4474" s="2" customFormat="1" ht="15" x14ac:dyDescent="0.25"/>
    <row r="4475" s="2" customFormat="1" ht="15" x14ac:dyDescent="0.25"/>
    <row r="4476" s="2" customFormat="1" ht="15" x14ac:dyDescent="0.25"/>
    <row r="4477" s="2" customFormat="1" ht="15" x14ac:dyDescent="0.25"/>
    <row r="4478" s="2" customFormat="1" ht="15" x14ac:dyDescent="0.25"/>
    <row r="4479" s="2" customFormat="1" ht="15" x14ac:dyDescent="0.25"/>
    <row r="4480" s="2" customFormat="1" ht="15" x14ac:dyDescent="0.25"/>
    <row r="4481" s="2" customFormat="1" ht="15" x14ac:dyDescent="0.25"/>
    <row r="4482" s="2" customFormat="1" ht="15" x14ac:dyDescent="0.25"/>
    <row r="4483" s="2" customFormat="1" ht="15" x14ac:dyDescent="0.25"/>
    <row r="4484" s="2" customFormat="1" ht="15" x14ac:dyDescent="0.25"/>
    <row r="4485" s="2" customFormat="1" ht="15" x14ac:dyDescent="0.25"/>
    <row r="4486" s="2" customFormat="1" ht="15" x14ac:dyDescent="0.25"/>
    <row r="4487" s="2" customFormat="1" ht="15" x14ac:dyDescent="0.25"/>
    <row r="4488" s="2" customFormat="1" ht="15" x14ac:dyDescent="0.25"/>
    <row r="4489" s="2" customFormat="1" ht="15" x14ac:dyDescent="0.25"/>
    <row r="4490" s="2" customFormat="1" ht="15" x14ac:dyDescent="0.25"/>
    <row r="4491" s="2" customFormat="1" ht="15" x14ac:dyDescent="0.25"/>
    <row r="4492" s="2" customFormat="1" ht="15" x14ac:dyDescent="0.25"/>
    <row r="4493" s="2" customFormat="1" ht="15" x14ac:dyDescent="0.25"/>
    <row r="4494" s="2" customFormat="1" ht="15" x14ac:dyDescent="0.25"/>
    <row r="4495" s="2" customFormat="1" ht="15" x14ac:dyDescent="0.25"/>
    <row r="4496" s="2" customFormat="1" ht="15" x14ac:dyDescent="0.25"/>
    <row r="4497" s="2" customFormat="1" ht="15" x14ac:dyDescent="0.25"/>
    <row r="4498" s="2" customFormat="1" ht="15" x14ac:dyDescent="0.25"/>
    <row r="4499" s="2" customFormat="1" ht="15" x14ac:dyDescent="0.25"/>
    <row r="4500" s="2" customFormat="1" ht="15" x14ac:dyDescent="0.25"/>
    <row r="4501" s="2" customFormat="1" ht="15" x14ac:dyDescent="0.25"/>
    <row r="4502" s="2" customFormat="1" ht="15" x14ac:dyDescent="0.25"/>
    <row r="4503" s="2" customFormat="1" ht="15" x14ac:dyDescent="0.25"/>
    <row r="4504" s="2" customFormat="1" ht="15" x14ac:dyDescent="0.25"/>
    <row r="4505" s="2" customFormat="1" ht="15" x14ac:dyDescent="0.25"/>
    <row r="4506" s="2" customFormat="1" ht="15" x14ac:dyDescent="0.25"/>
    <row r="4507" s="2" customFormat="1" ht="15" x14ac:dyDescent="0.25"/>
    <row r="4508" s="2" customFormat="1" ht="15" x14ac:dyDescent="0.25"/>
    <row r="4509" s="2" customFormat="1" ht="15" x14ac:dyDescent="0.25"/>
    <row r="4510" s="2" customFormat="1" ht="15" x14ac:dyDescent="0.25"/>
    <row r="4511" s="2" customFormat="1" ht="15" x14ac:dyDescent="0.25"/>
    <row r="4512" s="2" customFormat="1" ht="15" x14ac:dyDescent="0.25"/>
    <row r="4513" s="2" customFormat="1" ht="15" x14ac:dyDescent="0.25"/>
    <row r="4514" s="2" customFormat="1" ht="15" x14ac:dyDescent="0.25"/>
    <row r="4515" s="2" customFormat="1" ht="15" x14ac:dyDescent="0.25"/>
    <row r="4516" s="2" customFormat="1" ht="15" x14ac:dyDescent="0.25"/>
    <row r="4517" s="2" customFormat="1" ht="15" x14ac:dyDescent="0.25"/>
    <row r="4518" s="2" customFormat="1" ht="15" x14ac:dyDescent="0.25"/>
    <row r="4519" s="2" customFormat="1" ht="15" x14ac:dyDescent="0.25"/>
    <row r="4520" s="2" customFormat="1" ht="15" x14ac:dyDescent="0.25"/>
    <row r="4521" s="2" customFormat="1" ht="15" x14ac:dyDescent="0.25"/>
    <row r="4522" s="2" customFormat="1" ht="15" x14ac:dyDescent="0.25"/>
    <row r="4523" s="2" customFormat="1" ht="15" x14ac:dyDescent="0.25"/>
    <row r="4524" s="2" customFormat="1" ht="15" x14ac:dyDescent="0.25"/>
    <row r="4525" s="2" customFormat="1" ht="15" x14ac:dyDescent="0.25"/>
    <row r="4526" s="2" customFormat="1" ht="15" x14ac:dyDescent="0.25"/>
    <row r="4527" s="2" customFormat="1" ht="15" x14ac:dyDescent="0.25"/>
    <row r="4528" s="2" customFormat="1" ht="15" x14ac:dyDescent="0.25"/>
    <row r="4529" s="2" customFormat="1" ht="15" x14ac:dyDescent="0.25"/>
    <row r="4530" s="2" customFormat="1" ht="15" x14ac:dyDescent="0.25"/>
    <row r="4531" s="2" customFormat="1" ht="15" x14ac:dyDescent="0.25"/>
    <row r="4532" s="2" customFormat="1" ht="15" x14ac:dyDescent="0.25"/>
    <row r="4533" s="2" customFormat="1" ht="15" x14ac:dyDescent="0.25"/>
    <row r="4534" s="2" customFormat="1" ht="15" x14ac:dyDescent="0.25"/>
    <row r="4535" s="2" customFormat="1" ht="15" x14ac:dyDescent="0.25"/>
    <row r="4536" s="2" customFormat="1" ht="15" x14ac:dyDescent="0.25"/>
    <row r="4537" s="2" customFormat="1" ht="15" x14ac:dyDescent="0.25"/>
    <row r="4538" s="2" customFormat="1" ht="15" x14ac:dyDescent="0.25"/>
    <row r="4539" s="2" customFormat="1" ht="15" x14ac:dyDescent="0.25"/>
    <row r="4540" s="2" customFormat="1" ht="15" x14ac:dyDescent="0.25"/>
  </sheetData>
  <phoneticPr fontId="0" type="noConversion"/>
  <pageMargins left="0.75" right="0.75" top="1" bottom="1" header="0.5" footer="0.5"/>
  <pageSetup orientation="portrait" horizontalDpi="300" r:id="rId1"/>
  <headerFooter alignWithMargins="0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B1:E28"/>
  <sheetViews>
    <sheetView workbookViewId="0">
      <selection activeCell="D29" sqref="D29"/>
    </sheetView>
  </sheetViews>
  <sheetFormatPr defaultColWidth="9.109375" defaultRowHeight="13.2" x14ac:dyDescent="0.25"/>
  <cols>
    <col min="1" max="1" width="9.109375" style="218"/>
    <col min="2" max="2" width="3.109375" style="218" customWidth="1"/>
    <col min="3" max="3" width="20.6640625" style="218" customWidth="1"/>
    <col min="4" max="4" width="17" style="218" customWidth="1"/>
    <col min="5" max="5" width="3.109375" style="218" customWidth="1"/>
    <col min="6" max="16384" width="9.109375" style="218"/>
  </cols>
  <sheetData>
    <row r="1" spans="2:5" ht="17.399999999999999" x14ac:dyDescent="0.3">
      <c r="C1" s="219" t="s">
        <v>253</v>
      </c>
    </row>
    <row r="2" spans="2:5" ht="15" x14ac:dyDescent="0.25">
      <c r="C2" s="220" t="s">
        <v>124</v>
      </c>
    </row>
    <row r="4" spans="2:5" ht="15.6" x14ac:dyDescent="0.3">
      <c r="C4" s="221" t="s">
        <v>0</v>
      </c>
      <c r="D4" s="220"/>
      <c r="E4" s="220"/>
    </row>
    <row r="5" spans="2:5" ht="16.2" thickBot="1" x14ac:dyDescent="0.35">
      <c r="C5" s="222"/>
      <c r="D5" s="220"/>
      <c r="E5" s="220"/>
    </row>
    <row r="6" spans="2:5" ht="15.6" x14ac:dyDescent="0.3">
      <c r="B6" s="223"/>
      <c r="C6" s="224"/>
      <c r="D6" s="225"/>
      <c r="E6" s="226"/>
    </row>
    <row r="7" spans="2:5" ht="15" x14ac:dyDescent="0.25">
      <c r="B7" s="227"/>
      <c r="C7" s="228" t="s">
        <v>137</v>
      </c>
      <c r="D7" s="60">
        <v>7.0999999999999994E-2</v>
      </c>
      <c r="E7" s="230"/>
    </row>
    <row r="8" spans="2:5" ht="15" x14ac:dyDescent="0.25">
      <c r="B8" s="227"/>
      <c r="C8" s="228" t="s">
        <v>138</v>
      </c>
      <c r="D8" s="139">
        <v>1</v>
      </c>
      <c r="E8" s="230"/>
    </row>
    <row r="9" spans="2:5" ht="15.6" x14ac:dyDescent="0.3">
      <c r="B9" s="257" t="s">
        <v>160</v>
      </c>
      <c r="C9" s="228" t="s">
        <v>413</v>
      </c>
      <c r="D9" s="258">
        <v>100</v>
      </c>
      <c r="E9" s="230"/>
    </row>
    <row r="10" spans="2:5" ht="15.6" x14ac:dyDescent="0.3">
      <c r="B10" s="257"/>
      <c r="C10" s="228" t="s">
        <v>163</v>
      </c>
      <c r="D10" s="259">
        <f>ROUND(D9-(((D9*(1+D7)^4))-D9),2)</f>
        <v>68.430000000000007</v>
      </c>
      <c r="E10" s="230"/>
    </row>
    <row r="11" spans="2:5" ht="15" x14ac:dyDescent="0.25">
      <c r="B11" s="227"/>
      <c r="C11" s="228" t="s">
        <v>164</v>
      </c>
      <c r="D11" s="154">
        <v>25</v>
      </c>
      <c r="E11" s="230"/>
    </row>
    <row r="12" spans="2:5" ht="15.6" thickBot="1" x14ac:dyDescent="0.3">
      <c r="B12" s="232"/>
      <c r="C12" s="233"/>
      <c r="D12" s="233"/>
      <c r="E12" s="234"/>
    </row>
    <row r="13" spans="2:5" ht="15" x14ac:dyDescent="0.25">
      <c r="C13" s="220"/>
      <c r="D13" s="220"/>
      <c r="E13" s="220"/>
    </row>
    <row r="14" spans="2:5" ht="15.6" x14ac:dyDescent="0.3">
      <c r="C14" s="221" t="s">
        <v>1</v>
      </c>
      <c r="D14" s="220"/>
      <c r="E14" s="220"/>
    </row>
    <row r="15" spans="2:5" ht="16.2" thickBot="1" x14ac:dyDescent="0.35">
      <c r="C15" s="222"/>
      <c r="D15" s="220"/>
      <c r="E15" s="220"/>
    </row>
    <row r="16" spans="2:5" s="220" customFormat="1" ht="15" x14ac:dyDescent="0.25">
      <c r="B16" s="235"/>
      <c r="C16" s="236"/>
      <c r="D16" s="236"/>
      <c r="E16" s="237"/>
    </row>
    <row r="17" spans="2:5" s="220" customFormat="1" ht="15.6" x14ac:dyDescent="0.3">
      <c r="B17" s="238" t="s">
        <v>158</v>
      </c>
      <c r="C17" s="243" t="s">
        <v>174</v>
      </c>
      <c r="D17" s="53">
        <f>D7*52</f>
        <v>3.6919999999999997</v>
      </c>
      <c r="E17" s="241"/>
    </row>
    <row r="18" spans="2:5" s="220" customFormat="1" ht="15.6" x14ac:dyDescent="0.3">
      <c r="B18" s="238"/>
      <c r="C18" s="243" t="s">
        <v>168</v>
      </c>
      <c r="D18" s="53">
        <f>EFFECT(D17,D8*52)</f>
        <v>34.40401232431784</v>
      </c>
      <c r="E18" s="241"/>
    </row>
    <row r="19" spans="2:5" s="220" customFormat="1" ht="15.6" x14ac:dyDescent="0.3">
      <c r="B19" s="238"/>
      <c r="C19" s="243"/>
      <c r="D19" s="260"/>
      <c r="E19" s="241"/>
    </row>
    <row r="20" spans="2:5" s="220" customFormat="1" ht="15.6" x14ac:dyDescent="0.3">
      <c r="B20" s="238" t="s">
        <v>159</v>
      </c>
      <c r="C20" s="243" t="s">
        <v>414</v>
      </c>
      <c r="D20" s="261">
        <f>RATE(1,,-(D9-(D9*D7)),D9)</f>
        <v>7.6426264800861121E-2</v>
      </c>
      <c r="E20" s="241"/>
    </row>
    <row r="21" spans="2:5" s="220" customFormat="1" ht="15.6" x14ac:dyDescent="0.3">
      <c r="B21" s="238"/>
      <c r="C21" s="243" t="s">
        <v>174</v>
      </c>
      <c r="D21" s="53">
        <f>D20*52</f>
        <v>3.9741657696447783</v>
      </c>
      <c r="E21" s="241"/>
    </row>
    <row r="22" spans="2:5" s="220" customFormat="1" ht="15.6" x14ac:dyDescent="0.3">
      <c r="B22" s="238"/>
      <c r="C22" s="243" t="s">
        <v>168</v>
      </c>
      <c r="D22" s="53">
        <f>EFFECT(D21,52)</f>
        <v>45.045041881546958</v>
      </c>
      <c r="E22" s="241"/>
    </row>
    <row r="23" spans="2:5" s="220" customFormat="1" ht="15.6" x14ac:dyDescent="0.3">
      <c r="B23" s="238"/>
      <c r="C23" s="243"/>
      <c r="D23" s="47"/>
      <c r="E23" s="241"/>
    </row>
    <row r="24" spans="2:5" s="220" customFormat="1" ht="15.6" x14ac:dyDescent="0.3">
      <c r="B24" s="238" t="s">
        <v>160</v>
      </c>
      <c r="C24" s="243" t="s">
        <v>414</v>
      </c>
      <c r="D24" s="262">
        <f>RATE(4,-D11,D10)</f>
        <v>0.17111868136954084</v>
      </c>
      <c r="E24" s="241"/>
    </row>
    <row r="25" spans="2:5" s="220" customFormat="1" ht="15.6" x14ac:dyDescent="0.3">
      <c r="B25" s="238"/>
      <c r="C25" s="243" t="s">
        <v>174</v>
      </c>
      <c r="D25" s="263">
        <f>D24*52</f>
        <v>8.8981714312161238</v>
      </c>
      <c r="E25" s="241"/>
    </row>
    <row r="26" spans="2:5" s="220" customFormat="1" ht="15.6" x14ac:dyDescent="0.3">
      <c r="B26" s="238"/>
      <c r="C26" s="243" t="s">
        <v>168</v>
      </c>
      <c r="D26" s="53">
        <f>EFFECT(D25,52)</f>
        <v>3690.8772814612553</v>
      </c>
      <c r="E26" s="241"/>
    </row>
    <row r="27" spans="2:5" s="220" customFormat="1" ht="15.6" thickBot="1" x14ac:dyDescent="0.3">
      <c r="B27" s="246"/>
      <c r="C27" s="247"/>
      <c r="D27" s="247"/>
      <c r="E27" s="248"/>
    </row>
    <row r="28" spans="2:5" s="220" customFormat="1" ht="15" x14ac:dyDescent="0.25"/>
  </sheetData>
  <phoneticPr fontId="29" type="noConversion"/>
  <pageMargins left="0.75" right="0.75" top="1" bottom="1" header="0.5" footer="0.5"/>
  <pageSetup orientation="portrait" horizontalDpi="300" r:id="rId1"/>
  <headerFooter alignWithMargins="0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 codeName="Sheet11111211212211112"/>
  <dimension ref="B1:E11"/>
  <sheetViews>
    <sheetView workbookViewId="0">
      <selection activeCell="C2" sqref="C2"/>
    </sheetView>
  </sheetViews>
  <sheetFormatPr defaultRowHeight="13.2" x14ac:dyDescent="0.25"/>
  <cols>
    <col min="2" max="2" width="3.109375" customWidth="1"/>
    <col min="3" max="3" width="24" bestFit="1" customWidth="1"/>
    <col min="4" max="4" width="15.44140625" customWidth="1"/>
    <col min="5" max="5" width="3.109375" customWidth="1"/>
  </cols>
  <sheetData>
    <row r="1" spans="2:5" ht="17.399999999999999" x14ac:dyDescent="0.3">
      <c r="C1" s="1" t="s">
        <v>253</v>
      </c>
    </row>
    <row r="2" spans="2:5" ht="15" x14ac:dyDescent="0.25">
      <c r="C2" s="2" t="s">
        <v>434</v>
      </c>
    </row>
    <row r="3" spans="2:5" ht="15" x14ac:dyDescent="0.25">
      <c r="C3" s="2"/>
      <c r="D3" s="2"/>
      <c r="E3" s="2"/>
    </row>
    <row r="4" spans="2:5" ht="15.6" x14ac:dyDescent="0.3">
      <c r="C4" s="37" t="s">
        <v>1</v>
      </c>
      <c r="D4" s="2"/>
      <c r="E4" s="2"/>
    </row>
    <row r="5" spans="2:5" ht="16.2" thickBot="1" x14ac:dyDescent="0.35">
      <c r="C5" s="4"/>
      <c r="D5" s="2"/>
      <c r="E5" s="2"/>
    </row>
    <row r="6" spans="2:5" s="2" customFormat="1" ht="15" x14ac:dyDescent="0.25">
      <c r="B6" s="32"/>
      <c r="C6" s="33"/>
      <c r="D6" s="33"/>
      <c r="E6" s="88"/>
    </row>
    <row r="7" spans="2:5" s="2" customFormat="1" ht="15.6" x14ac:dyDescent="0.3">
      <c r="B7" s="151"/>
      <c r="C7" s="15" t="s">
        <v>352</v>
      </c>
      <c r="D7" s="198">
        <f>(0.72/D9)-((LN(2))/(LN(1+D9)))</f>
        <v>-9.5333399485753034E-7</v>
      </c>
      <c r="E7" s="92"/>
    </row>
    <row r="8" spans="2:5" s="2" customFormat="1" ht="15" x14ac:dyDescent="0.25">
      <c r="B8" s="35"/>
      <c r="C8" s="15"/>
      <c r="D8" s="15"/>
      <c r="E8" s="92"/>
    </row>
    <row r="9" spans="2:5" s="2" customFormat="1" ht="15.6" x14ac:dyDescent="0.3">
      <c r="B9" s="151"/>
      <c r="C9" s="15" t="s">
        <v>20</v>
      </c>
      <c r="D9" s="199">
        <v>7.8468935847081561E-2</v>
      </c>
      <c r="E9" s="92"/>
    </row>
    <row r="10" spans="2:5" s="2" customFormat="1" ht="15.6" thickBot="1" x14ac:dyDescent="0.3">
      <c r="B10" s="36"/>
      <c r="C10" s="17"/>
      <c r="D10" s="17"/>
      <c r="E10" s="98"/>
    </row>
    <row r="11" spans="2:5" s="2" customFormat="1" ht="15" x14ac:dyDescent="0.25"/>
  </sheetData>
  <phoneticPr fontId="0" type="noConversion"/>
  <pageMargins left="0.75" right="0.75" top="1" bottom="1" header="0.5" footer="0.5"/>
  <pageSetup orientation="portrait" horizontalDpi="300" r:id="rId1"/>
  <headerFooter alignWithMargins="0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E17"/>
  <sheetViews>
    <sheetView showGridLines="0" workbookViewId="0"/>
  </sheetViews>
  <sheetFormatPr defaultRowHeight="13.2" x14ac:dyDescent="0.25"/>
  <cols>
    <col min="1" max="1" width="2.33203125" customWidth="1"/>
    <col min="2" max="2" width="6.33203125" bestFit="1" customWidth="1"/>
    <col min="3" max="3" width="10.88671875" bestFit="1" customWidth="1"/>
    <col min="4" max="4" width="14.33203125" bestFit="1" customWidth="1"/>
    <col min="5" max="5" width="11.44140625" bestFit="1" customWidth="1"/>
  </cols>
  <sheetData>
    <row r="1" spans="1:5" x14ac:dyDescent="0.25">
      <c r="A1" s="200" t="s">
        <v>353</v>
      </c>
    </row>
    <row r="2" spans="1:5" x14ac:dyDescent="0.25">
      <c r="A2" s="200" t="s">
        <v>441</v>
      </c>
    </row>
    <row r="3" spans="1:5" x14ac:dyDescent="0.25">
      <c r="A3" s="200" t="s">
        <v>446</v>
      </c>
    </row>
    <row r="6" spans="1:5" ht="13.8" thickBot="1" x14ac:dyDescent="0.3">
      <c r="A6" t="s">
        <v>354</v>
      </c>
    </row>
    <row r="7" spans="1:5" ht="13.8" thickBot="1" x14ac:dyDescent="0.3">
      <c r="B7" s="202" t="s">
        <v>355</v>
      </c>
      <c r="C7" s="202" t="s">
        <v>356</v>
      </c>
      <c r="D7" s="202" t="s">
        <v>357</v>
      </c>
      <c r="E7" s="202" t="s">
        <v>358</v>
      </c>
    </row>
    <row r="8" spans="1:5" ht="13.8" thickBot="1" x14ac:dyDescent="0.3">
      <c r="B8" s="201" t="s">
        <v>362</v>
      </c>
      <c r="C8" s="201" t="s">
        <v>352</v>
      </c>
      <c r="D8" s="203">
        <v>-7.2540897341713872E-2</v>
      </c>
      <c r="E8" s="203">
        <v>-9.5333399485753034E-7</v>
      </c>
    </row>
    <row r="11" spans="1:5" ht="13.8" thickBot="1" x14ac:dyDescent="0.3">
      <c r="A11" t="s">
        <v>359</v>
      </c>
    </row>
    <row r="12" spans="1:5" ht="13.8" thickBot="1" x14ac:dyDescent="0.3">
      <c r="B12" s="202" t="s">
        <v>355</v>
      </c>
      <c r="C12" s="202" t="s">
        <v>356</v>
      </c>
      <c r="D12" s="202" t="s">
        <v>357</v>
      </c>
      <c r="E12" s="202" t="s">
        <v>358</v>
      </c>
    </row>
    <row r="13" spans="1:5" ht="13.8" thickBot="1" x14ac:dyDescent="0.3">
      <c r="B13" s="201" t="s">
        <v>363</v>
      </c>
      <c r="C13" s="201" t="s">
        <v>20</v>
      </c>
      <c r="D13" s="204">
        <v>0.1</v>
      </c>
      <c r="E13" s="204">
        <v>7.8468935847081561E-2</v>
      </c>
    </row>
    <row r="16" spans="1:5" x14ac:dyDescent="0.25">
      <c r="A16" t="s">
        <v>360</v>
      </c>
    </row>
    <row r="17" spans="2:2" x14ac:dyDescent="0.25">
      <c r="B17" t="s">
        <v>361</v>
      </c>
    </row>
  </sheetData>
  <phoneticPr fontId="23" type="noConversion"/>
  <pageMargins left="0.75" right="0.75" top="1" bottom="1" header="0.5" footer="0.5"/>
  <headerFooter alignWithMargins="0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B1:I17"/>
  <sheetViews>
    <sheetView workbookViewId="0">
      <selection activeCell="C2" sqref="C2"/>
    </sheetView>
  </sheetViews>
  <sheetFormatPr defaultColWidth="9.109375" defaultRowHeight="15" x14ac:dyDescent="0.25"/>
  <cols>
    <col min="1" max="1" width="9.109375" style="218"/>
    <col min="2" max="2" width="3.109375" style="218" customWidth="1"/>
    <col min="3" max="3" width="33.5546875" style="218" bestFit="1" customWidth="1"/>
    <col min="4" max="4" width="15.5546875" style="218" customWidth="1"/>
    <col min="5" max="5" width="3.109375" style="218" customWidth="1"/>
    <col min="6" max="7" width="9.109375" style="218"/>
    <col min="8" max="9" width="9.109375" style="220"/>
    <col min="10" max="10" width="9.109375" style="218"/>
    <col min="11" max="11" width="3.109375" style="218" customWidth="1"/>
    <col min="12" max="16384" width="9.109375" style="218"/>
  </cols>
  <sheetData>
    <row r="1" spans="2:9" ht="17.399999999999999" x14ac:dyDescent="0.3">
      <c r="C1" s="219" t="s">
        <v>417</v>
      </c>
    </row>
    <row r="2" spans="2:9" x14ac:dyDescent="0.25">
      <c r="C2" s="220" t="s">
        <v>2</v>
      </c>
    </row>
    <row r="4" spans="2:9" ht="15.6" x14ac:dyDescent="0.3">
      <c r="C4" s="221" t="s">
        <v>0</v>
      </c>
      <c r="D4" s="220"/>
      <c r="E4" s="220"/>
      <c r="F4" s="220"/>
      <c r="G4" s="220"/>
    </row>
    <row r="5" spans="2:9" ht="16.2" thickBot="1" x14ac:dyDescent="0.35">
      <c r="C5" s="222"/>
      <c r="D5" s="264"/>
      <c r="E5" s="220"/>
      <c r="F5" s="220"/>
      <c r="G5" s="220"/>
    </row>
    <row r="6" spans="2:9" ht="15.6" x14ac:dyDescent="0.3">
      <c r="B6" s="223"/>
      <c r="C6" s="224"/>
      <c r="D6" s="225"/>
      <c r="E6" s="226"/>
      <c r="F6" s="282"/>
      <c r="G6" s="282"/>
      <c r="H6" s="273"/>
    </row>
    <row r="7" spans="2:9" x14ac:dyDescent="0.25">
      <c r="B7" s="227"/>
      <c r="C7" s="228" t="s">
        <v>296</v>
      </c>
      <c r="D7" s="285">
        <v>80000</v>
      </c>
      <c r="E7" s="284"/>
      <c r="F7" s="283"/>
      <c r="G7" s="283"/>
      <c r="H7" s="273"/>
    </row>
    <row r="8" spans="2:9" x14ac:dyDescent="0.25">
      <c r="B8" s="227"/>
      <c r="C8" s="228" t="s">
        <v>301</v>
      </c>
      <c r="D8" s="285">
        <v>90000</v>
      </c>
      <c r="E8" s="284"/>
      <c r="F8" s="283"/>
      <c r="G8" s="283"/>
      <c r="H8" s="273"/>
    </row>
    <row r="9" spans="2:9" x14ac:dyDescent="0.25">
      <c r="B9" s="227"/>
      <c r="C9" s="228" t="s">
        <v>416</v>
      </c>
      <c r="D9" s="166">
        <v>100000</v>
      </c>
      <c r="E9" s="284"/>
      <c r="F9" s="283"/>
      <c r="G9" s="283"/>
      <c r="H9" s="273"/>
    </row>
    <row r="10" spans="2:9" x14ac:dyDescent="0.25">
      <c r="B10" s="227"/>
      <c r="C10" s="228" t="s">
        <v>20</v>
      </c>
      <c r="D10" s="138">
        <v>0.1</v>
      </c>
      <c r="E10" s="284"/>
      <c r="F10" s="283"/>
      <c r="G10" s="283"/>
      <c r="H10" s="273"/>
    </row>
    <row r="11" spans="2:9" ht="15.6" thickBot="1" x14ac:dyDescent="0.3">
      <c r="B11" s="232"/>
      <c r="C11" s="233"/>
      <c r="D11" s="233"/>
      <c r="E11" s="234"/>
      <c r="F11" s="282"/>
      <c r="G11" s="282"/>
      <c r="H11" s="273"/>
    </row>
    <row r="12" spans="2:9" x14ac:dyDescent="0.25">
      <c r="C12" s="220"/>
      <c r="D12" s="220"/>
      <c r="E12" s="220"/>
      <c r="F12" s="220"/>
      <c r="G12" s="220"/>
    </row>
    <row r="13" spans="2:9" ht="15.6" x14ac:dyDescent="0.3">
      <c r="C13" s="221" t="s">
        <v>1</v>
      </c>
      <c r="D13" s="220"/>
      <c r="E13" s="220"/>
      <c r="F13" s="220"/>
      <c r="G13" s="220"/>
    </row>
    <row r="14" spans="2:9" ht="16.2" thickBot="1" x14ac:dyDescent="0.35">
      <c r="C14" s="222"/>
      <c r="D14" s="220"/>
      <c r="E14" s="220"/>
      <c r="F14" s="220"/>
      <c r="G14" s="220"/>
    </row>
    <row r="15" spans="2:9" x14ac:dyDescent="0.25">
      <c r="B15" s="281"/>
      <c r="C15" s="236"/>
      <c r="D15" s="280"/>
      <c r="E15" s="279"/>
      <c r="H15" s="218"/>
      <c r="I15" s="218"/>
    </row>
    <row r="16" spans="2:9" ht="15.6" x14ac:dyDescent="0.3">
      <c r="B16" s="278"/>
      <c r="C16" s="239" t="s">
        <v>415</v>
      </c>
      <c r="D16" s="110">
        <f>D8-((D9-D7)*(1+D10))</f>
        <v>68000</v>
      </c>
      <c r="E16" s="277"/>
      <c r="H16" s="218"/>
      <c r="I16" s="218"/>
    </row>
    <row r="17" spans="2:9" ht="15.6" thickBot="1" x14ac:dyDescent="0.3">
      <c r="B17" s="276"/>
      <c r="C17" s="247"/>
      <c r="D17" s="275"/>
      <c r="E17" s="274"/>
      <c r="H17" s="218"/>
      <c r="I17" s="218"/>
    </row>
  </sheetData>
  <phoneticPr fontId="29" type="noConversion"/>
  <pageMargins left="0.75" right="0.75" top="1" bottom="1" header="0.5" footer="0.5"/>
  <pageSetup orientation="portrait" horizontalDpi="300" r:id="rId1"/>
  <headerFooter alignWithMargins="0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B1:I17"/>
  <sheetViews>
    <sheetView workbookViewId="0">
      <selection activeCell="C2" sqref="C2"/>
    </sheetView>
  </sheetViews>
  <sheetFormatPr defaultColWidth="9.109375" defaultRowHeight="15" x14ac:dyDescent="0.25"/>
  <cols>
    <col min="1" max="1" width="9.109375" style="218"/>
    <col min="2" max="2" width="3.109375" style="218" customWidth="1"/>
    <col min="3" max="3" width="33.5546875" style="218" bestFit="1" customWidth="1"/>
    <col min="4" max="4" width="15.5546875" style="218" customWidth="1"/>
    <col min="5" max="5" width="3.109375" style="218" customWidth="1"/>
    <col min="6" max="7" width="9.109375" style="218"/>
    <col min="8" max="9" width="9.109375" style="220"/>
    <col min="10" max="10" width="9.109375" style="218"/>
    <col min="11" max="11" width="3.109375" style="218" customWidth="1"/>
    <col min="12" max="16384" width="9.109375" style="218"/>
  </cols>
  <sheetData>
    <row r="1" spans="2:9" ht="17.399999999999999" x14ac:dyDescent="0.3">
      <c r="C1" s="219" t="s">
        <v>417</v>
      </c>
    </row>
    <row r="2" spans="2:9" x14ac:dyDescent="0.25">
      <c r="C2" s="220" t="s">
        <v>6</v>
      </c>
    </row>
    <row r="4" spans="2:9" ht="15.6" x14ac:dyDescent="0.3">
      <c r="C4" s="221" t="s">
        <v>0</v>
      </c>
      <c r="D4" s="220"/>
      <c r="E4" s="220"/>
      <c r="F4" s="220"/>
      <c r="G4" s="220"/>
    </row>
    <row r="5" spans="2:9" ht="16.2" thickBot="1" x14ac:dyDescent="0.35">
      <c r="C5" s="222"/>
      <c r="D5" s="264"/>
      <c r="E5" s="220"/>
      <c r="F5" s="220"/>
      <c r="G5" s="220"/>
    </row>
    <row r="6" spans="2:9" ht="15.6" x14ac:dyDescent="0.3">
      <c r="B6" s="223"/>
      <c r="C6" s="224"/>
      <c r="D6" s="225"/>
      <c r="E6" s="226"/>
      <c r="F6" s="282"/>
      <c r="G6" s="282"/>
      <c r="H6" s="273"/>
    </row>
    <row r="7" spans="2:9" x14ac:dyDescent="0.25">
      <c r="B7" s="227"/>
      <c r="C7" s="228" t="s">
        <v>296</v>
      </c>
      <c r="D7" s="285">
        <v>50000</v>
      </c>
      <c r="E7" s="284"/>
      <c r="F7" s="283"/>
      <c r="G7" s="283"/>
      <c r="H7" s="273"/>
    </row>
    <row r="8" spans="2:9" x14ac:dyDescent="0.25">
      <c r="B8" s="227"/>
      <c r="C8" s="228" t="s">
        <v>301</v>
      </c>
      <c r="D8" s="285">
        <v>60000</v>
      </c>
      <c r="E8" s="284"/>
      <c r="F8" s="283"/>
      <c r="G8" s="283"/>
      <c r="H8" s="273"/>
    </row>
    <row r="9" spans="2:9" x14ac:dyDescent="0.25">
      <c r="B9" s="227"/>
      <c r="C9" s="228" t="s">
        <v>416</v>
      </c>
      <c r="D9" s="166">
        <v>35000</v>
      </c>
      <c r="E9" s="284"/>
      <c r="F9" s="283"/>
      <c r="G9" s="283"/>
      <c r="H9" s="273"/>
    </row>
    <row r="10" spans="2:9" x14ac:dyDescent="0.25">
      <c r="B10" s="227"/>
      <c r="C10" s="228" t="s">
        <v>20</v>
      </c>
      <c r="D10" s="138">
        <v>0.12</v>
      </c>
      <c r="E10" s="284"/>
      <c r="F10" s="283"/>
      <c r="G10" s="283"/>
      <c r="H10" s="273"/>
    </row>
    <row r="11" spans="2:9" ht="15.6" thickBot="1" x14ac:dyDescent="0.3">
      <c r="B11" s="232"/>
      <c r="C11" s="233"/>
      <c r="D11" s="233"/>
      <c r="E11" s="234"/>
      <c r="F11" s="282"/>
      <c r="G11" s="282"/>
      <c r="H11" s="273"/>
    </row>
    <row r="12" spans="2:9" x14ac:dyDescent="0.25">
      <c r="C12" s="220"/>
      <c r="D12" s="220"/>
      <c r="E12" s="220"/>
      <c r="F12" s="220"/>
      <c r="G12" s="220"/>
    </row>
    <row r="13" spans="2:9" ht="15.6" x14ac:dyDescent="0.3">
      <c r="C13" s="221" t="s">
        <v>1</v>
      </c>
      <c r="D13" s="220"/>
      <c r="E13" s="220"/>
      <c r="F13" s="220"/>
      <c r="G13" s="220"/>
    </row>
    <row r="14" spans="2:9" ht="16.2" thickBot="1" x14ac:dyDescent="0.35">
      <c r="C14" s="222"/>
      <c r="D14" s="220"/>
      <c r="E14" s="220"/>
      <c r="F14" s="220"/>
      <c r="G14" s="220"/>
    </row>
    <row r="15" spans="2:9" x14ac:dyDescent="0.25">
      <c r="B15" s="281"/>
      <c r="C15" s="236"/>
      <c r="D15" s="280"/>
      <c r="E15" s="279"/>
      <c r="H15" s="218"/>
      <c r="I15" s="218"/>
    </row>
    <row r="16" spans="2:9" ht="15.6" x14ac:dyDescent="0.3">
      <c r="B16" s="278"/>
      <c r="C16" s="239" t="s">
        <v>415</v>
      </c>
      <c r="D16" s="110">
        <f>D8-((D9-D7)*(1+D10))</f>
        <v>76800</v>
      </c>
      <c r="E16" s="277"/>
      <c r="H16" s="218"/>
      <c r="I16" s="218"/>
    </row>
    <row r="17" spans="2:9" ht="15.6" thickBot="1" x14ac:dyDescent="0.3">
      <c r="B17" s="276"/>
      <c r="C17" s="247"/>
      <c r="D17" s="275"/>
      <c r="E17" s="274"/>
      <c r="H17" s="218"/>
      <c r="I17" s="218"/>
    </row>
  </sheetData>
  <phoneticPr fontId="29" type="noConversion"/>
  <pageMargins left="0.75" right="0.75" top="1" bottom="1" header="0.5" footer="0.5"/>
  <pageSetup orientation="portrait" horizontalDpi="300" r:id="rId1"/>
  <headerFooter alignWithMargins="0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B1:J12"/>
  <sheetViews>
    <sheetView workbookViewId="0">
      <selection activeCell="C2" sqref="C2"/>
    </sheetView>
  </sheetViews>
  <sheetFormatPr defaultColWidth="9.109375" defaultRowHeight="15" x14ac:dyDescent="0.25"/>
  <cols>
    <col min="1" max="1" width="9.109375" style="218"/>
    <col min="2" max="2" width="3.109375" style="218" customWidth="1"/>
    <col min="3" max="5" width="18.109375" style="218" customWidth="1"/>
    <col min="6" max="6" width="15.6640625" style="218" customWidth="1"/>
    <col min="7" max="7" width="3.6640625" style="220" customWidth="1"/>
    <col min="8" max="8" width="3.109375" style="218" customWidth="1"/>
    <col min="9" max="9" width="3.109375" style="220" customWidth="1"/>
    <col min="10" max="10" width="9.109375" style="220"/>
    <col min="11" max="11" width="3.109375" style="218" customWidth="1"/>
    <col min="12" max="16384" width="9.109375" style="218"/>
  </cols>
  <sheetData>
    <row r="1" spans="2:10" ht="17.399999999999999" x14ac:dyDescent="0.3">
      <c r="C1" s="219" t="s">
        <v>417</v>
      </c>
      <c r="D1" s="219"/>
      <c r="E1" s="219"/>
    </row>
    <row r="2" spans="2:10" x14ac:dyDescent="0.25">
      <c r="C2" s="220" t="s">
        <v>11</v>
      </c>
      <c r="D2" s="220"/>
      <c r="E2" s="220"/>
    </row>
    <row r="4" spans="2:10" ht="15.6" x14ac:dyDescent="0.3">
      <c r="C4" s="221" t="s">
        <v>1</v>
      </c>
      <c r="D4" s="221"/>
      <c r="E4" s="221"/>
      <c r="F4" s="220"/>
      <c r="H4" s="220"/>
    </row>
    <row r="5" spans="2:10" ht="16.2" thickBot="1" x14ac:dyDescent="0.35">
      <c r="C5" s="222"/>
      <c r="D5" s="222"/>
      <c r="E5" s="222"/>
      <c r="F5" s="220"/>
      <c r="H5" s="220"/>
    </row>
    <row r="6" spans="2:10" x14ac:dyDescent="0.25">
      <c r="B6" s="281"/>
      <c r="C6" s="236"/>
      <c r="D6" s="236"/>
      <c r="E6" s="236"/>
      <c r="F6" s="280"/>
      <c r="G6" s="294"/>
      <c r="I6" s="218"/>
      <c r="J6" s="218"/>
    </row>
    <row r="7" spans="2:10" x14ac:dyDescent="0.25">
      <c r="B7" s="278"/>
      <c r="C7" s="293" t="s">
        <v>422</v>
      </c>
      <c r="D7" s="239"/>
      <c r="E7" s="239"/>
      <c r="F7" s="292"/>
      <c r="G7" s="277"/>
      <c r="I7" s="218"/>
      <c r="J7" s="218"/>
    </row>
    <row r="8" spans="2:10" x14ac:dyDescent="0.25">
      <c r="B8" s="278"/>
      <c r="C8" s="291" t="s">
        <v>421</v>
      </c>
      <c r="D8" s="239"/>
      <c r="E8" s="239"/>
      <c r="F8" s="290"/>
      <c r="G8" s="289"/>
      <c r="I8" s="218"/>
      <c r="J8" s="218"/>
    </row>
    <row r="9" spans="2:10" x14ac:dyDescent="0.25">
      <c r="B9" s="278"/>
      <c r="C9" s="291" t="s">
        <v>420</v>
      </c>
      <c r="D9" s="239"/>
      <c r="E9" s="239"/>
      <c r="F9" s="290"/>
      <c r="G9" s="289"/>
      <c r="I9" s="218"/>
      <c r="J9" s="218"/>
    </row>
    <row r="10" spans="2:10" x14ac:dyDescent="0.25">
      <c r="B10" s="278"/>
      <c r="C10" s="291" t="s">
        <v>419</v>
      </c>
      <c r="D10" s="239"/>
      <c r="E10" s="239"/>
      <c r="F10" s="290"/>
      <c r="G10" s="289"/>
      <c r="I10" s="218"/>
      <c r="J10" s="218"/>
    </row>
    <row r="11" spans="2:10" x14ac:dyDescent="0.25">
      <c r="B11" s="278"/>
      <c r="C11" s="239" t="s">
        <v>418</v>
      </c>
      <c r="D11" s="239"/>
      <c r="E11" s="239"/>
      <c r="F11" s="163"/>
      <c r="G11" s="288"/>
      <c r="I11" s="218"/>
      <c r="J11" s="218"/>
    </row>
    <row r="12" spans="2:10" ht="15.6" thickBot="1" x14ac:dyDescent="0.3">
      <c r="B12" s="276"/>
      <c r="C12" s="247"/>
      <c r="D12" s="247"/>
      <c r="E12" s="247"/>
      <c r="F12" s="287"/>
      <c r="G12" s="286"/>
      <c r="I12" s="218"/>
      <c r="J12" s="218"/>
    </row>
  </sheetData>
  <phoneticPr fontId="29" type="noConversion"/>
  <pageMargins left="0.75" right="0.75" top="1" bottom="1" header="0.5" footer="0.5"/>
  <pageSetup orientation="portrait" horizontalDpi="300" r:id="rId1"/>
  <headerFooter alignWithMargins="0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B1:I22"/>
  <sheetViews>
    <sheetView workbookViewId="0">
      <selection activeCell="C2" sqref="C2"/>
    </sheetView>
  </sheetViews>
  <sheetFormatPr defaultColWidth="9.109375" defaultRowHeight="15" x14ac:dyDescent="0.25"/>
  <cols>
    <col min="1" max="1" width="9.109375" style="218"/>
    <col min="2" max="2" width="3.109375" style="218" customWidth="1"/>
    <col min="3" max="3" width="36" style="218" bestFit="1" customWidth="1"/>
    <col min="4" max="4" width="15.5546875" style="218" customWidth="1"/>
    <col min="5" max="5" width="3.109375" style="218" customWidth="1"/>
    <col min="6" max="7" width="9.109375" style="218"/>
    <col min="8" max="9" width="9.109375" style="220"/>
    <col min="10" max="10" width="9.109375" style="218"/>
    <col min="11" max="11" width="3.109375" style="218" customWidth="1"/>
    <col min="12" max="16384" width="9.109375" style="218"/>
  </cols>
  <sheetData>
    <row r="1" spans="2:9" ht="17.399999999999999" x14ac:dyDescent="0.3">
      <c r="C1" s="219" t="s">
        <v>417</v>
      </c>
    </row>
    <row r="2" spans="2:9" x14ac:dyDescent="0.25">
      <c r="C2" s="220" t="s">
        <v>12</v>
      </c>
    </row>
    <row r="4" spans="2:9" ht="15.6" x14ac:dyDescent="0.3">
      <c r="C4" s="221" t="s">
        <v>0</v>
      </c>
      <c r="D4" s="220"/>
      <c r="E4" s="220"/>
      <c r="F4" s="220"/>
      <c r="G4" s="220"/>
    </row>
    <row r="5" spans="2:9" ht="16.2" thickBot="1" x14ac:dyDescent="0.35">
      <c r="C5" s="222"/>
      <c r="D5" s="264"/>
      <c r="E5" s="220"/>
      <c r="F5" s="220"/>
      <c r="G5" s="220"/>
    </row>
    <row r="6" spans="2:9" ht="15.6" x14ac:dyDescent="0.3">
      <c r="B6" s="223"/>
      <c r="C6" s="224"/>
      <c r="D6" s="225"/>
      <c r="E6" s="226"/>
      <c r="F6" s="282"/>
      <c r="G6" s="282"/>
      <c r="H6" s="273"/>
    </row>
    <row r="7" spans="2:9" x14ac:dyDescent="0.25">
      <c r="B7" s="227"/>
      <c r="C7" s="228" t="s">
        <v>429</v>
      </c>
      <c r="D7" s="285">
        <v>40</v>
      </c>
      <c r="E7" s="284"/>
      <c r="F7" s="283"/>
      <c r="G7" s="283"/>
      <c r="H7" s="273"/>
    </row>
    <row r="8" spans="2:9" x14ac:dyDescent="0.25">
      <c r="B8" s="227"/>
      <c r="C8" s="228" t="s">
        <v>428</v>
      </c>
      <c r="D8" s="166">
        <v>50</v>
      </c>
      <c r="E8" s="284"/>
      <c r="F8" s="283"/>
      <c r="G8" s="283"/>
      <c r="H8" s="273"/>
    </row>
    <row r="9" spans="2:9" x14ac:dyDescent="0.25">
      <c r="B9" s="227"/>
      <c r="C9" s="228" t="s">
        <v>427</v>
      </c>
      <c r="D9" s="166">
        <v>86</v>
      </c>
      <c r="E9" s="284"/>
      <c r="F9" s="283"/>
      <c r="G9" s="283"/>
      <c r="H9" s="273"/>
    </row>
    <row r="10" spans="2:9" x14ac:dyDescent="0.25">
      <c r="B10" s="227"/>
      <c r="C10" s="228"/>
      <c r="D10" s="166"/>
      <c r="E10" s="284"/>
      <c r="F10" s="283"/>
      <c r="G10" s="283"/>
      <c r="H10" s="273"/>
    </row>
    <row r="11" spans="2:9" x14ac:dyDescent="0.25">
      <c r="B11" s="227"/>
      <c r="C11" s="228" t="s">
        <v>426</v>
      </c>
      <c r="D11" s="166">
        <v>98</v>
      </c>
      <c r="E11" s="284"/>
      <c r="F11" s="283"/>
      <c r="G11" s="283"/>
      <c r="H11" s="273"/>
    </row>
    <row r="12" spans="2:9" ht="15.6" thickBot="1" x14ac:dyDescent="0.3">
      <c r="B12" s="232"/>
      <c r="C12" s="233"/>
      <c r="D12" s="233"/>
      <c r="E12" s="234"/>
      <c r="F12" s="282"/>
      <c r="G12" s="282"/>
      <c r="H12" s="273"/>
    </row>
    <row r="13" spans="2:9" x14ac:dyDescent="0.25">
      <c r="C13" s="220"/>
      <c r="D13" s="220"/>
      <c r="E13" s="220"/>
      <c r="F13" s="220"/>
      <c r="G13" s="220"/>
    </row>
    <row r="14" spans="2:9" ht="15.6" x14ac:dyDescent="0.3">
      <c r="C14" s="221" t="s">
        <v>1</v>
      </c>
      <c r="D14" s="220"/>
      <c r="E14" s="220"/>
      <c r="F14" s="220"/>
      <c r="G14" s="220"/>
    </row>
    <row r="15" spans="2:9" ht="16.2" thickBot="1" x14ac:dyDescent="0.35">
      <c r="C15" s="222"/>
      <c r="D15" s="220"/>
      <c r="E15" s="220"/>
      <c r="F15" s="220"/>
      <c r="G15" s="220"/>
    </row>
    <row r="16" spans="2:9" x14ac:dyDescent="0.25">
      <c r="B16" s="281"/>
      <c r="C16" s="236"/>
      <c r="D16" s="280"/>
      <c r="E16" s="279"/>
      <c r="H16" s="218"/>
      <c r="I16" s="218"/>
    </row>
    <row r="17" spans="2:9" ht="15.6" x14ac:dyDescent="0.3">
      <c r="B17" s="238" t="s">
        <v>158</v>
      </c>
      <c r="C17" s="243" t="s">
        <v>425</v>
      </c>
      <c r="D17" s="53">
        <f>((D8/(D9-D7))-1)</f>
        <v>8.6956521739130377E-2</v>
      </c>
      <c r="E17" s="277"/>
      <c r="H17" s="218"/>
      <c r="I17" s="218"/>
    </row>
    <row r="18" spans="2:9" ht="15.6" x14ac:dyDescent="0.3">
      <c r="B18" s="238"/>
      <c r="C18" s="243"/>
      <c r="D18" s="296"/>
      <c r="E18" s="277"/>
      <c r="H18" s="218"/>
      <c r="I18" s="218"/>
    </row>
    <row r="19" spans="2:9" ht="15.6" x14ac:dyDescent="0.3">
      <c r="B19" s="238" t="s">
        <v>159</v>
      </c>
      <c r="C19" s="243" t="s">
        <v>424</v>
      </c>
      <c r="D19" s="295">
        <f>D11-D9</f>
        <v>12</v>
      </c>
      <c r="E19" s="277"/>
      <c r="H19" s="218"/>
      <c r="I19" s="218"/>
    </row>
    <row r="20" spans="2:9" ht="15.6" x14ac:dyDescent="0.3">
      <c r="B20" s="238"/>
      <c r="C20" s="243"/>
      <c r="D20" s="296"/>
      <c r="E20" s="277"/>
      <c r="H20" s="218"/>
      <c r="I20" s="218"/>
    </row>
    <row r="21" spans="2:9" ht="15.6" x14ac:dyDescent="0.3">
      <c r="B21" s="238" t="s">
        <v>160</v>
      </c>
      <c r="C21" s="243" t="s">
        <v>423</v>
      </c>
      <c r="D21" s="295">
        <f>PMT(D17,2,-D11,0,1)</f>
        <v>51.041666666666664</v>
      </c>
      <c r="E21" s="277"/>
      <c r="H21" s="218"/>
      <c r="I21" s="218"/>
    </row>
    <row r="22" spans="2:9" ht="15.6" thickBot="1" x14ac:dyDescent="0.3">
      <c r="B22" s="276"/>
      <c r="C22" s="247"/>
      <c r="D22" s="275"/>
      <c r="E22" s="274"/>
      <c r="H22" s="218"/>
      <c r="I22" s="218"/>
    </row>
  </sheetData>
  <phoneticPr fontId="29" type="noConversion"/>
  <pageMargins left="0.75" right="0.75" top="1" bottom="1" header="0.5" footer="0.5"/>
  <pageSetup orientation="portrait" horizont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1113"/>
  <dimension ref="B1:G10"/>
  <sheetViews>
    <sheetView workbookViewId="0">
      <selection activeCell="C2" sqref="C2"/>
    </sheetView>
  </sheetViews>
  <sheetFormatPr defaultRowHeight="15" x14ac:dyDescent="0.25"/>
  <cols>
    <col min="2" max="2" width="3.109375" customWidth="1"/>
    <col min="3" max="3" width="19.88671875" customWidth="1"/>
    <col min="4" max="4" width="10.88671875" style="2" customWidth="1"/>
    <col min="5" max="5" width="12.88671875" bestFit="1" customWidth="1"/>
    <col min="6" max="6" width="19.6640625" customWidth="1"/>
    <col min="7" max="7" width="3.109375" customWidth="1"/>
  </cols>
  <sheetData>
    <row r="1" spans="2:7" ht="17.399999999999999" x14ac:dyDescent="0.3">
      <c r="C1" s="1" t="s">
        <v>253</v>
      </c>
    </row>
    <row r="2" spans="2:7" x14ac:dyDescent="0.25">
      <c r="C2" s="2" t="s">
        <v>18</v>
      </c>
    </row>
    <row r="4" spans="2:7" ht="15.6" x14ac:dyDescent="0.3">
      <c r="C4" s="37" t="s">
        <v>1</v>
      </c>
      <c r="D4" s="37" t="s">
        <v>0</v>
      </c>
      <c r="E4" s="2"/>
    </row>
    <row r="5" spans="2:7" ht="16.2" thickBot="1" x14ac:dyDescent="0.35">
      <c r="C5" s="4"/>
      <c r="D5" s="5"/>
      <c r="E5" s="2"/>
    </row>
    <row r="6" spans="2:7" s="2" customFormat="1" ht="15.6" x14ac:dyDescent="0.3">
      <c r="B6" s="32"/>
      <c r="C6" s="49"/>
      <c r="D6" s="8"/>
      <c r="E6" s="8"/>
      <c r="F6" s="8"/>
      <c r="G6" s="81"/>
    </row>
    <row r="7" spans="2:7" s="2" customFormat="1" x14ac:dyDescent="0.25">
      <c r="B7" s="35"/>
      <c r="C7" s="184" t="s">
        <v>145</v>
      </c>
      <c r="D7" s="183" t="s">
        <v>254</v>
      </c>
      <c r="E7" s="119" t="s">
        <v>20</v>
      </c>
      <c r="F7" s="119" t="s">
        <v>48</v>
      </c>
      <c r="G7" s="84"/>
    </row>
    <row r="8" spans="2:7" s="2" customFormat="1" ht="15" customHeight="1" x14ac:dyDescent="0.3">
      <c r="B8" s="35"/>
      <c r="C8" s="41">
        <f>F8/(1+E8)^D8</f>
        <v>135042269.45963413</v>
      </c>
      <c r="D8" s="61">
        <v>20</v>
      </c>
      <c r="E8" s="138">
        <v>5.8999999999999997E-2</v>
      </c>
      <c r="F8" s="62">
        <v>425000000</v>
      </c>
      <c r="G8" s="84"/>
    </row>
    <row r="9" spans="2:7" ht="15.6" thickBot="1" x14ac:dyDescent="0.3">
      <c r="B9" s="16"/>
      <c r="C9" s="72"/>
      <c r="D9" s="28"/>
      <c r="E9" s="185"/>
      <c r="F9" s="185"/>
      <c r="G9" s="186"/>
    </row>
    <row r="10" spans="2:7" x14ac:dyDescent="0.25">
      <c r="B10" s="106"/>
      <c r="C10" s="106"/>
      <c r="D10" s="105"/>
      <c r="E10" s="106"/>
    </row>
  </sheetData>
  <phoneticPr fontId="23" type="noConversion"/>
  <pageMargins left="0.75" right="0.75" top="1" bottom="1" header="0.5" footer="0.5"/>
  <pageSetup orientation="portrait" horizontalDpi="300" r:id="rId1"/>
  <headerFooter alignWithMargins="0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B1:I18"/>
  <sheetViews>
    <sheetView workbookViewId="0">
      <selection activeCell="C2" sqref="C2"/>
    </sheetView>
  </sheetViews>
  <sheetFormatPr defaultColWidth="9.109375" defaultRowHeight="15" x14ac:dyDescent="0.25"/>
  <cols>
    <col min="1" max="1" width="9.109375" style="218"/>
    <col min="2" max="2" width="3.109375" style="218" customWidth="1"/>
    <col min="3" max="3" width="36" style="218" bestFit="1" customWidth="1"/>
    <col min="4" max="4" width="15.5546875" style="218" customWidth="1"/>
    <col min="5" max="5" width="3.109375" style="218" customWidth="1"/>
    <col min="6" max="7" width="9.109375" style="218"/>
    <col min="8" max="9" width="9.109375" style="220"/>
    <col min="10" max="10" width="9.109375" style="218"/>
    <col min="11" max="11" width="3.109375" style="218" customWidth="1"/>
    <col min="12" max="16384" width="9.109375" style="218"/>
  </cols>
  <sheetData>
    <row r="1" spans="2:9" ht="17.399999999999999" x14ac:dyDescent="0.3">
      <c r="C1" s="219" t="s">
        <v>417</v>
      </c>
    </row>
    <row r="2" spans="2:9" x14ac:dyDescent="0.25">
      <c r="C2" s="220" t="s">
        <v>16</v>
      </c>
    </row>
    <row r="4" spans="2:9" ht="15.6" x14ac:dyDescent="0.3">
      <c r="C4" s="221" t="s">
        <v>0</v>
      </c>
      <c r="D4" s="220"/>
      <c r="E4" s="220"/>
      <c r="F4" s="220"/>
      <c r="G4" s="220"/>
    </row>
    <row r="5" spans="2:9" ht="16.2" thickBot="1" x14ac:dyDescent="0.35">
      <c r="C5" s="222"/>
      <c r="D5" s="264"/>
      <c r="E5" s="220"/>
      <c r="F5" s="220"/>
      <c r="G5" s="220"/>
    </row>
    <row r="6" spans="2:9" ht="15.6" x14ac:dyDescent="0.3">
      <c r="B6" s="223"/>
      <c r="C6" s="224"/>
      <c r="D6" s="225"/>
      <c r="E6" s="226"/>
      <c r="F6" s="282"/>
      <c r="G6" s="282"/>
      <c r="H6" s="273"/>
    </row>
    <row r="7" spans="2:9" x14ac:dyDescent="0.25">
      <c r="B7" s="227"/>
      <c r="C7" s="228" t="s">
        <v>432</v>
      </c>
      <c r="D7" s="285">
        <v>60000</v>
      </c>
      <c r="E7" s="284"/>
      <c r="F7" s="283"/>
      <c r="G7" s="283"/>
      <c r="H7" s="273"/>
    </row>
    <row r="8" spans="2:9" x14ac:dyDescent="0.25">
      <c r="B8" s="227"/>
      <c r="C8" s="228" t="s">
        <v>427</v>
      </c>
      <c r="D8" s="166">
        <v>80000</v>
      </c>
      <c r="E8" s="284"/>
      <c r="F8" s="283"/>
      <c r="G8" s="283"/>
      <c r="H8" s="273"/>
    </row>
    <row r="9" spans="2:9" x14ac:dyDescent="0.25">
      <c r="B9" s="227"/>
      <c r="C9" s="228" t="s">
        <v>431</v>
      </c>
      <c r="D9" s="166">
        <v>90000</v>
      </c>
      <c r="E9" s="284"/>
      <c r="F9" s="283"/>
      <c r="G9" s="283"/>
      <c r="H9" s="273"/>
    </row>
    <row r="10" spans="2:9" x14ac:dyDescent="0.25">
      <c r="B10" s="227"/>
      <c r="C10" s="228" t="s">
        <v>416</v>
      </c>
      <c r="D10" s="166">
        <v>20000</v>
      </c>
      <c r="E10" s="284"/>
      <c r="F10" s="283"/>
      <c r="G10" s="283"/>
      <c r="H10" s="273"/>
    </row>
    <row r="11" spans="2:9" x14ac:dyDescent="0.25">
      <c r="B11" s="227"/>
      <c r="C11" s="228" t="s">
        <v>430</v>
      </c>
      <c r="D11" s="166">
        <v>67500</v>
      </c>
      <c r="E11" s="284"/>
      <c r="F11" s="283"/>
      <c r="G11" s="283"/>
      <c r="H11" s="273"/>
    </row>
    <row r="12" spans="2:9" ht="15.6" thickBot="1" x14ac:dyDescent="0.3">
      <c r="B12" s="232"/>
      <c r="C12" s="233"/>
      <c r="D12" s="233"/>
      <c r="E12" s="234"/>
      <c r="F12" s="282"/>
      <c r="G12" s="282"/>
      <c r="H12" s="273"/>
    </row>
    <row r="13" spans="2:9" x14ac:dyDescent="0.25">
      <c r="C13" s="220"/>
      <c r="D13" s="220"/>
      <c r="E13" s="220"/>
      <c r="F13" s="220"/>
      <c r="G13" s="220"/>
    </row>
    <row r="14" spans="2:9" ht="15.6" x14ac:dyDescent="0.3">
      <c r="C14" s="221" t="s">
        <v>1</v>
      </c>
      <c r="D14" s="220"/>
      <c r="E14" s="220"/>
      <c r="F14" s="220"/>
      <c r="G14" s="220"/>
    </row>
    <row r="15" spans="2:9" ht="16.2" thickBot="1" x14ac:dyDescent="0.35">
      <c r="C15" s="222"/>
      <c r="D15" s="220"/>
      <c r="E15" s="220"/>
      <c r="F15" s="220"/>
      <c r="G15" s="220"/>
    </row>
    <row r="16" spans="2:9" x14ac:dyDescent="0.25">
      <c r="B16" s="281"/>
      <c r="C16" s="236"/>
      <c r="D16" s="280"/>
      <c r="E16" s="279"/>
      <c r="H16" s="218"/>
      <c r="I16" s="218"/>
    </row>
    <row r="17" spans="2:9" ht="15.6" x14ac:dyDescent="0.3">
      <c r="B17" s="238" t="s">
        <v>158</v>
      </c>
      <c r="C17" s="243" t="s">
        <v>425</v>
      </c>
      <c r="D17" s="53">
        <f>(D9/D8)-1</f>
        <v>0.125</v>
      </c>
      <c r="E17" s="277"/>
      <c r="H17" s="218"/>
      <c r="I17" s="218"/>
    </row>
    <row r="18" spans="2:9" ht="15.6" thickBot="1" x14ac:dyDescent="0.3">
      <c r="B18" s="276"/>
      <c r="C18" s="247"/>
      <c r="D18" s="275"/>
      <c r="E18" s="274"/>
      <c r="H18" s="218"/>
      <c r="I18" s="218"/>
    </row>
  </sheetData>
  <phoneticPr fontId="29" type="noConversion"/>
  <pageMargins left="0.75" right="0.75" top="1" bottom="1" header="0.5" footer="0.5"/>
  <pageSetup orientation="portrait" horizont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G10"/>
  <sheetViews>
    <sheetView workbookViewId="0">
      <selection activeCell="C2" sqref="C2"/>
    </sheetView>
  </sheetViews>
  <sheetFormatPr defaultColWidth="9.109375" defaultRowHeight="15" x14ac:dyDescent="0.25"/>
  <cols>
    <col min="1" max="1" width="9.109375" style="218"/>
    <col min="2" max="2" width="3.109375" style="218" customWidth="1"/>
    <col min="3" max="3" width="19.88671875" style="218" customWidth="1"/>
    <col min="4" max="4" width="10.88671875" style="220" customWidth="1"/>
    <col min="5" max="5" width="13.6640625" style="218" customWidth="1"/>
    <col min="6" max="6" width="15.5546875" style="218" bestFit="1" customWidth="1"/>
    <col min="7" max="7" width="3.109375" style="218" customWidth="1"/>
    <col min="8" max="16384" width="9.109375" style="218"/>
  </cols>
  <sheetData>
    <row r="1" spans="2:7" ht="17.399999999999999" x14ac:dyDescent="0.3">
      <c r="C1" s="219" t="s">
        <v>253</v>
      </c>
    </row>
    <row r="2" spans="2:7" x14ac:dyDescent="0.25">
      <c r="C2" s="220" t="s">
        <v>19</v>
      </c>
    </row>
    <row r="4" spans="2:7" ht="15.6" x14ac:dyDescent="0.3">
      <c r="C4" s="221" t="s">
        <v>0</v>
      </c>
      <c r="E4" s="221" t="s">
        <v>1</v>
      </c>
    </row>
    <row r="5" spans="2:7" ht="16.2" thickBot="1" x14ac:dyDescent="0.35">
      <c r="C5" s="222"/>
      <c r="D5" s="264"/>
      <c r="E5" s="220"/>
    </row>
    <row r="6" spans="2:7" s="220" customFormat="1" ht="15.6" x14ac:dyDescent="0.3">
      <c r="B6" s="265"/>
      <c r="C6" s="224"/>
      <c r="D6" s="225"/>
      <c r="E6" s="236"/>
      <c r="F6" s="225"/>
      <c r="G6" s="226"/>
    </row>
    <row r="7" spans="2:7" s="220" customFormat="1" x14ac:dyDescent="0.25">
      <c r="B7" s="266"/>
      <c r="C7" s="267" t="s">
        <v>145</v>
      </c>
      <c r="D7" s="183" t="s">
        <v>254</v>
      </c>
      <c r="E7" s="268" t="s">
        <v>5</v>
      </c>
      <c r="F7" s="267" t="s">
        <v>48</v>
      </c>
      <c r="G7" s="230"/>
    </row>
    <row r="8" spans="2:7" s="220" customFormat="1" ht="15" customHeight="1" x14ac:dyDescent="0.3">
      <c r="B8" s="266"/>
      <c r="C8" s="62">
        <v>1680000</v>
      </c>
      <c r="D8" s="61">
        <v>3</v>
      </c>
      <c r="E8" s="47">
        <f>(F8/C8)^(1/D8)-1</f>
        <v>-0.13165068143560099</v>
      </c>
      <c r="F8" s="62">
        <v>1100000</v>
      </c>
      <c r="G8" s="230"/>
    </row>
    <row r="9" spans="2:7" ht="15.6" thickBot="1" x14ac:dyDescent="0.3">
      <c r="B9" s="232"/>
      <c r="C9" s="269"/>
      <c r="D9" s="233"/>
      <c r="E9" s="270"/>
      <c r="F9" s="269"/>
      <c r="G9" s="271"/>
    </row>
    <row r="10" spans="2:7" x14ac:dyDescent="0.25">
      <c r="B10" s="272"/>
      <c r="C10" s="272"/>
      <c r="D10" s="273"/>
      <c r="E10" s="272"/>
    </row>
  </sheetData>
  <phoneticPr fontId="29" type="noConversion"/>
  <pageMargins left="0.75" right="0.75" top="1" bottom="1" header="0.5" footer="0.5"/>
  <pageSetup orientation="portrait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80</vt:i4>
      </vt:variant>
    </vt:vector>
  </HeadingPairs>
  <TitlesOfParts>
    <vt:vector size="80" baseType="lpstr">
      <vt:lpstr>Chapter 4</vt:lpstr>
      <vt:lpstr>#1</vt:lpstr>
      <vt:lpstr>#2</vt:lpstr>
      <vt:lpstr>#3</vt:lpstr>
      <vt:lpstr>#4</vt:lpstr>
      <vt:lpstr>#5</vt:lpstr>
      <vt:lpstr>#6</vt:lpstr>
      <vt:lpstr>#7</vt:lpstr>
      <vt:lpstr>#8</vt:lpstr>
      <vt:lpstr>#9</vt:lpstr>
      <vt:lpstr>#10</vt:lpstr>
      <vt:lpstr>#11</vt:lpstr>
      <vt:lpstr>#12</vt:lpstr>
      <vt:lpstr>#13</vt:lpstr>
      <vt:lpstr>#14</vt:lpstr>
      <vt:lpstr>#15</vt:lpstr>
      <vt:lpstr>#16</vt:lpstr>
      <vt:lpstr>#17</vt:lpstr>
      <vt:lpstr>#18</vt:lpstr>
      <vt:lpstr>#19</vt:lpstr>
      <vt:lpstr>#20</vt:lpstr>
      <vt:lpstr>#21</vt:lpstr>
      <vt:lpstr>#22</vt:lpstr>
      <vt:lpstr>#23</vt:lpstr>
      <vt:lpstr>#24</vt:lpstr>
      <vt:lpstr>#25</vt:lpstr>
      <vt:lpstr>#26</vt:lpstr>
      <vt:lpstr>#27</vt:lpstr>
      <vt:lpstr>#28</vt:lpstr>
      <vt:lpstr>#29</vt:lpstr>
      <vt:lpstr>#30</vt:lpstr>
      <vt:lpstr>#31</vt:lpstr>
      <vt:lpstr>#32</vt:lpstr>
      <vt:lpstr>#33</vt:lpstr>
      <vt:lpstr>#34</vt:lpstr>
      <vt:lpstr>#35</vt:lpstr>
      <vt:lpstr>#36</vt:lpstr>
      <vt:lpstr>#37</vt:lpstr>
      <vt:lpstr>#38</vt:lpstr>
      <vt:lpstr>#39</vt:lpstr>
      <vt:lpstr>#40</vt:lpstr>
      <vt:lpstr>#41</vt:lpstr>
      <vt:lpstr>#42</vt:lpstr>
      <vt:lpstr>#43</vt:lpstr>
      <vt:lpstr>#44</vt:lpstr>
      <vt:lpstr>#45</vt:lpstr>
      <vt:lpstr>#46</vt:lpstr>
      <vt:lpstr>#47</vt:lpstr>
      <vt:lpstr>#48</vt:lpstr>
      <vt:lpstr>#49</vt:lpstr>
      <vt:lpstr>#50</vt:lpstr>
      <vt:lpstr>#51</vt:lpstr>
      <vt:lpstr>#52</vt:lpstr>
      <vt:lpstr>#53</vt:lpstr>
      <vt:lpstr>#54</vt:lpstr>
      <vt:lpstr>#55</vt:lpstr>
      <vt:lpstr>#56</vt:lpstr>
      <vt:lpstr>#57</vt:lpstr>
      <vt:lpstr>#58</vt:lpstr>
      <vt:lpstr>#59</vt:lpstr>
      <vt:lpstr>#60</vt:lpstr>
      <vt:lpstr>#61</vt:lpstr>
      <vt:lpstr>#62</vt:lpstr>
      <vt:lpstr>#63</vt:lpstr>
      <vt:lpstr>#64</vt:lpstr>
      <vt:lpstr>#65</vt:lpstr>
      <vt:lpstr>#66</vt:lpstr>
      <vt:lpstr>#67</vt:lpstr>
      <vt:lpstr>#68</vt:lpstr>
      <vt:lpstr>#69</vt:lpstr>
      <vt:lpstr>#70</vt:lpstr>
      <vt:lpstr>#71</vt:lpstr>
      <vt:lpstr>#72</vt:lpstr>
      <vt:lpstr>#74</vt:lpstr>
      <vt:lpstr>#74 Answer Report</vt:lpstr>
      <vt:lpstr>Appendix #1</vt:lpstr>
      <vt:lpstr>Appendix #2</vt:lpstr>
      <vt:lpstr>Appendix #3</vt:lpstr>
      <vt:lpstr>Appendix #4</vt:lpstr>
      <vt:lpstr>Appendix #5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Smolira</dc:creator>
  <cp:lastModifiedBy>衛昀泰</cp:lastModifiedBy>
  <cp:lastPrinted>2005-03-14T19:57:00Z</cp:lastPrinted>
  <dcterms:created xsi:type="dcterms:W3CDTF">2002-04-01T02:03:05Z</dcterms:created>
  <dcterms:modified xsi:type="dcterms:W3CDTF">2020-10-21T10:16:14Z</dcterms:modified>
</cp:coreProperties>
</file>