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2ef875008baf77a9/Desktop/Iran_pred/"/>
    </mc:Choice>
  </mc:AlternateContent>
  <xr:revisionPtr revIDLastSave="46" documentId="11_AD4DB114E441178AC67DF45A5E13EC16693EDF26" xr6:coauthVersionLast="47" xr6:coauthVersionMax="47" xr10:uidLastSave="{4871010E-A7A5-4C2F-8C71-CD9A10FFD634}"/>
  <bookViews>
    <workbookView xWindow="840" yWindow="-108" windowWidth="22308" windowHeight="131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7" i="1" l="1"/>
  <c r="B94" i="1"/>
  <c r="Z77" i="1"/>
  <c r="U77" i="1"/>
  <c r="K77" i="1"/>
  <c r="F77" i="1"/>
  <c r="B77" i="1"/>
  <c r="A94" i="1"/>
  <c r="D34" i="1"/>
  <c r="C36" i="1"/>
  <c r="C37" i="1"/>
  <c r="C38" i="1"/>
  <c r="C39" i="1"/>
  <c r="C40" i="1"/>
  <c r="C41" i="1"/>
  <c r="C42" i="1"/>
  <c r="C43" i="1"/>
  <c r="C44" i="1"/>
  <c r="C45" i="1"/>
  <c r="C46" i="1"/>
  <c r="C47" i="1"/>
  <c r="C35" i="1"/>
  <c r="C34" i="1"/>
  <c r="D18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  <c r="C18" i="1"/>
  <c r="Y77" i="1"/>
  <c r="T77" i="1"/>
  <c r="O77" i="1"/>
  <c r="J77" i="1"/>
  <c r="E77" i="1"/>
  <c r="A77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8" i="1"/>
  <c r="K5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8" i="1"/>
  <c r="I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58" i="1"/>
  <c r="G57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H2" i="1"/>
  <c r="J44" i="1"/>
  <c r="J30" i="1"/>
  <c r="J17" i="1"/>
  <c r="J5" i="1"/>
  <c r="C15" i="1"/>
  <c r="D15" i="1"/>
  <c r="B15" i="1"/>
  <c r="A15" i="1"/>
  <c r="C14" i="1"/>
  <c r="D14" i="1"/>
  <c r="C13" i="1"/>
  <c r="D13" i="1"/>
  <c r="B13" i="1"/>
  <c r="C12" i="1"/>
  <c r="D12" i="1"/>
  <c r="B12" i="1"/>
  <c r="A12" i="1"/>
  <c r="C11" i="1"/>
  <c r="D11" i="1"/>
  <c r="A11" i="1"/>
  <c r="C10" i="1"/>
  <c r="D10" i="1"/>
  <c r="B10" i="1"/>
  <c r="A10" i="1"/>
  <c r="C9" i="1"/>
  <c r="D9" i="1"/>
  <c r="A9" i="1"/>
  <c r="C8" i="1"/>
  <c r="D8" i="1"/>
  <c r="B8" i="1"/>
  <c r="A8" i="1"/>
  <c r="C7" i="1"/>
  <c r="B7" i="1"/>
  <c r="D7" i="1"/>
  <c r="A7" i="1"/>
  <c r="C6" i="1"/>
  <c r="B6" i="1"/>
  <c r="D6" i="1"/>
  <c r="A6" i="1"/>
  <c r="C5" i="1"/>
  <c r="D5" i="1"/>
  <c r="A5" i="1"/>
  <c r="C4" i="1"/>
  <c r="B4" i="1"/>
  <c r="D4" i="1"/>
  <c r="A4" i="1"/>
  <c r="C3" i="1"/>
  <c r="B3" i="1"/>
  <c r="D3" i="1"/>
  <c r="A3" i="1"/>
  <c r="C2" i="1"/>
  <c r="D2" i="1"/>
  <c r="A2" i="1"/>
</calcChain>
</file>

<file path=xl/sharedStrings.xml><?xml version="1.0" encoding="utf-8"?>
<sst xmlns="http://schemas.openxmlformats.org/spreadsheetml/2006/main" count="84" uniqueCount="56">
  <si>
    <t>Dppg Season</t>
  </si>
  <si>
    <t>Dppg Last8</t>
  </si>
  <si>
    <t>Dppg HomeAway</t>
  </si>
  <si>
    <t>Dpg GoalDiff</t>
  </si>
  <si>
    <t>Aluminium</t>
  </si>
  <si>
    <t>Mazandaran</t>
  </si>
  <si>
    <t>Foolad</t>
  </si>
  <si>
    <t>Result</t>
  </si>
  <si>
    <t>Sanat</t>
  </si>
  <si>
    <t>Sepahan</t>
  </si>
  <si>
    <t>Tractor</t>
  </si>
  <si>
    <t>Havadar</t>
  </si>
  <si>
    <t>Persepolis</t>
  </si>
  <si>
    <t>Esteghlal</t>
  </si>
  <si>
    <t>Paykan</t>
  </si>
  <si>
    <t>Zob Ahan</t>
  </si>
  <si>
    <t>Sepaha</t>
  </si>
  <si>
    <t>Gol Goh</t>
  </si>
  <si>
    <t>Shahr K</t>
  </si>
  <si>
    <t>Naft Ma</t>
  </si>
  <si>
    <t>Mes Ra</t>
  </si>
  <si>
    <t>Correlations</t>
  </si>
  <si>
    <t>Dppg HomAwa</t>
  </si>
  <si>
    <t>Malavan</t>
  </si>
  <si>
    <t>NaftMasjed</t>
  </si>
  <si>
    <t>Mes Rafs</t>
  </si>
  <si>
    <t>Mes Kerman</t>
  </si>
  <si>
    <t>Simple Avg</t>
  </si>
  <si>
    <t>Team</t>
  </si>
  <si>
    <t>Pts</t>
  </si>
  <si>
    <t>G+A</t>
  </si>
  <si>
    <t>G-pk</t>
  </si>
  <si>
    <t>G+A-pk</t>
  </si>
  <si>
    <t>D G+A</t>
  </si>
  <si>
    <t>D G-pk</t>
  </si>
  <si>
    <t>D G+A-pk</t>
  </si>
  <si>
    <t>esteghlal</t>
  </si>
  <si>
    <t>gol goha</t>
  </si>
  <si>
    <t>malavan</t>
  </si>
  <si>
    <t>mes rafsa</t>
  </si>
  <si>
    <t>naft</t>
  </si>
  <si>
    <t>paykan</t>
  </si>
  <si>
    <t>persepolis</t>
  </si>
  <si>
    <t>sanat mes kerm</t>
  </si>
  <si>
    <t>sanat saft</t>
  </si>
  <si>
    <t>sepahan</t>
  </si>
  <si>
    <t>tractor</t>
  </si>
  <si>
    <t>zob ahan</t>
  </si>
  <si>
    <t>Dppg Avg(L8 HA)</t>
  </si>
  <si>
    <t>Correlazione</t>
  </si>
  <si>
    <t>D Avg(L8 HA)*Gdiff</t>
  </si>
  <si>
    <t>xG diff</t>
  </si>
  <si>
    <t>sorhpooshan (havadar)</t>
  </si>
  <si>
    <t>new pts</t>
  </si>
  <si>
    <t>Pts [2;1]</t>
  </si>
  <si>
    <t>nassaji mazandaran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</si>
</sst>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7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Dppg Season</a:t>
            </a:r>
            <a:endParaRPr lang="it-IT" u="sng"/>
          </a:p>
        </c:rich>
      </c:tx>
      <c:layout>
        <c:manualLayout>
          <c:xMode val="edge"/>
          <c:yMode val="edge"/>
          <c:x val="0.36578769438810005"/>
          <c:y val="1.700680272108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4151453684922244E-2"/>
          <c:y val="0.13467592592592595"/>
          <c:w val="0.91635388882677693"/>
          <c:h val="0.83989574219889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Tabelle1!$A$2:$A$15</c:f>
              <c:numCache>
                <c:formatCode>General</c:formatCode>
                <c:ptCount val="14"/>
                <c:pt idx="0">
                  <c:v>-0.35714285714285715</c:v>
                </c:pt>
                <c:pt idx="1">
                  <c:v>-0.39285714285714285</c:v>
                </c:pt>
                <c:pt idx="2">
                  <c:v>1.2857142857142858</c:v>
                </c:pt>
                <c:pt idx="3">
                  <c:v>0.9064039408866994</c:v>
                </c:pt>
                <c:pt idx="4">
                  <c:v>-0.30295566502463056</c:v>
                </c:pt>
                <c:pt idx="5">
                  <c:v>0.20935960591133007</c:v>
                </c:pt>
                <c:pt idx="6">
                  <c:v>-0.51999999999999991</c:v>
                </c:pt>
                <c:pt idx="7">
                  <c:v>-8.9999999999999858E-2</c:v>
                </c:pt>
                <c:pt idx="8">
                  <c:v>-1</c:v>
                </c:pt>
                <c:pt idx="9">
                  <c:v>-0.22</c:v>
                </c:pt>
                <c:pt idx="10">
                  <c:v>1.56</c:v>
                </c:pt>
                <c:pt idx="11">
                  <c:v>0.83</c:v>
                </c:pt>
                <c:pt idx="12">
                  <c:v>-0.7</c:v>
                </c:pt>
                <c:pt idx="13">
                  <c:v>-0.34999999999999987</c:v>
                </c:pt>
              </c:numCache>
            </c:numRef>
          </c:xVal>
          <c:yVal>
            <c:numRef>
              <c:f>Tabelle1!$G$2:$G$15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F-4A34-B000-D96F46B9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870207"/>
        <c:axId val="1937867807"/>
      </c:scatterChart>
      <c:valAx>
        <c:axId val="193787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867807"/>
        <c:crosses val="autoZero"/>
        <c:crossBetween val="midCat"/>
      </c:valAx>
      <c:valAx>
        <c:axId val="19378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87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 G+A-pk</a:t>
            </a:r>
            <a:r>
              <a:rPr lang="it-IT" baseline="0"/>
              <a:t> (std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Tabelle1!$B$57:$B$72</c:f>
              <c:numCache>
                <c:formatCode>General</c:formatCode>
                <c:ptCount val="16"/>
                <c:pt idx="0">
                  <c:v>40</c:v>
                </c:pt>
                <c:pt idx="1">
                  <c:v>62</c:v>
                </c:pt>
                <c:pt idx="2">
                  <c:v>40</c:v>
                </c:pt>
                <c:pt idx="3">
                  <c:v>45</c:v>
                </c:pt>
                <c:pt idx="4">
                  <c:v>27</c:v>
                </c:pt>
                <c:pt idx="5">
                  <c:v>47</c:v>
                </c:pt>
                <c:pt idx="6">
                  <c:v>20</c:v>
                </c:pt>
                <c:pt idx="7">
                  <c:v>26</c:v>
                </c:pt>
                <c:pt idx="8">
                  <c:v>28</c:v>
                </c:pt>
                <c:pt idx="9">
                  <c:v>66</c:v>
                </c:pt>
                <c:pt idx="10">
                  <c:v>22</c:v>
                </c:pt>
                <c:pt idx="11">
                  <c:v>25</c:v>
                </c:pt>
                <c:pt idx="12">
                  <c:v>65</c:v>
                </c:pt>
                <c:pt idx="13">
                  <c:v>33</c:v>
                </c:pt>
                <c:pt idx="14">
                  <c:v>52</c:v>
                </c:pt>
                <c:pt idx="15">
                  <c:v>36</c:v>
                </c:pt>
              </c:numCache>
            </c:numRef>
          </c:xVal>
          <c:yVal>
            <c:numRef>
              <c:f>Tabelle1!$K$57:$K$72</c:f>
              <c:numCache>
                <c:formatCode>General</c:formatCode>
                <c:ptCount val="16"/>
                <c:pt idx="0">
                  <c:v>30</c:v>
                </c:pt>
                <c:pt idx="1">
                  <c:v>130</c:v>
                </c:pt>
                <c:pt idx="2">
                  <c:v>-13</c:v>
                </c:pt>
                <c:pt idx="3">
                  <c:v>57</c:v>
                </c:pt>
                <c:pt idx="4">
                  <c:v>-107</c:v>
                </c:pt>
                <c:pt idx="5">
                  <c:v>106</c:v>
                </c:pt>
                <c:pt idx="6">
                  <c:v>-224</c:v>
                </c:pt>
                <c:pt idx="7">
                  <c:v>-116</c:v>
                </c:pt>
                <c:pt idx="8">
                  <c:v>-53</c:v>
                </c:pt>
                <c:pt idx="9">
                  <c:v>183</c:v>
                </c:pt>
                <c:pt idx="10">
                  <c:v>-73</c:v>
                </c:pt>
                <c:pt idx="11">
                  <c:v>-193</c:v>
                </c:pt>
                <c:pt idx="12">
                  <c:v>160</c:v>
                </c:pt>
                <c:pt idx="13">
                  <c:v>-50</c:v>
                </c:pt>
                <c:pt idx="14">
                  <c:v>60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8-437F-B548-DF1DE47F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31632"/>
        <c:axId val="769858512"/>
      </c:scatterChart>
      <c:valAx>
        <c:axId val="7698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58512"/>
        <c:crosses val="autoZero"/>
        <c:crossBetween val="midCat"/>
      </c:valAx>
      <c:valAx>
        <c:axId val="7698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3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xG diff (std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Tabelle1!$B$57:$B$72</c:f>
              <c:numCache>
                <c:formatCode>General</c:formatCode>
                <c:ptCount val="16"/>
                <c:pt idx="0">
                  <c:v>40</c:v>
                </c:pt>
                <c:pt idx="1">
                  <c:v>62</c:v>
                </c:pt>
                <c:pt idx="2">
                  <c:v>40</c:v>
                </c:pt>
                <c:pt idx="3">
                  <c:v>45</c:v>
                </c:pt>
                <c:pt idx="4">
                  <c:v>27</c:v>
                </c:pt>
                <c:pt idx="5">
                  <c:v>47</c:v>
                </c:pt>
                <c:pt idx="6">
                  <c:v>20</c:v>
                </c:pt>
                <c:pt idx="7">
                  <c:v>26</c:v>
                </c:pt>
                <c:pt idx="8">
                  <c:v>28</c:v>
                </c:pt>
                <c:pt idx="9">
                  <c:v>66</c:v>
                </c:pt>
                <c:pt idx="10">
                  <c:v>22</c:v>
                </c:pt>
                <c:pt idx="11">
                  <c:v>25</c:v>
                </c:pt>
                <c:pt idx="12">
                  <c:v>65</c:v>
                </c:pt>
                <c:pt idx="13">
                  <c:v>33</c:v>
                </c:pt>
                <c:pt idx="14">
                  <c:v>52</c:v>
                </c:pt>
                <c:pt idx="15">
                  <c:v>36</c:v>
                </c:pt>
              </c:numCache>
            </c:numRef>
          </c:xVal>
          <c:yVal>
            <c:numRef>
              <c:f>Tabelle1!$M$57:$M$72</c:f>
              <c:numCache>
                <c:formatCode>General</c:formatCode>
                <c:ptCount val="16"/>
                <c:pt idx="0">
                  <c:v>-17</c:v>
                </c:pt>
                <c:pt idx="1">
                  <c:v>73</c:v>
                </c:pt>
                <c:pt idx="2">
                  <c:v>-2</c:v>
                </c:pt>
                <c:pt idx="3">
                  <c:v>1</c:v>
                </c:pt>
                <c:pt idx="4">
                  <c:v>-73</c:v>
                </c:pt>
                <c:pt idx="5">
                  <c:v>7</c:v>
                </c:pt>
                <c:pt idx="6">
                  <c:v>-21</c:v>
                </c:pt>
                <c:pt idx="7">
                  <c:v>-21</c:v>
                </c:pt>
                <c:pt idx="8">
                  <c:v>9</c:v>
                </c:pt>
                <c:pt idx="9">
                  <c:v>36</c:v>
                </c:pt>
                <c:pt idx="10">
                  <c:v>-68</c:v>
                </c:pt>
                <c:pt idx="11">
                  <c:v>-10</c:v>
                </c:pt>
                <c:pt idx="12">
                  <c:v>31</c:v>
                </c:pt>
                <c:pt idx="13">
                  <c:v>-35</c:v>
                </c:pt>
                <c:pt idx="14">
                  <c:v>46</c:v>
                </c:pt>
                <c:pt idx="15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8-4B6F-9617-9CFE89EA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33039"/>
        <c:axId val="1590632559"/>
      </c:scatterChart>
      <c:valAx>
        <c:axId val="15906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632559"/>
        <c:crosses val="autoZero"/>
        <c:crossBetween val="midCat"/>
      </c:valAx>
      <c:valAx>
        <c:axId val="15906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6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 G+A (new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711860045814835E-2"/>
          <c:y val="0.22170537527622391"/>
          <c:w val="0.89016777357614918"/>
          <c:h val="0.669514528377815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Tabelle1!$O$57:$O$72</c:f>
              <c:numCache>
                <c:formatCode>General</c:formatCode>
                <c:ptCount val="16"/>
                <c:pt idx="0">
                  <c:v>32</c:v>
                </c:pt>
                <c:pt idx="1">
                  <c:v>44</c:v>
                </c:pt>
                <c:pt idx="2">
                  <c:v>31</c:v>
                </c:pt>
                <c:pt idx="3">
                  <c:v>33</c:v>
                </c:pt>
                <c:pt idx="4">
                  <c:v>22</c:v>
                </c:pt>
                <c:pt idx="5">
                  <c:v>36</c:v>
                </c:pt>
                <c:pt idx="6">
                  <c:v>16</c:v>
                </c:pt>
                <c:pt idx="7">
                  <c:v>21</c:v>
                </c:pt>
                <c:pt idx="8">
                  <c:v>23</c:v>
                </c:pt>
                <c:pt idx="9">
                  <c:v>46</c:v>
                </c:pt>
                <c:pt idx="10">
                  <c:v>18</c:v>
                </c:pt>
                <c:pt idx="11">
                  <c:v>20</c:v>
                </c:pt>
                <c:pt idx="12">
                  <c:v>46</c:v>
                </c:pt>
                <c:pt idx="13">
                  <c:v>26</c:v>
                </c:pt>
                <c:pt idx="14">
                  <c:v>37</c:v>
                </c:pt>
                <c:pt idx="15">
                  <c:v>29</c:v>
                </c:pt>
              </c:numCache>
            </c:numRef>
          </c:xVal>
          <c:yVal>
            <c:numRef>
              <c:f>Tabelle1!$G$57:$G$72</c:f>
              <c:numCache>
                <c:formatCode>General</c:formatCode>
                <c:ptCount val="16"/>
                <c:pt idx="0">
                  <c:v>9</c:v>
                </c:pt>
                <c:pt idx="1">
                  <c:v>47</c:v>
                </c:pt>
                <c:pt idx="2">
                  <c:v>-1</c:v>
                </c:pt>
                <c:pt idx="3">
                  <c:v>14</c:v>
                </c:pt>
                <c:pt idx="4">
                  <c:v>-30</c:v>
                </c:pt>
                <c:pt idx="5">
                  <c:v>28</c:v>
                </c:pt>
                <c:pt idx="6">
                  <c:v>-68</c:v>
                </c:pt>
                <c:pt idx="7">
                  <c:v>-32</c:v>
                </c:pt>
                <c:pt idx="8">
                  <c:v>-21</c:v>
                </c:pt>
                <c:pt idx="9">
                  <c:v>60</c:v>
                </c:pt>
                <c:pt idx="10">
                  <c:v>-24</c:v>
                </c:pt>
                <c:pt idx="11">
                  <c:v>-30</c:v>
                </c:pt>
                <c:pt idx="12">
                  <c:v>51</c:v>
                </c:pt>
                <c:pt idx="13">
                  <c:v>-18</c:v>
                </c:pt>
                <c:pt idx="14">
                  <c:v>15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F-4B36-8132-386B09AA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592959"/>
        <c:axId val="1774595359"/>
      </c:scatterChart>
      <c:valAx>
        <c:axId val="17745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4595359"/>
        <c:crosses val="autoZero"/>
        <c:crossBetween val="midCat"/>
      </c:valAx>
      <c:valAx>
        <c:axId val="17745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459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 G-pk (new</a:t>
            </a:r>
            <a:r>
              <a:rPr lang="it-IT" baseline="0"/>
              <a:t> pts)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0187616794972169E-2"/>
          <c:y val="0.21316082307863921"/>
          <c:w val="0.9054159763107934"/>
          <c:h val="0.682251478753064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Tabelle1!$O$57:$O$72</c:f>
              <c:numCache>
                <c:formatCode>General</c:formatCode>
                <c:ptCount val="16"/>
                <c:pt idx="0">
                  <c:v>32</c:v>
                </c:pt>
                <c:pt idx="1">
                  <c:v>44</c:v>
                </c:pt>
                <c:pt idx="2">
                  <c:v>31</c:v>
                </c:pt>
                <c:pt idx="3">
                  <c:v>33</c:v>
                </c:pt>
                <c:pt idx="4">
                  <c:v>22</c:v>
                </c:pt>
                <c:pt idx="5">
                  <c:v>36</c:v>
                </c:pt>
                <c:pt idx="6">
                  <c:v>16</c:v>
                </c:pt>
                <c:pt idx="7">
                  <c:v>21</c:v>
                </c:pt>
                <c:pt idx="8">
                  <c:v>23</c:v>
                </c:pt>
                <c:pt idx="9">
                  <c:v>46</c:v>
                </c:pt>
                <c:pt idx="10">
                  <c:v>18</c:v>
                </c:pt>
                <c:pt idx="11">
                  <c:v>20</c:v>
                </c:pt>
                <c:pt idx="12">
                  <c:v>46</c:v>
                </c:pt>
                <c:pt idx="13">
                  <c:v>26</c:v>
                </c:pt>
                <c:pt idx="14">
                  <c:v>37</c:v>
                </c:pt>
                <c:pt idx="15">
                  <c:v>29</c:v>
                </c:pt>
              </c:numCache>
            </c:numRef>
          </c:xVal>
          <c:yVal>
            <c:numRef>
              <c:f>Tabelle1!$I$57:$I$72</c:f>
              <c:numCache>
                <c:formatCode>General</c:formatCode>
                <c:ptCount val="16"/>
                <c:pt idx="0">
                  <c:v>5</c:v>
                </c:pt>
                <c:pt idx="1">
                  <c:v>19</c:v>
                </c:pt>
                <c:pt idx="2">
                  <c:v>-1</c:v>
                </c:pt>
                <c:pt idx="3">
                  <c:v>6</c:v>
                </c:pt>
                <c:pt idx="4">
                  <c:v>-19</c:v>
                </c:pt>
                <c:pt idx="5">
                  <c:v>17</c:v>
                </c:pt>
                <c:pt idx="6">
                  <c:v>-35</c:v>
                </c:pt>
                <c:pt idx="7">
                  <c:v>-21</c:v>
                </c:pt>
                <c:pt idx="8">
                  <c:v>-11</c:v>
                </c:pt>
                <c:pt idx="9">
                  <c:v>28</c:v>
                </c:pt>
                <c:pt idx="10">
                  <c:v>-8</c:v>
                </c:pt>
                <c:pt idx="11">
                  <c:v>-12</c:v>
                </c:pt>
                <c:pt idx="12">
                  <c:v>27</c:v>
                </c:pt>
                <c:pt idx="13">
                  <c:v>-7</c:v>
                </c:pt>
                <c:pt idx="14">
                  <c:v>11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3-4825-AC88-FE2E0417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723903"/>
        <c:axId val="1852714783"/>
      </c:scatterChart>
      <c:valAx>
        <c:axId val="18527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14783"/>
        <c:crosses val="autoZero"/>
        <c:crossBetween val="midCat"/>
      </c:valAx>
      <c:valAx>
        <c:axId val="18527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2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 G+A-pk (std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50402113886916"/>
          <c:y val="0.20411158467994239"/>
          <c:w val="0.84509958666386831"/>
          <c:h val="0.765662292462166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Tabelle1!$O$57:$O$72</c:f>
              <c:numCache>
                <c:formatCode>General</c:formatCode>
                <c:ptCount val="16"/>
                <c:pt idx="0">
                  <c:v>32</c:v>
                </c:pt>
                <c:pt idx="1">
                  <c:v>44</c:v>
                </c:pt>
                <c:pt idx="2">
                  <c:v>31</c:v>
                </c:pt>
                <c:pt idx="3">
                  <c:v>33</c:v>
                </c:pt>
                <c:pt idx="4">
                  <c:v>22</c:v>
                </c:pt>
                <c:pt idx="5">
                  <c:v>36</c:v>
                </c:pt>
                <c:pt idx="6">
                  <c:v>16</c:v>
                </c:pt>
                <c:pt idx="7">
                  <c:v>21</c:v>
                </c:pt>
                <c:pt idx="8">
                  <c:v>23</c:v>
                </c:pt>
                <c:pt idx="9">
                  <c:v>46</c:v>
                </c:pt>
                <c:pt idx="10">
                  <c:v>18</c:v>
                </c:pt>
                <c:pt idx="11">
                  <c:v>20</c:v>
                </c:pt>
                <c:pt idx="12">
                  <c:v>46</c:v>
                </c:pt>
                <c:pt idx="13">
                  <c:v>26</c:v>
                </c:pt>
                <c:pt idx="14">
                  <c:v>37</c:v>
                </c:pt>
                <c:pt idx="15">
                  <c:v>29</c:v>
                </c:pt>
              </c:numCache>
            </c:numRef>
          </c:xVal>
          <c:yVal>
            <c:numRef>
              <c:f>Tabelle1!$K$57:$K$72</c:f>
              <c:numCache>
                <c:formatCode>General</c:formatCode>
                <c:ptCount val="16"/>
                <c:pt idx="0">
                  <c:v>30</c:v>
                </c:pt>
                <c:pt idx="1">
                  <c:v>130</c:v>
                </c:pt>
                <c:pt idx="2">
                  <c:v>-13</c:v>
                </c:pt>
                <c:pt idx="3">
                  <c:v>57</c:v>
                </c:pt>
                <c:pt idx="4">
                  <c:v>-107</c:v>
                </c:pt>
                <c:pt idx="5">
                  <c:v>106</c:v>
                </c:pt>
                <c:pt idx="6">
                  <c:v>-224</c:v>
                </c:pt>
                <c:pt idx="7">
                  <c:v>-116</c:v>
                </c:pt>
                <c:pt idx="8">
                  <c:v>-53</c:v>
                </c:pt>
                <c:pt idx="9">
                  <c:v>183</c:v>
                </c:pt>
                <c:pt idx="10">
                  <c:v>-73</c:v>
                </c:pt>
                <c:pt idx="11">
                  <c:v>-193</c:v>
                </c:pt>
                <c:pt idx="12">
                  <c:v>160</c:v>
                </c:pt>
                <c:pt idx="13">
                  <c:v>-50</c:v>
                </c:pt>
                <c:pt idx="14">
                  <c:v>60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B-42F3-9B6A-93B2BA45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791583"/>
        <c:axId val="1852785823"/>
      </c:scatterChart>
      <c:valAx>
        <c:axId val="185279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85823"/>
        <c:crosses val="autoZero"/>
        <c:crossBetween val="midCat"/>
      </c:valAx>
      <c:valAx>
        <c:axId val="1852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9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Dppg Last8</a:t>
            </a:r>
          </a:p>
        </c:rich>
      </c:tx>
      <c:layout>
        <c:manualLayout>
          <c:xMode val="edge"/>
          <c:yMode val="edge"/>
          <c:x val="0.3843338074163534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248395665980703E-2"/>
          <c:y val="0.11615740740740743"/>
          <c:w val="0.92822065253952235"/>
          <c:h val="0.858414260717410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Tabelle1!$B$2:$B$15</c:f>
              <c:numCache>
                <c:formatCode>General</c:formatCode>
                <c:ptCount val="14"/>
                <c:pt idx="0">
                  <c:v>-0.5</c:v>
                </c:pt>
                <c:pt idx="1">
                  <c:v>-0.125</c:v>
                </c:pt>
                <c:pt idx="2" formatCode="0.00">
                  <c:v>0.25</c:v>
                </c:pt>
                <c:pt idx="3">
                  <c:v>1</c:v>
                </c:pt>
                <c:pt idx="4">
                  <c:v>-0.75</c:v>
                </c:pt>
                <c:pt idx="5">
                  <c:v>-0.375</c:v>
                </c:pt>
                <c:pt idx="6">
                  <c:v>-0.37000000000000011</c:v>
                </c:pt>
                <c:pt idx="7">
                  <c:v>0</c:v>
                </c:pt>
                <c:pt idx="8">
                  <c:v>-1.25</c:v>
                </c:pt>
                <c:pt idx="9">
                  <c:v>-0.12</c:v>
                </c:pt>
                <c:pt idx="10">
                  <c:v>2.37</c:v>
                </c:pt>
                <c:pt idx="11">
                  <c:v>1.25</c:v>
                </c:pt>
                <c:pt idx="12">
                  <c:v>-1</c:v>
                </c:pt>
                <c:pt idx="13">
                  <c:v>0.25</c:v>
                </c:pt>
              </c:numCache>
            </c:numRef>
          </c:xVal>
          <c:yVal>
            <c:numRef>
              <c:f>Tabelle1!$G$2:$G$15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1-4C49-A59A-6C872068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896607"/>
        <c:axId val="1937898047"/>
      </c:scatterChart>
      <c:valAx>
        <c:axId val="19378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898047"/>
        <c:crosses val="autoZero"/>
        <c:crossBetween val="midCat"/>
      </c:valAx>
      <c:valAx>
        <c:axId val="19378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8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Dppg HomeAway</a:t>
            </a:r>
          </a:p>
        </c:rich>
      </c:tx>
      <c:layout>
        <c:manualLayout>
          <c:xMode val="edge"/>
          <c:yMode val="edge"/>
          <c:x val="0.32333832102762855"/>
          <c:y val="5.32481363152289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428453842023642E-2"/>
          <c:y val="0.12294994675186371"/>
          <c:w val="0.93791111002090466"/>
          <c:h val="0.847803409557830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Tabelle1!$C$2:$C$15</c:f>
              <c:numCache>
                <c:formatCode>General</c:formatCode>
                <c:ptCount val="14"/>
                <c:pt idx="0">
                  <c:v>-0.2857142857142857</c:v>
                </c:pt>
                <c:pt idx="1">
                  <c:v>-0.21428571428571427</c:v>
                </c:pt>
                <c:pt idx="2">
                  <c:v>1.7142857142857142</c:v>
                </c:pt>
                <c:pt idx="3">
                  <c:v>1.7857142857142858</c:v>
                </c:pt>
                <c:pt idx="4">
                  <c:v>-0.7142857142857143</c:v>
                </c:pt>
                <c:pt idx="5">
                  <c:v>0.6428571428571429</c:v>
                </c:pt>
                <c:pt idx="6">
                  <c:v>0.18181818181818182</c:v>
                </c:pt>
                <c:pt idx="7">
                  <c:v>0.18181818181818188</c:v>
                </c:pt>
                <c:pt idx="8">
                  <c:v>-0.90909090909090917</c:v>
                </c:pt>
                <c:pt idx="9">
                  <c:v>9.0909090909090912E-2</c:v>
                </c:pt>
                <c:pt idx="10">
                  <c:v>1.5454545454545454</c:v>
                </c:pt>
                <c:pt idx="11">
                  <c:v>1.1818181818181819</c:v>
                </c:pt>
                <c:pt idx="12">
                  <c:v>-0.18181818181818182</c:v>
                </c:pt>
                <c:pt idx="13">
                  <c:v>-0.27272727272727271</c:v>
                </c:pt>
              </c:numCache>
            </c:numRef>
          </c:xVal>
          <c:yVal>
            <c:numRef>
              <c:f>Tabelle1!$G$2:$G$15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0-414D-95C9-12EFF940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8607"/>
        <c:axId val="1937910047"/>
      </c:scatterChart>
      <c:valAx>
        <c:axId val="19379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910047"/>
        <c:crosses val="autoZero"/>
        <c:crossBetween val="midCat"/>
      </c:valAx>
      <c:valAx>
        <c:axId val="19379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90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Dpg GoalDiff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Tabelle1!$D$2:$D$15</c:f>
              <c:numCache>
                <c:formatCode>General</c:formatCode>
                <c:ptCount val="14"/>
                <c:pt idx="0">
                  <c:v>-7.1428571428571425E-2</c:v>
                </c:pt>
                <c:pt idx="1">
                  <c:v>-0.2857142857142857</c:v>
                </c:pt>
                <c:pt idx="2">
                  <c:v>2.3888888888888888</c:v>
                </c:pt>
                <c:pt idx="3">
                  <c:v>1.75</c:v>
                </c:pt>
                <c:pt idx="4">
                  <c:v>-0.38054187192118227</c:v>
                </c:pt>
                <c:pt idx="5">
                  <c:v>8.6206896551724033E-3</c:v>
                </c:pt>
                <c:pt idx="6">
                  <c:v>-0.52173913043478259</c:v>
                </c:pt>
                <c:pt idx="7">
                  <c:v>-8.6956521739130432E-2</c:v>
                </c:pt>
                <c:pt idx="8">
                  <c:v>-1.6956521739130435</c:v>
                </c:pt>
                <c:pt idx="9">
                  <c:v>-0.2608695652173913</c:v>
                </c:pt>
                <c:pt idx="10">
                  <c:v>-1.7826086956521738</c:v>
                </c:pt>
                <c:pt idx="11">
                  <c:v>0.91304347826086951</c:v>
                </c:pt>
                <c:pt idx="12">
                  <c:v>-0.69565217391304346</c:v>
                </c:pt>
                <c:pt idx="13">
                  <c:v>-0.21739130434782608</c:v>
                </c:pt>
              </c:numCache>
            </c:numRef>
          </c:xVal>
          <c:yVal>
            <c:numRef>
              <c:f>Tabelle1!$G$2:$G$15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2-4641-9D89-A0FB7DC6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893247"/>
        <c:axId val="1937921567"/>
      </c:scatterChart>
      <c:valAx>
        <c:axId val="193789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921567"/>
        <c:crosses val="autoZero"/>
        <c:crossBetween val="midCat"/>
      </c:valAx>
      <c:valAx>
        <c:axId val="19379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89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G+A (std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Tabelle1!$B$57:$B$72</c:f>
              <c:numCache>
                <c:formatCode>General</c:formatCode>
                <c:ptCount val="16"/>
                <c:pt idx="0">
                  <c:v>40</c:v>
                </c:pt>
                <c:pt idx="1">
                  <c:v>62</c:v>
                </c:pt>
                <c:pt idx="2">
                  <c:v>40</c:v>
                </c:pt>
                <c:pt idx="3">
                  <c:v>45</c:v>
                </c:pt>
                <c:pt idx="4">
                  <c:v>27</c:v>
                </c:pt>
                <c:pt idx="5">
                  <c:v>47</c:v>
                </c:pt>
                <c:pt idx="6">
                  <c:v>20</c:v>
                </c:pt>
                <c:pt idx="7">
                  <c:v>26</c:v>
                </c:pt>
                <c:pt idx="8">
                  <c:v>28</c:v>
                </c:pt>
                <c:pt idx="9">
                  <c:v>66</c:v>
                </c:pt>
                <c:pt idx="10">
                  <c:v>22</c:v>
                </c:pt>
                <c:pt idx="11">
                  <c:v>25</c:v>
                </c:pt>
                <c:pt idx="12">
                  <c:v>65</c:v>
                </c:pt>
                <c:pt idx="13">
                  <c:v>33</c:v>
                </c:pt>
                <c:pt idx="14">
                  <c:v>52</c:v>
                </c:pt>
                <c:pt idx="15">
                  <c:v>36</c:v>
                </c:pt>
              </c:numCache>
            </c:numRef>
          </c:xVal>
          <c:yVal>
            <c:numRef>
              <c:f>Tabelle1!$C$57:$C$72</c:f>
              <c:numCache>
                <c:formatCode>General</c:formatCode>
                <c:ptCount val="16"/>
                <c:pt idx="0">
                  <c:v>32</c:v>
                </c:pt>
                <c:pt idx="1">
                  <c:v>82</c:v>
                </c:pt>
                <c:pt idx="2">
                  <c:v>43</c:v>
                </c:pt>
                <c:pt idx="3">
                  <c:v>68</c:v>
                </c:pt>
                <c:pt idx="4">
                  <c:v>35</c:v>
                </c:pt>
                <c:pt idx="5">
                  <c:v>51</c:v>
                </c:pt>
                <c:pt idx="6">
                  <c:v>33</c:v>
                </c:pt>
                <c:pt idx="7">
                  <c:v>37</c:v>
                </c:pt>
                <c:pt idx="8">
                  <c:v>22</c:v>
                </c:pt>
                <c:pt idx="9">
                  <c:v>80</c:v>
                </c:pt>
                <c:pt idx="10">
                  <c:v>34</c:v>
                </c:pt>
                <c:pt idx="11">
                  <c:v>32</c:v>
                </c:pt>
                <c:pt idx="12">
                  <c:v>79</c:v>
                </c:pt>
                <c:pt idx="13">
                  <c:v>39</c:v>
                </c:pt>
                <c:pt idx="14">
                  <c:v>69</c:v>
                </c:pt>
                <c:pt idx="1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D-4C25-8E59-DAE0868E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16752"/>
        <c:axId val="769815312"/>
      </c:scatterChart>
      <c:valAx>
        <c:axId val="7698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15312"/>
        <c:crosses val="autoZero"/>
        <c:crossBetween val="midCat"/>
      </c:valAx>
      <c:valAx>
        <c:axId val="7698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G-pk (std pts)</a:t>
            </a:r>
          </a:p>
        </c:rich>
      </c:tx>
      <c:layout>
        <c:manualLayout>
          <c:xMode val="edge"/>
          <c:yMode val="edge"/>
          <c:x val="0.45145057312562742"/>
          <c:y val="4.2462845010615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Tabelle1!$B$57:$B$72</c:f>
              <c:numCache>
                <c:formatCode>General</c:formatCode>
                <c:ptCount val="16"/>
                <c:pt idx="0">
                  <c:v>40</c:v>
                </c:pt>
                <c:pt idx="1">
                  <c:v>62</c:v>
                </c:pt>
                <c:pt idx="2">
                  <c:v>40</c:v>
                </c:pt>
                <c:pt idx="3">
                  <c:v>45</c:v>
                </c:pt>
                <c:pt idx="4">
                  <c:v>27</c:v>
                </c:pt>
                <c:pt idx="5">
                  <c:v>47</c:v>
                </c:pt>
                <c:pt idx="6">
                  <c:v>20</c:v>
                </c:pt>
                <c:pt idx="7">
                  <c:v>26</c:v>
                </c:pt>
                <c:pt idx="8">
                  <c:v>28</c:v>
                </c:pt>
                <c:pt idx="9">
                  <c:v>66</c:v>
                </c:pt>
                <c:pt idx="10">
                  <c:v>22</c:v>
                </c:pt>
                <c:pt idx="11">
                  <c:v>25</c:v>
                </c:pt>
                <c:pt idx="12">
                  <c:v>65</c:v>
                </c:pt>
                <c:pt idx="13">
                  <c:v>33</c:v>
                </c:pt>
                <c:pt idx="14">
                  <c:v>52</c:v>
                </c:pt>
                <c:pt idx="15">
                  <c:v>36</c:v>
                </c:pt>
              </c:numCache>
            </c:numRef>
          </c:xVal>
          <c:yVal>
            <c:numRef>
              <c:f>Tabelle1!$D$57:$D$72</c:f>
              <c:numCache>
                <c:formatCode>General</c:formatCode>
                <c:ptCount val="16"/>
                <c:pt idx="0">
                  <c:v>17</c:v>
                </c:pt>
                <c:pt idx="1">
                  <c:v>39</c:v>
                </c:pt>
                <c:pt idx="2">
                  <c:v>21</c:v>
                </c:pt>
                <c:pt idx="3">
                  <c:v>36</c:v>
                </c:pt>
                <c:pt idx="4">
                  <c:v>16</c:v>
                </c:pt>
                <c:pt idx="5">
                  <c:v>26</c:v>
                </c:pt>
                <c:pt idx="6">
                  <c:v>16</c:v>
                </c:pt>
                <c:pt idx="7">
                  <c:v>18</c:v>
                </c:pt>
                <c:pt idx="8">
                  <c:v>10</c:v>
                </c:pt>
                <c:pt idx="9">
                  <c:v>39</c:v>
                </c:pt>
                <c:pt idx="10">
                  <c:v>21</c:v>
                </c:pt>
                <c:pt idx="11">
                  <c:v>17</c:v>
                </c:pt>
                <c:pt idx="12">
                  <c:v>42</c:v>
                </c:pt>
                <c:pt idx="13">
                  <c:v>21</c:v>
                </c:pt>
                <c:pt idx="14">
                  <c:v>37</c:v>
                </c:pt>
                <c:pt idx="1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8-439E-9D41-96D83E58E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95632"/>
        <c:axId val="769816272"/>
      </c:scatterChart>
      <c:valAx>
        <c:axId val="7697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16272"/>
        <c:crosses val="autoZero"/>
        <c:crossBetween val="midCat"/>
      </c:valAx>
      <c:valAx>
        <c:axId val="7698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7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G+A-pk (std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Tabelle1!$B$57:$B$72</c:f>
              <c:numCache>
                <c:formatCode>General</c:formatCode>
                <c:ptCount val="16"/>
                <c:pt idx="0">
                  <c:v>40</c:v>
                </c:pt>
                <c:pt idx="1">
                  <c:v>62</c:v>
                </c:pt>
                <c:pt idx="2">
                  <c:v>40</c:v>
                </c:pt>
                <c:pt idx="3">
                  <c:v>45</c:v>
                </c:pt>
                <c:pt idx="4">
                  <c:v>27</c:v>
                </c:pt>
                <c:pt idx="5">
                  <c:v>47</c:v>
                </c:pt>
                <c:pt idx="6">
                  <c:v>20</c:v>
                </c:pt>
                <c:pt idx="7">
                  <c:v>26</c:v>
                </c:pt>
                <c:pt idx="8">
                  <c:v>28</c:v>
                </c:pt>
                <c:pt idx="9">
                  <c:v>66</c:v>
                </c:pt>
                <c:pt idx="10">
                  <c:v>22</c:v>
                </c:pt>
                <c:pt idx="11">
                  <c:v>25</c:v>
                </c:pt>
                <c:pt idx="12">
                  <c:v>65</c:v>
                </c:pt>
                <c:pt idx="13">
                  <c:v>33</c:v>
                </c:pt>
                <c:pt idx="14">
                  <c:v>52</c:v>
                </c:pt>
                <c:pt idx="15">
                  <c:v>36</c:v>
                </c:pt>
              </c:numCache>
            </c:numRef>
          </c:xVal>
          <c:yVal>
            <c:numRef>
              <c:f>Tabelle1!$E$57:$E$72</c:f>
              <c:numCache>
                <c:formatCode>General</c:formatCode>
                <c:ptCount val="16"/>
                <c:pt idx="0">
                  <c:v>97</c:v>
                </c:pt>
                <c:pt idx="1">
                  <c:v>240</c:v>
                </c:pt>
                <c:pt idx="2">
                  <c:v>127</c:v>
                </c:pt>
                <c:pt idx="3">
                  <c:v>220</c:v>
                </c:pt>
                <c:pt idx="4">
                  <c:v>100</c:v>
                </c:pt>
                <c:pt idx="5">
                  <c:v>163</c:v>
                </c:pt>
                <c:pt idx="6">
                  <c:v>93</c:v>
                </c:pt>
                <c:pt idx="7">
                  <c:v>97</c:v>
                </c:pt>
                <c:pt idx="8">
                  <c:v>67</c:v>
                </c:pt>
                <c:pt idx="9">
                  <c:v>243</c:v>
                </c:pt>
                <c:pt idx="10">
                  <c:v>107</c:v>
                </c:pt>
                <c:pt idx="11">
                  <c:v>90</c:v>
                </c:pt>
                <c:pt idx="12">
                  <c:v>250</c:v>
                </c:pt>
                <c:pt idx="13">
                  <c:v>120</c:v>
                </c:pt>
                <c:pt idx="14">
                  <c:v>217</c:v>
                </c:pt>
                <c:pt idx="15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A-413A-B180-D68E81CC2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14832"/>
        <c:axId val="769796592"/>
      </c:scatterChart>
      <c:valAx>
        <c:axId val="769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796592"/>
        <c:crosses val="autoZero"/>
        <c:crossBetween val="midCat"/>
      </c:valAx>
      <c:valAx>
        <c:axId val="7697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 G+A (std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Tabelle1!$B$57:$B$72</c:f>
              <c:numCache>
                <c:formatCode>General</c:formatCode>
                <c:ptCount val="16"/>
                <c:pt idx="0">
                  <c:v>40</c:v>
                </c:pt>
                <c:pt idx="1">
                  <c:v>62</c:v>
                </c:pt>
                <c:pt idx="2">
                  <c:v>40</c:v>
                </c:pt>
                <c:pt idx="3">
                  <c:v>45</c:v>
                </c:pt>
                <c:pt idx="4">
                  <c:v>27</c:v>
                </c:pt>
                <c:pt idx="5">
                  <c:v>47</c:v>
                </c:pt>
                <c:pt idx="6">
                  <c:v>20</c:v>
                </c:pt>
                <c:pt idx="7">
                  <c:v>26</c:v>
                </c:pt>
                <c:pt idx="8">
                  <c:v>28</c:v>
                </c:pt>
                <c:pt idx="9">
                  <c:v>66</c:v>
                </c:pt>
                <c:pt idx="10">
                  <c:v>22</c:v>
                </c:pt>
                <c:pt idx="11">
                  <c:v>25</c:v>
                </c:pt>
                <c:pt idx="12">
                  <c:v>65</c:v>
                </c:pt>
                <c:pt idx="13">
                  <c:v>33</c:v>
                </c:pt>
                <c:pt idx="14">
                  <c:v>52</c:v>
                </c:pt>
                <c:pt idx="15">
                  <c:v>36</c:v>
                </c:pt>
              </c:numCache>
            </c:numRef>
          </c:xVal>
          <c:yVal>
            <c:numRef>
              <c:f>Tabelle1!$G$57:$G$72</c:f>
              <c:numCache>
                <c:formatCode>General</c:formatCode>
                <c:ptCount val="16"/>
                <c:pt idx="0">
                  <c:v>9</c:v>
                </c:pt>
                <c:pt idx="1">
                  <c:v>47</c:v>
                </c:pt>
                <c:pt idx="2">
                  <c:v>-1</c:v>
                </c:pt>
                <c:pt idx="3">
                  <c:v>14</c:v>
                </c:pt>
                <c:pt idx="4">
                  <c:v>-30</c:v>
                </c:pt>
                <c:pt idx="5">
                  <c:v>28</c:v>
                </c:pt>
                <c:pt idx="6">
                  <c:v>-68</c:v>
                </c:pt>
                <c:pt idx="7">
                  <c:v>-32</c:v>
                </c:pt>
                <c:pt idx="8">
                  <c:v>-21</c:v>
                </c:pt>
                <c:pt idx="9">
                  <c:v>60</c:v>
                </c:pt>
                <c:pt idx="10">
                  <c:v>-24</c:v>
                </c:pt>
                <c:pt idx="11">
                  <c:v>-30</c:v>
                </c:pt>
                <c:pt idx="12">
                  <c:v>51</c:v>
                </c:pt>
                <c:pt idx="13">
                  <c:v>-18</c:v>
                </c:pt>
                <c:pt idx="14">
                  <c:v>15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6-4FB0-B3B3-E47CB3CB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54672"/>
        <c:axId val="769832112"/>
      </c:scatterChart>
      <c:valAx>
        <c:axId val="7698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32112"/>
        <c:crosses val="autoZero"/>
        <c:crossBetween val="midCat"/>
      </c:valAx>
      <c:valAx>
        <c:axId val="7698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 G-pk (std pts)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Tabelle1!$B$57:$B$72</c:f>
              <c:numCache>
                <c:formatCode>General</c:formatCode>
                <c:ptCount val="16"/>
                <c:pt idx="0">
                  <c:v>40</c:v>
                </c:pt>
                <c:pt idx="1">
                  <c:v>62</c:v>
                </c:pt>
                <c:pt idx="2">
                  <c:v>40</c:v>
                </c:pt>
                <c:pt idx="3">
                  <c:v>45</c:v>
                </c:pt>
                <c:pt idx="4">
                  <c:v>27</c:v>
                </c:pt>
                <c:pt idx="5">
                  <c:v>47</c:v>
                </c:pt>
                <c:pt idx="6">
                  <c:v>20</c:v>
                </c:pt>
                <c:pt idx="7">
                  <c:v>26</c:v>
                </c:pt>
                <c:pt idx="8">
                  <c:v>28</c:v>
                </c:pt>
                <c:pt idx="9">
                  <c:v>66</c:v>
                </c:pt>
                <c:pt idx="10">
                  <c:v>22</c:v>
                </c:pt>
                <c:pt idx="11">
                  <c:v>25</c:v>
                </c:pt>
                <c:pt idx="12">
                  <c:v>65</c:v>
                </c:pt>
                <c:pt idx="13">
                  <c:v>33</c:v>
                </c:pt>
                <c:pt idx="14">
                  <c:v>52</c:v>
                </c:pt>
                <c:pt idx="15">
                  <c:v>36</c:v>
                </c:pt>
              </c:numCache>
            </c:numRef>
          </c:xVal>
          <c:yVal>
            <c:numRef>
              <c:f>Tabelle1!$I$57:$I$72</c:f>
              <c:numCache>
                <c:formatCode>General</c:formatCode>
                <c:ptCount val="16"/>
                <c:pt idx="0">
                  <c:v>5</c:v>
                </c:pt>
                <c:pt idx="1">
                  <c:v>19</c:v>
                </c:pt>
                <c:pt idx="2">
                  <c:v>-1</c:v>
                </c:pt>
                <c:pt idx="3">
                  <c:v>6</c:v>
                </c:pt>
                <c:pt idx="4">
                  <c:v>-19</c:v>
                </c:pt>
                <c:pt idx="5">
                  <c:v>17</c:v>
                </c:pt>
                <c:pt idx="6">
                  <c:v>-35</c:v>
                </c:pt>
                <c:pt idx="7">
                  <c:v>-21</c:v>
                </c:pt>
                <c:pt idx="8">
                  <c:v>-11</c:v>
                </c:pt>
                <c:pt idx="9">
                  <c:v>28</c:v>
                </c:pt>
                <c:pt idx="10">
                  <c:v>-8</c:v>
                </c:pt>
                <c:pt idx="11">
                  <c:v>-12</c:v>
                </c:pt>
                <c:pt idx="12">
                  <c:v>27</c:v>
                </c:pt>
                <c:pt idx="13">
                  <c:v>-7</c:v>
                </c:pt>
                <c:pt idx="14">
                  <c:v>11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6-4C95-9584-32F48B743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54672"/>
        <c:axId val="769841232"/>
      </c:scatterChart>
      <c:valAx>
        <c:axId val="7698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41232"/>
        <c:crosses val="autoZero"/>
        <c:crossBetween val="midCat"/>
      </c:valAx>
      <c:valAx>
        <c:axId val="7698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</xdr:row>
      <xdr:rowOff>175260</xdr:rowOff>
    </xdr:from>
    <xdr:to>
      <xdr:col>17</xdr:col>
      <xdr:colOff>22860</xdr:colOff>
      <xdr:row>13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AFDA2E-5920-742D-F028-9D3227042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14</xdr:row>
      <xdr:rowOff>0</xdr:rowOff>
    </xdr:from>
    <xdr:to>
      <xdr:col>17</xdr:col>
      <xdr:colOff>0</xdr:colOff>
      <xdr:row>26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234E46-1259-E6E0-F068-A6BA44BB6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297180</xdr:colOff>
      <xdr:row>26</xdr:row>
      <xdr:rowOff>152400</xdr:rowOff>
    </xdr:from>
    <xdr:to>
      <xdr:col>16</xdr:col>
      <xdr:colOff>586740</xdr:colOff>
      <xdr:row>39</xdr:row>
      <xdr:rowOff>160020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754A7B-D5E1-BDCF-3403-878FA52DB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300990</xdr:colOff>
      <xdr:row>41</xdr:row>
      <xdr:rowOff>7620</xdr:rowOff>
    </xdr:from>
    <xdr:to>
      <xdr:col>17</xdr:col>
      <xdr:colOff>15240</xdr:colOff>
      <xdr:row>54</xdr:row>
      <xdr:rowOff>22860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C9028DD-3439-2708-F233-134CB5683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64770</xdr:colOff>
      <xdr:row>77</xdr:row>
      <xdr:rowOff>30480</xdr:rowOff>
    </xdr:from>
    <xdr:to>
      <xdr:col>4</xdr:col>
      <xdr:colOff>60960</xdr:colOff>
      <xdr:row>90</xdr:row>
      <xdr:rowOff>60960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E099125-1697-5C5A-35E1-80A7EBE7A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64770</xdr:colOff>
      <xdr:row>77</xdr:row>
      <xdr:rowOff>38100</xdr:rowOff>
    </xdr:from>
    <xdr:to>
      <xdr:col>9</xdr:col>
      <xdr:colOff>15240</xdr:colOff>
      <xdr:row>90</xdr:row>
      <xdr:rowOff>53340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A7090AA-A8C5-B97B-6F49-A34036D32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57150</xdr:colOff>
      <xdr:row>77</xdr:row>
      <xdr:rowOff>30480</xdr:rowOff>
    </xdr:from>
    <xdr:to>
      <xdr:col>14</xdr:col>
      <xdr:colOff>99060</xdr:colOff>
      <xdr:row>90</xdr:row>
      <xdr:rowOff>68580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305F079-9BDF-A073-AB2C-8B627998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49530</xdr:colOff>
      <xdr:row>76</xdr:row>
      <xdr:rowOff>175260</xdr:rowOff>
    </xdr:from>
    <xdr:to>
      <xdr:col>19</xdr:col>
      <xdr:colOff>22860</xdr:colOff>
      <xdr:row>90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6301920-038D-6D61-3087-96666588E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16326</xdr:colOff>
      <xdr:row>77</xdr:row>
      <xdr:rowOff>5443</xdr:rowOff>
    </xdr:from>
    <xdr:to>
      <xdr:col>23</xdr:col>
      <xdr:colOff>544285</xdr:colOff>
      <xdr:row>90</xdr:row>
      <xdr:rowOff>10886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BDD1D58-358C-A3FC-1938-F04D3305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571499</xdr:colOff>
      <xdr:row>76</xdr:row>
      <xdr:rowOff>168729</xdr:rowOff>
    </xdr:from>
    <xdr:to>
      <xdr:col>28</xdr:col>
      <xdr:colOff>555171</xdr:colOff>
      <xdr:row>90</xdr:row>
      <xdr:rowOff>10885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24CB208-CF0A-757B-5ABC-85AD006D4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59871</xdr:colOff>
      <xdr:row>94</xdr:row>
      <xdr:rowOff>48986</xdr:rowOff>
    </xdr:from>
    <xdr:to>
      <xdr:col>6</xdr:col>
      <xdr:colOff>168728</xdr:colOff>
      <xdr:row>109</xdr:row>
      <xdr:rowOff>16328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8FDB649-9064-D41E-7630-E34A0965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564776</xdr:colOff>
      <xdr:row>90</xdr:row>
      <xdr:rowOff>35859</xdr:rowOff>
    </xdr:from>
    <xdr:to>
      <xdr:col>19</xdr:col>
      <xdr:colOff>35857</xdr:colOff>
      <xdr:row>102</xdr:row>
      <xdr:rowOff>8965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0341123-8C8E-A29D-837D-D477A28D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16329</xdr:colOff>
      <xdr:row>90</xdr:row>
      <xdr:rowOff>43542</xdr:rowOff>
    </xdr:from>
    <xdr:to>
      <xdr:col>23</xdr:col>
      <xdr:colOff>598714</xdr:colOff>
      <xdr:row>102</xdr:row>
      <xdr:rowOff>32657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00C4BB8-0D7E-81A7-6406-2CE1E7DA9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604157</xdr:colOff>
      <xdr:row>90</xdr:row>
      <xdr:rowOff>32657</xdr:rowOff>
    </xdr:from>
    <xdr:to>
      <xdr:col>28</xdr:col>
      <xdr:colOff>576943</xdr:colOff>
      <xdr:row>102</xdr:row>
      <xdr:rowOff>65314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CF91C8C0-04A4-5F10-9786-E99A5623D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4"/>
  <sheetViews>
    <sheetView tabSelected="1" topLeftCell="A10" zoomScale="70" zoomScaleNormal="70" workbookViewId="0">
      <selection activeCell="AG89" sqref="AG89"/>
    </sheetView>
  </sheetViews>
  <sheetFormatPr defaultRowHeight="14.4" x14ac:dyDescent="0.3"/>
  <cols>
    <col min="1" max="1" width="10.88671875" customWidth="1"/>
    <col min="2" max="2" width="10.109375" customWidth="1"/>
    <col min="3" max="3" width="14.88671875" customWidth="1"/>
    <col min="4" max="4" width="11.21875" customWidth="1"/>
  </cols>
  <sheetData>
    <row r="1" spans="1:29" x14ac:dyDescent="0.3">
      <c r="A1" s="3" t="s">
        <v>0</v>
      </c>
      <c r="B1" s="3" t="s">
        <v>1</v>
      </c>
      <c r="C1" s="3" t="s">
        <v>2</v>
      </c>
      <c r="D1" s="3" t="s">
        <v>3</v>
      </c>
      <c r="G1" s="3" t="s">
        <v>7</v>
      </c>
      <c r="H1" s="3" t="s">
        <v>27</v>
      </c>
      <c r="J1" t="s">
        <v>21</v>
      </c>
      <c r="AC1" s="8"/>
    </row>
    <row r="2" spans="1:29" x14ac:dyDescent="0.3">
      <c r="A2">
        <f>-10/28</f>
        <v>-0.35714285714285715</v>
      </c>
      <c r="B2">
        <v>-0.5</v>
      </c>
      <c r="C2">
        <f>-4/14</f>
        <v>-0.2857142857142857</v>
      </c>
      <c r="D2">
        <f>-2/28</f>
        <v>-7.1428571428571425E-2</v>
      </c>
      <c r="E2" t="s">
        <v>6</v>
      </c>
      <c r="F2" t="s">
        <v>16</v>
      </c>
      <c r="G2">
        <v>1</v>
      </c>
      <c r="H2" s="4">
        <f>AVERAGE(A2:D2)</f>
        <v>-0.30357142857142855</v>
      </c>
      <c r="I2" s="2">
        <v>44682</v>
      </c>
    </row>
    <row r="3" spans="1:29" x14ac:dyDescent="0.3">
      <c r="A3">
        <f>-11/28</f>
        <v>-0.39285714285714285</v>
      </c>
      <c r="B3">
        <f>-1/8</f>
        <v>-0.125</v>
      </c>
      <c r="C3">
        <f>-3/14</f>
        <v>-0.21428571428571427</v>
      </c>
      <c r="D3">
        <f>-8/28</f>
        <v>-0.2857142857142857</v>
      </c>
      <c r="E3" t="s">
        <v>11</v>
      </c>
      <c r="F3" t="s">
        <v>17</v>
      </c>
      <c r="G3">
        <v>-1</v>
      </c>
      <c r="H3" s="4">
        <f>AVERAGE(A3:D3)</f>
        <v>-0.2544642857142857</v>
      </c>
      <c r="J3" t="s">
        <v>0</v>
      </c>
    </row>
    <row r="4" spans="1:29" x14ac:dyDescent="0.3">
      <c r="A4">
        <f>(55-19)/28</f>
        <v>1.2857142857142858</v>
      </c>
      <c r="B4" s="1">
        <f>1/4</f>
        <v>0.25</v>
      </c>
      <c r="C4">
        <f>24/14</f>
        <v>1.7142857142857142</v>
      </c>
      <c r="D4">
        <f>(18+25)/18</f>
        <v>2.3888888888888888</v>
      </c>
      <c r="E4" t="s">
        <v>12</v>
      </c>
      <c r="F4" t="s">
        <v>18</v>
      </c>
      <c r="G4">
        <v>1</v>
      </c>
      <c r="H4" s="4">
        <f t="shared" ref="H4:H15" si="0">AVERAGE(A4:D4)</f>
        <v>1.4097222222222223</v>
      </c>
    </row>
    <row r="5" spans="1:29" x14ac:dyDescent="0.3">
      <c r="A5">
        <f>(47/29)-(20/28)</f>
        <v>0.9064039408866994</v>
      </c>
      <c r="B5">
        <v>1</v>
      </c>
      <c r="C5">
        <f>(34-9)/14</f>
        <v>1.7857142857142858</v>
      </c>
      <c r="D5">
        <f>1+(21/28)</f>
        <v>1.75</v>
      </c>
      <c r="E5" t="s">
        <v>13</v>
      </c>
      <c r="F5" t="s">
        <v>19</v>
      </c>
      <c r="G5">
        <v>0</v>
      </c>
      <c r="H5" s="4">
        <f t="shared" si="0"/>
        <v>1.3605295566502462</v>
      </c>
      <c r="J5">
        <f>CORREL(A2:A15,G2:G15)</f>
        <v>0.6683428691721347</v>
      </c>
    </row>
    <row r="6" spans="1:29" x14ac:dyDescent="0.3">
      <c r="A6">
        <f>(34/28)-(44/29)</f>
        <v>-0.30295566502463056</v>
      </c>
      <c r="B6">
        <f>-6/8</f>
        <v>-0.75</v>
      </c>
      <c r="C6">
        <f>(11-21)/14</f>
        <v>-0.7142857142857143</v>
      </c>
      <c r="D6">
        <f>(-1/28)-(10/29)</f>
        <v>-0.38054187192118227</v>
      </c>
      <c r="E6" t="s">
        <v>14</v>
      </c>
      <c r="F6" t="s">
        <v>20</v>
      </c>
      <c r="G6">
        <v>0</v>
      </c>
      <c r="H6" s="4">
        <f t="shared" si="0"/>
        <v>-0.53694581280788178</v>
      </c>
    </row>
    <row r="7" spans="1:29" x14ac:dyDescent="0.3">
      <c r="A7">
        <f>(33/29)-(26/28)</f>
        <v>0.20935960591133007</v>
      </c>
      <c r="B7">
        <f>-3/8</f>
        <v>-0.375</v>
      </c>
      <c r="C7">
        <f>9/14</f>
        <v>0.6428571428571429</v>
      </c>
      <c r="D7">
        <f>(-7/29)-(-7/28)</f>
        <v>8.6206896551724033E-3</v>
      </c>
      <c r="E7" t="s">
        <v>5</v>
      </c>
      <c r="F7" t="s">
        <v>10</v>
      </c>
      <c r="G7">
        <v>-1</v>
      </c>
      <c r="H7" s="4">
        <f t="shared" si="0"/>
        <v>0.12145935960591134</v>
      </c>
    </row>
    <row r="8" spans="1:29" x14ac:dyDescent="0.3">
      <c r="A8">
        <f>0.87-1.39</f>
        <v>-0.51999999999999991</v>
      </c>
      <c r="B8">
        <f>1.13-1.5</f>
        <v>-0.37000000000000011</v>
      </c>
      <c r="C8">
        <f>2/11</f>
        <v>0.18181818181818182</v>
      </c>
      <c r="D8">
        <f>(-7-5)/23</f>
        <v>-0.52173913043478259</v>
      </c>
      <c r="E8" t="s">
        <v>26</v>
      </c>
      <c r="F8" t="s">
        <v>4</v>
      </c>
      <c r="G8">
        <v>0</v>
      </c>
      <c r="H8" s="4">
        <f t="shared" si="0"/>
        <v>-0.30748023715415018</v>
      </c>
      <c r="I8" s="2">
        <v>44986</v>
      </c>
    </row>
    <row r="9" spans="1:29" x14ac:dyDescent="0.3">
      <c r="A9">
        <f>1.04-1.13</f>
        <v>-8.9999999999999858E-2</v>
      </c>
      <c r="B9">
        <v>0</v>
      </c>
      <c r="C9">
        <f>(18/11)-(16/11)</f>
        <v>0.18181818181818188</v>
      </c>
      <c r="D9">
        <f>-2/23</f>
        <v>-8.6956521739130432E-2</v>
      </c>
      <c r="E9" t="s">
        <v>23</v>
      </c>
      <c r="F9" t="s">
        <v>11</v>
      </c>
      <c r="G9">
        <v>-1</v>
      </c>
      <c r="H9" s="4">
        <f t="shared" si="0"/>
        <v>1.2154150197628971E-3</v>
      </c>
    </row>
    <row r="10" spans="1:29" x14ac:dyDescent="0.3">
      <c r="A10">
        <f>0.57-1.57</f>
        <v>-1</v>
      </c>
      <c r="B10">
        <f>0.5-1.75</f>
        <v>-1.25</v>
      </c>
      <c r="C10">
        <f>(8/11)-(18/11)</f>
        <v>-0.90909090909090917</v>
      </c>
      <c r="D10">
        <f>(-34-5)/23</f>
        <v>-1.6956521739130435</v>
      </c>
      <c r="E10" t="s">
        <v>24</v>
      </c>
      <c r="F10" t="s">
        <v>10</v>
      </c>
      <c r="G10">
        <v>-1</v>
      </c>
      <c r="H10" s="4">
        <f t="shared" si="0"/>
        <v>-1.2136857707509883</v>
      </c>
    </row>
    <row r="11" spans="1:29" x14ac:dyDescent="0.3">
      <c r="A11">
        <f>-0.22</f>
        <v>-0.22</v>
      </c>
      <c r="B11">
        <v>-0.12</v>
      </c>
      <c r="C11">
        <f>1/11</f>
        <v>9.0909090909090912E-2</v>
      </c>
      <c r="D11">
        <f>-6/23</f>
        <v>-0.2608695652173913</v>
      </c>
      <c r="E11" t="s">
        <v>14</v>
      </c>
      <c r="F11" t="s">
        <v>6</v>
      </c>
      <c r="G11">
        <v>-1</v>
      </c>
      <c r="H11" s="4">
        <f t="shared" si="0"/>
        <v>-0.1274901185770751</v>
      </c>
    </row>
    <row r="12" spans="1:29" x14ac:dyDescent="0.3">
      <c r="A12">
        <f>2.13-0.57</f>
        <v>1.56</v>
      </c>
      <c r="B12">
        <f>2.75-0.38</f>
        <v>2.37</v>
      </c>
      <c r="C12">
        <f>(26-9)/11</f>
        <v>1.5454545454545454</v>
      </c>
      <c r="D12">
        <f>(-19-22)/23</f>
        <v>-1.7826086956521738</v>
      </c>
      <c r="E12" t="s">
        <v>9</v>
      </c>
      <c r="F12" t="s">
        <v>8</v>
      </c>
      <c r="G12">
        <v>1</v>
      </c>
      <c r="H12" s="4">
        <f t="shared" si="0"/>
        <v>0.92321146245059293</v>
      </c>
    </row>
    <row r="13" spans="1:29" x14ac:dyDescent="0.3">
      <c r="A13">
        <v>0.83</v>
      </c>
      <c r="B13">
        <f>1.38-0.13</f>
        <v>1.25</v>
      </c>
      <c r="C13">
        <f>13/11</f>
        <v>1.1818181818181819</v>
      </c>
      <c r="D13">
        <f>21/23</f>
        <v>0.91304347826086951</v>
      </c>
      <c r="E13" t="s">
        <v>13</v>
      </c>
      <c r="F13" t="s">
        <v>15</v>
      </c>
      <c r="G13">
        <v>1</v>
      </c>
      <c r="H13" s="4">
        <f t="shared" si="0"/>
        <v>1.0437154150197627</v>
      </c>
    </row>
    <row r="14" spans="1:29" x14ac:dyDescent="0.3">
      <c r="A14">
        <v>-0.7</v>
      </c>
      <c r="B14">
        <v>-1</v>
      </c>
      <c r="C14">
        <f>-2/11</f>
        <v>-0.18181818181818182</v>
      </c>
      <c r="D14">
        <f>(-6-10)/23</f>
        <v>-0.69565217391304346</v>
      </c>
      <c r="E14" t="s">
        <v>5</v>
      </c>
      <c r="F14" t="s">
        <v>17</v>
      </c>
      <c r="G14">
        <v>-1</v>
      </c>
      <c r="H14" s="4">
        <f t="shared" si="0"/>
        <v>-0.64436758893280632</v>
      </c>
    </row>
    <row r="15" spans="1:29" x14ac:dyDescent="0.3">
      <c r="A15">
        <f>1.61-1.96</f>
        <v>-0.34999999999999987</v>
      </c>
      <c r="B15">
        <f>1.88-1.63</f>
        <v>0.25</v>
      </c>
      <c r="C15">
        <f>-3/11</f>
        <v>-0.27272727272727271</v>
      </c>
      <c r="D15">
        <f>(12-17)/23</f>
        <v>-0.21739130434782608</v>
      </c>
      <c r="E15" t="s">
        <v>25</v>
      </c>
      <c r="F15" t="s">
        <v>12</v>
      </c>
      <c r="G15">
        <v>-1</v>
      </c>
      <c r="H15" s="4">
        <f t="shared" si="0"/>
        <v>-0.14752964426877466</v>
      </c>
      <c r="J15" t="s">
        <v>1</v>
      </c>
    </row>
    <row r="17" spans="3:10" x14ac:dyDescent="0.3">
      <c r="C17" s="3" t="s">
        <v>48</v>
      </c>
      <c r="D17" s="3" t="s">
        <v>49</v>
      </c>
      <c r="J17">
        <f>CORREL(B2:B15,G2:G15)</f>
        <v>0.55035883161081789</v>
      </c>
    </row>
    <row r="18" spans="3:10" x14ac:dyDescent="0.3">
      <c r="C18">
        <f>AVERAGE(B2,C2)</f>
        <v>-0.39285714285714285</v>
      </c>
      <c r="D18">
        <f>CORREL(C18:C31,G2:G15)</f>
        <v>0.58853839520496787</v>
      </c>
    </row>
    <row r="19" spans="3:10" x14ac:dyDescent="0.3">
      <c r="C19">
        <f>AVERAGE(B3,C3)</f>
        <v>-0.16964285714285715</v>
      </c>
    </row>
    <row r="20" spans="3:10" x14ac:dyDescent="0.3">
      <c r="C20">
        <f t="shared" ref="C20:C31" si="1">AVERAGE(B4,C4)</f>
        <v>0.9821428571428571</v>
      </c>
    </row>
    <row r="21" spans="3:10" x14ac:dyDescent="0.3">
      <c r="C21">
        <f t="shared" si="1"/>
        <v>1.3928571428571428</v>
      </c>
    </row>
    <row r="22" spans="3:10" x14ac:dyDescent="0.3">
      <c r="C22">
        <f t="shared" si="1"/>
        <v>-0.73214285714285721</v>
      </c>
    </row>
    <row r="23" spans="3:10" x14ac:dyDescent="0.3">
      <c r="C23">
        <f t="shared" si="1"/>
        <v>0.13392857142857145</v>
      </c>
    </row>
    <row r="24" spans="3:10" x14ac:dyDescent="0.3">
      <c r="C24">
        <f t="shared" si="1"/>
        <v>-9.4090909090909142E-2</v>
      </c>
    </row>
    <row r="25" spans="3:10" x14ac:dyDescent="0.3">
      <c r="C25">
        <f t="shared" si="1"/>
        <v>9.0909090909090939E-2</v>
      </c>
    </row>
    <row r="26" spans="3:10" x14ac:dyDescent="0.3">
      <c r="C26">
        <f t="shared" si="1"/>
        <v>-1.0795454545454546</v>
      </c>
    </row>
    <row r="27" spans="3:10" x14ac:dyDescent="0.3">
      <c r="C27">
        <f t="shared" si="1"/>
        <v>-1.4545454545454542E-2</v>
      </c>
    </row>
    <row r="28" spans="3:10" x14ac:dyDescent="0.3">
      <c r="C28">
        <f t="shared" si="1"/>
        <v>1.9577272727272728</v>
      </c>
      <c r="J28" t="s">
        <v>22</v>
      </c>
    </row>
    <row r="29" spans="3:10" x14ac:dyDescent="0.3">
      <c r="C29">
        <f t="shared" si="1"/>
        <v>1.2159090909090908</v>
      </c>
    </row>
    <row r="30" spans="3:10" x14ac:dyDescent="0.3">
      <c r="C30">
        <f t="shared" si="1"/>
        <v>-0.59090909090909094</v>
      </c>
      <c r="J30">
        <f>CORREL(C2:C15,G2:G15)</f>
        <v>0.56326529804668901</v>
      </c>
    </row>
    <row r="31" spans="3:10" x14ac:dyDescent="0.3">
      <c r="C31">
        <f t="shared" si="1"/>
        <v>-1.1363636363636354E-2</v>
      </c>
    </row>
    <row r="33" spans="3:10" x14ac:dyDescent="0.3">
      <c r="C33" s="3" t="s">
        <v>50</v>
      </c>
      <c r="D33" s="3" t="s">
        <v>49</v>
      </c>
    </row>
    <row r="34" spans="3:10" x14ac:dyDescent="0.3">
      <c r="C34">
        <f>AVERAGE(B2,C2)*D2</f>
        <v>2.8061224489795915E-2</v>
      </c>
      <c r="D34">
        <f>CORREL(C34:C47,G2:G15)</f>
        <v>-7.3023531470641626E-2</v>
      </c>
    </row>
    <row r="35" spans="3:10" x14ac:dyDescent="0.3">
      <c r="C35">
        <f>AVERAGE(B3,C3)*D3</f>
        <v>4.8469387755102039E-2</v>
      </c>
    </row>
    <row r="36" spans="3:10" x14ac:dyDescent="0.3">
      <c r="C36">
        <f t="shared" ref="C36:C47" si="2">AVERAGE(B4,C4)*D4</f>
        <v>2.3462301587301586</v>
      </c>
    </row>
    <row r="37" spans="3:10" x14ac:dyDescent="0.3">
      <c r="C37">
        <f t="shared" si="2"/>
        <v>2.4375</v>
      </c>
    </row>
    <row r="38" spans="3:10" x14ac:dyDescent="0.3">
      <c r="C38">
        <f t="shared" si="2"/>
        <v>0.27861101337086563</v>
      </c>
    </row>
    <row r="39" spans="3:10" x14ac:dyDescent="0.3">
      <c r="C39">
        <f t="shared" si="2"/>
        <v>1.1545566502463042E-3</v>
      </c>
    </row>
    <row r="40" spans="3:10" x14ac:dyDescent="0.3">
      <c r="C40">
        <f t="shared" si="2"/>
        <v>4.9090909090909116E-2</v>
      </c>
    </row>
    <row r="41" spans="3:10" x14ac:dyDescent="0.3">
      <c r="C41">
        <f t="shared" si="2"/>
        <v>-7.9051383399209516E-3</v>
      </c>
    </row>
    <row r="42" spans="3:10" x14ac:dyDescent="0.3">
      <c r="C42">
        <f t="shared" si="2"/>
        <v>1.8305335968379448</v>
      </c>
      <c r="J42" t="s">
        <v>3</v>
      </c>
    </row>
    <row r="43" spans="3:10" x14ac:dyDescent="0.3">
      <c r="C43">
        <f t="shared" si="2"/>
        <v>3.7944664031620543E-3</v>
      </c>
    </row>
    <row r="44" spans="3:10" x14ac:dyDescent="0.3">
      <c r="C44">
        <f t="shared" si="2"/>
        <v>-3.4898616600790513</v>
      </c>
      <c r="J44">
        <f>CORREL(D2:D15,G2:G15)</f>
        <v>0.34064471575228422</v>
      </c>
    </row>
    <row r="45" spans="3:10" x14ac:dyDescent="0.3">
      <c r="C45">
        <f t="shared" si="2"/>
        <v>1.110177865612648</v>
      </c>
    </row>
    <row r="46" spans="3:10" x14ac:dyDescent="0.3">
      <c r="C46">
        <f t="shared" si="2"/>
        <v>0.41106719367588934</v>
      </c>
    </row>
    <row r="47" spans="3:10" x14ac:dyDescent="0.3">
      <c r="C47">
        <f t="shared" si="2"/>
        <v>2.4703557312252943E-3</v>
      </c>
    </row>
    <row r="56" spans="1:15" x14ac:dyDescent="0.3">
      <c r="A56" s="3" t="s">
        <v>28</v>
      </c>
      <c r="B56" s="3" t="s">
        <v>29</v>
      </c>
      <c r="C56" s="3" t="s">
        <v>30</v>
      </c>
      <c r="D56" s="3" t="s">
        <v>31</v>
      </c>
      <c r="E56" s="3" t="s">
        <v>32</v>
      </c>
      <c r="F56" s="3"/>
      <c r="G56" s="3" t="s">
        <v>33</v>
      </c>
      <c r="H56" s="3"/>
      <c r="I56" s="3" t="s">
        <v>34</v>
      </c>
      <c r="J56" s="3"/>
      <c r="K56" s="3" t="s">
        <v>35</v>
      </c>
      <c r="M56" s="3" t="s">
        <v>51</v>
      </c>
      <c r="O56" s="3" t="s">
        <v>54</v>
      </c>
    </row>
    <row r="57" spans="1:15" x14ac:dyDescent="0.3">
      <c r="A57" t="s">
        <v>4</v>
      </c>
      <c r="B57">
        <v>40</v>
      </c>
      <c r="C57">
        <v>32</v>
      </c>
      <c r="D57">
        <v>17</v>
      </c>
      <c r="E57">
        <v>97</v>
      </c>
      <c r="F57">
        <v>23</v>
      </c>
      <c r="G57">
        <f>C57-F57</f>
        <v>9</v>
      </c>
      <c r="H57">
        <v>12</v>
      </c>
      <c r="I57">
        <f>D57-H57</f>
        <v>5</v>
      </c>
      <c r="J57">
        <v>67</v>
      </c>
      <c r="K57">
        <f>E57-J57</f>
        <v>30</v>
      </c>
      <c r="M57">
        <v>-17</v>
      </c>
      <c r="O57">
        <v>32</v>
      </c>
    </row>
    <row r="58" spans="1:15" x14ac:dyDescent="0.3">
      <c r="A58" t="s">
        <v>36</v>
      </c>
      <c r="B58">
        <v>62</v>
      </c>
      <c r="C58">
        <v>82</v>
      </c>
      <c r="D58">
        <v>39</v>
      </c>
      <c r="E58">
        <v>240</v>
      </c>
      <c r="F58">
        <v>35</v>
      </c>
      <c r="G58">
        <f>C58-F58</f>
        <v>47</v>
      </c>
      <c r="H58">
        <v>20</v>
      </c>
      <c r="I58">
        <f>D58-H58</f>
        <v>19</v>
      </c>
      <c r="J58">
        <v>110</v>
      </c>
      <c r="K58">
        <f>E58-J58</f>
        <v>130</v>
      </c>
      <c r="M58">
        <v>73</v>
      </c>
      <c r="O58">
        <v>44</v>
      </c>
    </row>
    <row r="59" spans="1:15" x14ac:dyDescent="0.3">
      <c r="A59" t="s">
        <v>6</v>
      </c>
      <c r="B59">
        <v>40</v>
      </c>
      <c r="C59">
        <v>43</v>
      </c>
      <c r="D59">
        <v>21</v>
      </c>
      <c r="E59">
        <v>127</v>
      </c>
      <c r="F59">
        <v>44</v>
      </c>
      <c r="G59">
        <f t="shared" ref="G59:G72" si="3">C59-F59</f>
        <v>-1</v>
      </c>
      <c r="H59">
        <v>22</v>
      </c>
      <c r="I59">
        <f t="shared" ref="I59:I72" si="4">D59-H59</f>
        <v>-1</v>
      </c>
      <c r="J59">
        <v>140</v>
      </c>
      <c r="K59">
        <f t="shared" ref="K59:K72" si="5">E59-J59</f>
        <v>-13</v>
      </c>
      <c r="M59">
        <v>-2</v>
      </c>
      <c r="O59">
        <v>31</v>
      </c>
    </row>
    <row r="60" spans="1:15" x14ac:dyDescent="0.3">
      <c r="A60" t="s">
        <v>37</v>
      </c>
      <c r="B60">
        <v>45</v>
      </c>
      <c r="C60">
        <v>68</v>
      </c>
      <c r="D60">
        <v>36</v>
      </c>
      <c r="E60">
        <v>220</v>
      </c>
      <c r="F60">
        <v>54</v>
      </c>
      <c r="G60">
        <f t="shared" si="3"/>
        <v>14</v>
      </c>
      <c r="H60">
        <v>30</v>
      </c>
      <c r="I60">
        <f t="shared" si="4"/>
        <v>6</v>
      </c>
      <c r="J60">
        <v>163</v>
      </c>
      <c r="K60">
        <f t="shared" si="5"/>
        <v>57</v>
      </c>
      <c r="M60">
        <v>1</v>
      </c>
      <c r="O60">
        <v>33</v>
      </c>
    </row>
    <row r="61" spans="1:15" x14ac:dyDescent="0.3">
      <c r="A61" t="s">
        <v>38</v>
      </c>
      <c r="B61">
        <v>27</v>
      </c>
      <c r="C61">
        <v>35</v>
      </c>
      <c r="D61">
        <v>16</v>
      </c>
      <c r="E61">
        <v>100</v>
      </c>
      <c r="F61">
        <v>65</v>
      </c>
      <c r="G61">
        <f t="shared" si="3"/>
        <v>-30</v>
      </c>
      <c r="H61">
        <v>35</v>
      </c>
      <c r="I61">
        <f t="shared" si="4"/>
        <v>-19</v>
      </c>
      <c r="J61">
        <v>207</v>
      </c>
      <c r="K61">
        <f t="shared" si="5"/>
        <v>-107</v>
      </c>
      <c r="M61">
        <v>-73</v>
      </c>
      <c r="O61">
        <v>22</v>
      </c>
    </row>
    <row r="62" spans="1:15" x14ac:dyDescent="0.3">
      <c r="A62" t="s">
        <v>39</v>
      </c>
      <c r="B62">
        <v>47</v>
      </c>
      <c r="C62">
        <v>51</v>
      </c>
      <c r="D62">
        <v>26</v>
      </c>
      <c r="E62">
        <v>163</v>
      </c>
      <c r="F62">
        <v>23</v>
      </c>
      <c r="G62">
        <f t="shared" si="3"/>
        <v>28</v>
      </c>
      <c r="H62">
        <v>9</v>
      </c>
      <c r="I62">
        <f t="shared" si="4"/>
        <v>17</v>
      </c>
      <c r="J62">
        <v>57</v>
      </c>
      <c r="K62">
        <f t="shared" si="5"/>
        <v>106</v>
      </c>
      <c r="M62">
        <v>7</v>
      </c>
      <c r="O62">
        <v>36</v>
      </c>
    </row>
    <row r="63" spans="1:15" x14ac:dyDescent="0.3">
      <c r="A63" t="s">
        <v>40</v>
      </c>
      <c r="B63">
        <v>20</v>
      </c>
      <c r="C63">
        <v>33</v>
      </c>
      <c r="D63">
        <v>16</v>
      </c>
      <c r="E63">
        <v>93</v>
      </c>
      <c r="F63">
        <v>101</v>
      </c>
      <c r="G63">
        <f t="shared" si="3"/>
        <v>-68</v>
      </c>
      <c r="H63">
        <v>51</v>
      </c>
      <c r="I63">
        <f t="shared" si="4"/>
        <v>-35</v>
      </c>
      <c r="J63">
        <v>317</v>
      </c>
      <c r="K63">
        <f t="shared" si="5"/>
        <v>-224</v>
      </c>
      <c r="M63">
        <v>-21</v>
      </c>
      <c r="O63">
        <v>16</v>
      </c>
    </row>
    <row r="64" spans="1:15" x14ac:dyDescent="0.3">
      <c r="A64" t="s">
        <v>55</v>
      </c>
      <c r="B64">
        <v>26</v>
      </c>
      <c r="C64">
        <v>37</v>
      </c>
      <c r="D64">
        <v>18</v>
      </c>
      <c r="E64">
        <v>97</v>
      </c>
      <c r="F64">
        <v>69</v>
      </c>
      <c r="G64">
        <f t="shared" si="3"/>
        <v>-32</v>
      </c>
      <c r="H64">
        <v>39</v>
      </c>
      <c r="I64">
        <f t="shared" si="4"/>
        <v>-21</v>
      </c>
      <c r="J64">
        <v>213</v>
      </c>
      <c r="K64">
        <f t="shared" si="5"/>
        <v>-116</v>
      </c>
      <c r="M64">
        <v>-21</v>
      </c>
      <c r="O64">
        <v>21</v>
      </c>
    </row>
    <row r="65" spans="1:26" x14ac:dyDescent="0.3">
      <c r="A65" t="s">
        <v>41</v>
      </c>
      <c r="B65">
        <v>28</v>
      </c>
      <c r="C65">
        <v>22</v>
      </c>
      <c r="D65">
        <v>10</v>
      </c>
      <c r="E65">
        <v>67</v>
      </c>
      <c r="F65">
        <v>43</v>
      </c>
      <c r="G65">
        <f t="shared" si="3"/>
        <v>-21</v>
      </c>
      <c r="H65">
        <v>21</v>
      </c>
      <c r="I65">
        <f t="shared" si="4"/>
        <v>-11</v>
      </c>
      <c r="J65">
        <v>120</v>
      </c>
      <c r="K65">
        <f t="shared" si="5"/>
        <v>-53</v>
      </c>
      <c r="M65">
        <v>9</v>
      </c>
      <c r="O65">
        <v>23</v>
      </c>
    </row>
    <row r="66" spans="1:26" x14ac:dyDescent="0.3">
      <c r="A66" t="s">
        <v>42</v>
      </c>
      <c r="B66">
        <v>66</v>
      </c>
      <c r="C66">
        <v>80</v>
      </c>
      <c r="D66">
        <v>39</v>
      </c>
      <c r="E66">
        <v>243</v>
      </c>
      <c r="F66">
        <v>20</v>
      </c>
      <c r="G66">
        <f t="shared" si="3"/>
        <v>60</v>
      </c>
      <c r="H66">
        <v>11</v>
      </c>
      <c r="I66">
        <f t="shared" si="4"/>
        <v>28</v>
      </c>
      <c r="J66">
        <v>60</v>
      </c>
      <c r="K66">
        <f t="shared" si="5"/>
        <v>183</v>
      </c>
      <c r="M66">
        <v>36</v>
      </c>
      <c r="O66">
        <v>46</v>
      </c>
    </row>
    <row r="67" spans="1:26" x14ac:dyDescent="0.3">
      <c r="A67" t="s">
        <v>43</v>
      </c>
      <c r="B67">
        <v>22</v>
      </c>
      <c r="C67">
        <v>34</v>
      </c>
      <c r="D67">
        <v>21</v>
      </c>
      <c r="E67">
        <v>107</v>
      </c>
      <c r="F67">
        <v>58</v>
      </c>
      <c r="G67">
        <f t="shared" si="3"/>
        <v>-24</v>
      </c>
      <c r="H67">
        <v>29</v>
      </c>
      <c r="I67">
        <f t="shared" si="4"/>
        <v>-8</v>
      </c>
      <c r="J67">
        <v>180</v>
      </c>
      <c r="K67">
        <f t="shared" si="5"/>
        <v>-73</v>
      </c>
      <c r="M67">
        <v>-68</v>
      </c>
      <c r="O67">
        <v>18</v>
      </c>
    </row>
    <row r="68" spans="1:26" x14ac:dyDescent="0.3">
      <c r="A68" t="s">
        <v>44</v>
      </c>
      <c r="B68">
        <v>25</v>
      </c>
      <c r="C68">
        <v>32</v>
      </c>
      <c r="D68">
        <v>17</v>
      </c>
      <c r="E68">
        <v>90</v>
      </c>
      <c r="F68">
        <v>62</v>
      </c>
      <c r="G68">
        <f t="shared" si="3"/>
        <v>-30</v>
      </c>
      <c r="H68">
        <v>29</v>
      </c>
      <c r="I68">
        <f t="shared" si="4"/>
        <v>-12</v>
      </c>
      <c r="J68">
        <v>283</v>
      </c>
      <c r="K68">
        <f t="shared" si="5"/>
        <v>-193</v>
      </c>
      <c r="M68">
        <v>-10</v>
      </c>
      <c r="O68">
        <v>20</v>
      </c>
    </row>
    <row r="69" spans="1:26" x14ac:dyDescent="0.3">
      <c r="A69" t="s">
        <v>45</v>
      </c>
      <c r="B69">
        <v>65</v>
      </c>
      <c r="C69">
        <v>79</v>
      </c>
      <c r="D69">
        <v>42</v>
      </c>
      <c r="E69">
        <v>250</v>
      </c>
      <c r="F69">
        <v>28</v>
      </c>
      <c r="G69">
        <f t="shared" si="3"/>
        <v>51</v>
      </c>
      <c r="H69">
        <v>15</v>
      </c>
      <c r="I69">
        <f t="shared" si="4"/>
        <v>27</v>
      </c>
      <c r="J69">
        <v>90</v>
      </c>
      <c r="K69">
        <f t="shared" si="5"/>
        <v>160</v>
      </c>
      <c r="M69">
        <v>31</v>
      </c>
      <c r="O69">
        <v>46</v>
      </c>
    </row>
    <row r="70" spans="1:26" x14ac:dyDescent="0.3">
      <c r="A70" t="s">
        <v>52</v>
      </c>
      <c r="B70">
        <v>33</v>
      </c>
      <c r="C70">
        <v>39</v>
      </c>
      <c r="D70">
        <v>21</v>
      </c>
      <c r="E70">
        <v>120</v>
      </c>
      <c r="F70">
        <v>57</v>
      </c>
      <c r="G70">
        <f t="shared" si="3"/>
        <v>-18</v>
      </c>
      <c r="H70">
        <v>28</v>
      </c>
      <c r="I70">
        <f t="shared" si="4"/>
        <v>-7</v>
      </c>
      <c r="J70">
        <v>170</v>
      </c>
      <c r="K70">
        <f t="shared" si="5"/>
        <v>-50</v>
      </c>
      <c r="M70">
        <v>-35</v>
      </c>
      <c r="O70">
        <v>26</v>
      </c>
    </row>
    <row r="71" spans="1:26" x14ac:dyDescent="0.3">
      <c r="A71" t="s">
        <v>46</v>
      </c>
      <c r="B71">
        <v>52</v>
      </c>
      <c r="C71">
        <v>69</v>
      </c>
      <c r="D71">
        <v>37</v>
      </c>
      <c r="E71">
        <v>217</v>
      </c>
      <c r="F71">
        <v>54</v>
      </c>
      <c r="G71">
        <f t="shared" si="3"/>
        <v>15</v>
      </c>
      <c r="H71">
        <v>26</v>
      </c>
      <c r="I71">
        <f t="shared" si="4"/>
        <v>11</v>
      </c>
      <c r="J71">
        <v>157</v>
      </c>
      <c r="K71">
        <f t="shared" si="5"/>
        <v>60</v>
      </c>
      <c r="M71">
        <v>46</v>
      </c>
      <c r="O71">
        <v>37</v>
      </c>
    </row>
    <row r="72" spans="1:26" x14ac:dyDescent="0.3">
      <c r="A72" t="s">
        <v>47</v>
      </c>
      <c r="B72">
        <v>36</v>
      </c>
      <c r="C72">
        <v>40</v>
      </c>
      <c r="D72">
        <v>22</v>
      </c>
      <c r="E72">
        <v>130</v>
      </c>
      <c r="F72">
        <v>40</v>
      </c>
      <c r="G72">
        <f t="shared" si="3"/>
        <v>0</v>
      </c>
      <c r="H72">
        <v>21</v>
      </c>
      <c r="I72">
        <f t="shared" si="4"/>
        <v>1</v>
      </c>
      <c r="J72">
        <v>127</v>
      </c>
      <c r="K72">
        <f t="shared" si="5"/>
        <v>3</v>
      </c>
      <c r="M72">
        <v>-21</v>
      </c>
      <c r="O72">
        <v>29</v>
      </c>
    </row>
    <row r="74" spans="1:26" x14ac:dyDescent="0.3">
      <c r="A74" s="3" t="s">
        <v>21</v>
      </c>
    </row>
    <row r="75" spans="1:26" x14ac:dyDescent="0.3">
      <c r="A75" s="7"/>
      <c r="B75" s="6"/>
      <c r="C75" s="6"/>
      <c r="D75" s="6"/>
      <c r="E75" s="7"/>
      <c r="F75" s="6"/>
      <c r="G75" s="6"/>
      <c r="H75" s="6"/>
      <c r="I75" s="6"/>
      <c r="J75" s="7"/>
      <c r="K75" s="6"/>
      <c r="O75" s="6"/>
      <c r="P75" s="5"/>
      <c r="T75" s="6"/>
      <c r="U75" s="5"/>
      <c r="Z75" s="5"/>
    </row>
    <row r="76" spans="1:26" x14ac:dyDescent="0.3">
      <c r="A76" s="3" t="s">
        <v>30</v>
      </c>
      <c r="B76" t="s">
        <v>53</v>
      </c>
      <c r="E76" s="3" t="s">
        <v>31</v>
      </c>
      <c r="F76" t="s">
        <v>53</v>
      </c>
      <c r="J76" s="3" t="s">
        <v>32</v>
      </c>
      <c r="K76" t="s">
        <v>53</v>
      </c>
      <c r="O76" s="3" t="s">
        <v>33</v>
      </c>
      <c r="P76" t="s">
        <v>53</v>
      </c>
      <c r="T76" s="3" t="s">
        <v>34</v>
      </c>
      <c r="U76" t="s">
        <v>53</v>
      </c>
      <c r="Y76" s="3" t="s">
        <v>35</v>
      </c>
      <c r="Z76" t="s">
        <v>53</v>
      </c>
    </row>
    <row r="77" spans="1:26" x14ac:dyDescent="0.3">
      <c r="A77">
        <f>CORREL(B57:B72,C57:C72)</f>
        <v>0.92066133617109824</v>
      </c>
      <c r="B77">
        <f>CORREL(O57:O72,C57:C72)</f>
        <v>0.8881119116128352</v>
      </c>
      <c r="E77">
        <f>CORREL(B57:B72,D57:D72)</f>
        <v>0.89740215606017093</v>
      </c>
      <c r="F77">
        <f>CORREL(O57:O72,D57:D72)</f>
        <v>0.86514833692440829</v>
      </c>
      <c r="J77">
        <f>CORREL(B57:B72,E57:E72)</f>
        <v>0.92338395941908447</v>
      </c>
      <c r="K77">
        <f>CORREL(O57:O72,E57:E72)</f>
        <v>0.89458665317457653</v>
      </c>
      <c r="O77">
        <f>CORREL(B57:B72,G57:G72)</f>
        <v>0.96308506678703754</v>
      </c>
      <c r="P77">
        <f>CORREL(O57:O72,G57:G72)</f>
        <v>0.97330524088902493</v>
      </c>
      <c r="T77">
        <f>CORREL(B57:B72,I57:I72)</f>
        <v>0.93938283144202495</v>
      </c>
      <c r="U77">
        <f>CORREL(O57:O72,I57:I72)</f>
        <v>0.95091975901626491</v>
      </c>
      <c r="Y77">
        <f>CORREL(B57:B72,K57:K72)</f>
        <v>0.93937289578765049</v>
      </c>
      <c r="Z77">
        <f>CORREL(O57:O72,K57:K72)</f>
        <v>0.95420370543969724</v>
      </c>
    </row>
    <row r="92" spans="1:2" x14ac:dyDescent="0.3">
      <c r="A92" s="7"/>
    </row>
    <row r="93" spans="1:2" x14ac:dyDescent="0.3">
      <c r="A93" s="3" t="s">
        <v>51</v>
      </c>
      <c r="B93" t="s">
        <v>53</v>
      </c>
    </row>
    <row r="94" spans="1:2" x14ac:dyDescent="0.3">
      <c r="A94">
        <f>CORREL(B57:B72,M57:M72)</f>
        <v>0.8044007047157482</v>
      </c>
      <c r="B94">
        <f>CORREL(O57:O72,M57:M72)</f>
        <v>0.78737052130081575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pugini</dc:creator>
  <cp:lastModifiedBy>francesco pugini</cp:lastModifiedBy>
  <dcterms:created xsi:type="dcterms:W3CDTF">2015-06-05T18:19:34Z</dcterms:created>
  <dcterms:modified xsi:type="dcterms:W3CDTF">2023-07-17T16:08:22Z</dcterms:modified>
</cp:coreProperties>
</file>