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frank/github/ms-fs-performance-testing/"/>
    </mc:Choice>
  </mc:AlternateContent>
  <xr:revisionPtr revIDLastSave="0" documentId="13_ncr:1_{236CBE18-93A8-4244-8B55-FC9FE0AEE913}" xr6:coauthVersionLast="45" xr6:coauthVersionMax="45" xr10:uidLastSave="{00000000-0000-0000-0000-000000000000}"/>
  <bookViews>
    <workbookView minimized="1" xWindow="52080" yWindow="7580" windowWidth="32720" windowHeight="20540" xr2:uid="{8E989FE0-EC17-C94D-8489-988F3A88D2B8}"/>
  </bookViews>
  <sheets>
    <sheet name="Sheet1" sheetId="1" r:id="rId1"/>
    <sheet name="Sheet5" sheetId="5" r:id="rId2"/>
    <sheet name="Sheet4" sheetId="4" r:id="rId3"/>
    <sheet name="Sheet2" sheetId="2" r:id="rId4"/>
    <sheet name="Sheet3"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0" i="1" l="1"/>
  <c r="D480" i="1"/>
  <c r="E478" i="1"/>
  <c r="D479" i="1"/>
  <c r="E479" i="1" s="1"/>
  <c r="D477" i="1"/>
  <c r="E477" i="1" s="1"/>
  <c r="E474" i="1"/>
  <c r="E475" i="1"/>
  <c r="D476" i="1"/>
  <c r="E476" i="1" s="1"/>
  <c r="D475" i="1"/>
  <c r="E473" i="1"/>
  <c r="D473" i="1"/>
  <c r="E472" i="1"/>
  <c r="D472" i="1"/>
  <c r="D471" i="1"/>
  <c r="E471" i="1" s="1"/>
  <c r="E465" i="1"/>
  <c r="E467" i="1"/>
  <c r="E468" i="1"/>
  <c r="E469" i="1"/>
  <c r="D470" i="1"/>
  <c r="E470" i="1" s="1"/>
  <c r="D469" i="1"/>
  <c r="D466" i="1"/>
  <c r="E466" i="1" s="1"/>
  <c r="D464" i="1"/>
  <c r="E464" i="1" s="1"/>
  <c r="D461" i="1"/>
  <c r="E461" i="1" s="1"/>
  <c r="D460" i="1"/>
  <c r="E460" i="1" s="1"/>
  <c r="D459" i="1"/>
  <c r="E459" i="1" s="1"/>
  <c r="D458" i="1"/>
  <c r="E458" i="1" s="1"/>
  <c r="E453" i="1"/>
  <c r="E454" i="1"/>
  <c r="D455" i="1"/>
  <c r="E455" i="1" s="1"/>
  <c r="D452" i="1"/>
  <c r="E452" i="1" s="1"/>
  <c r="D442" i="1"/>
  <c r="D441" i="1"/>
  <c r="D437" i="1"/>
  <c r="D436" i="1"/>
  <c r="D435" i="1"/>
  <c r="H2" i="4" l="1"/>
  <c r="H1" i="4"/>
  <c r="A41" i="4"/>
  <c r="B41" i="4" s="1"/>
  <c r="B22" i="4"/>
  <c r="A22" i="4"/>
  <c r="C22" i="4" s="1"/>
  <c r="D22" i="4" s="1"/>
  <c r="D415" i="1"/>
  <c r="D413" i="1"/>
  <c r="D409" i="1"/>
  <c r="D400" i="1"/>
  <c r="D399" i="1"/>
  <c r="D398" i="1"/>
  <c r="D395" i="1"/>
  <c r="D388" i="1"/>
  <c r="D384" i="1"/>
  <c r="D383" i="1"/>
  <c r="D382" i="1"/>
  <c r="D373" i="1"/>
  <c r="D345" i="1"/>
  <c r="E345" i="1" s="1"/>
  <c r="D347" i="1"/>
  <c r="E347" i="1" s="1"/>
  <c r="E346" i="1"/>
  <c r="D346" i="1"/>
  <c r="E340" i="1"/>
  <c r="E342" i="1"/>
  <c r="D344" i="1"/>
  <c r="E344" i="1" s="1"/>
  <c r="D343" i="1"/>
  <c r="E343" i="1" s="1"/>
  <c r="D339" i="1"/>
  <c r="E339" i="1" s="1"/>
  <c r="D328" i="1"/>
  <c r="E328" i="1" s="1"/>
  <c r="D332" i="1"/>
  <c r="E332" i="1" s="1"/>
  <c r="D331" i="1"/>
  <c r="E331" i="1" s="1"/>
  <c r="D330" i="1"/>
  <c r="E330" i="1" s="1"/>
  <c r="D329" i="1"/>
  <c r="E329" i="1" s="1"/>
  <c r="E323" i="1"/>
  <c r="E324" i="1"/>
  <c r="E325" i="1"/>
  <c r="E322" i="1"/>
  <c r="D327" i="1"/>
  <c r="E327" i="1" s="1"/>
  <c r="D326" i="1"/>
  <c r="E326" i="1" s="1"/>
  <c r="E276" i="1"/>
  <c r="E278" i="1"/>
  <c r="E275" i="1"/>
  <c r="E261" i="1"/>
  <c r="D277" i="1"/>
  <c r="E277" i="1" s="1"/>
  <c r="D279" i="1"/>
  <c r="H279" i="1" s="1"/>
  <c r="H278" i="1"/>
  <c r="H275" i="1"/>
  <c r="D280" i="1"/>
  <c r="E280" i="1" s="1"/>
  <c r="D281" i="1"/>
  <c r="E281" i="1" s="1"/>
  <c r="H261" i="1"/>
  <c r="D264" i="1"/>
  <c r="E264" i="1" s="1"/>
  <c r="D263" i="1"/>
  <c r="E263" i="1" s="1"/>
  <c r="D262" i="1"/>
  <c r="E262" i="1" s="1"/>
  <c r="D260" i="1"/>
  <c r="H260" i="1" s="1"/>
  <c r="H280" i="1" l="1"/>
  <c r="E279" i="1"/>
  <c r="E260" i="1"/>
  <c r="H264" i="1"/>
  <c r="H263" i="1"/>
  <c r="H262" i="1"/>
  <c r="H281" i="1"/>
  <c r="H248" i="1"/>
  <c r="H247" i="1"/>
  <c r="H246" i="1"/>
  <c r="H243" i="1"/>
  <c r="H230" i="1"/>
  <c r="H229" i="1"/>
  <c r="D229" i="1"/>
  <c r="D243" i="1"/>
  <c r="D247" i="1"/>
  <c r="D248" i="1"/>
  <c r="D246" i="1"/>
  <c r="D230" i="1"/>
  <c r="H214" i="1" l="1"/>
  <c r="D214" i="1"/>
  <c r="H202" i="1"/>
  <c r="H201" i="1"/>
  <c r="H200" i="1"/>
  <c r="H199" i="1"/>
  <c r="H198" i="1"/>
  <c r="H195" i="1"/>
  <c r="D202" i="1"/>
  <c r="D201" i="1"/>
  <c r="D200" i="1"/>
  <c r="D199" i="1"/>
  <c r="D198" i="1"/>
  <c r="D195" i="1"/>
  <c r="G30" i="2"/>
  <c r="G29" i="2"/>
  <c r="H155" i="1"/>
  <c r="H154" i="1"/>
  <c r="H140" i="1"/>
  <c r="H139" i="1"/>
  <c r="H122" i="1" l="1"/>
  <c r="H121" i="1"/>
  <c r="H120" i="1"/>
  <c r="H119" i="1"/>
  <c r="H107" i="1"/>
  <c r="H106" i="1"/>
  <c r="H105" i="1"/>
  <c r="H104" i="1"/>
  <c r="H94" i="1"/>
  <c r="H93" i="1"/>
  <c r="H92" i="1"/>
  <c r="H89" i="1"/>
  <c r="H88" i="1"/>
  <c r="H73" i="1"/>
  <c r="H72" i="1"/>
  <c r="H71" i="1"/>
  <c r="H70" i="1"/>
  <c r="H58" i="1"/>
  <c r="H57" i="1"/>
  <c r="H56" i="1"/>
  <c r="H55" i="1"/>
  <c r="H27" i="1"/>
  <c r="H26" i="1"/>
  <c r="H25" i="1"/>
</calcChain>
</file>

<file path=xl/sharedStrings.xml><?xml version="1.0" encoding="utf-8"?>
<sst xmlns="http://schemas.openxmlformats.org/spreadsheetml/2006/main" count="285" uniqueCount="202">
  <si>
    <t># concurrent requests</t>
  </si>
  <si>
    <t>Total requests</t>
  </si>
  <si>
    <t xml:space="preserve">Total count - LocalHost </t>
  </si>
  <si>
    <t>rate (requests/sec)</t>
  </si>
  <si>
    <t>irate (rate increase/sec)</t>
  </si>
  <si>
    <t># of errors</t>
  </si>
  <si>
    <t>MAT Average Request Time</t>
  </si>
  <si>
    <t>Request time reported in clinet</t>
  </si>
  <si>
    <t>average request time in ms</t>
  </si>
  <si>
    <t>error returns</t>
  </si>
  <si>
    <t>average request time in ms (valid)</t>
  </si>
  <si>
    <t>Client I</t>
  </si>
  <si>
    <t>Client II</t>
  </si>
  <si>
    <t>One MAT-Standalone</t>
  </si>
  <si>
    <t>One MAT-In-Kube-Cluster</t>
  </si>
  <si>
    <t>One-MAT-In-Kube-Cluster</t>
  </si>
  <si>
    <t>MAT Crashed after last run</t>
  </si>
  <si>
    <t xml:space="preserve">Total # of requests for each testing: 200 </t>
  </si>
  <si>
    <t>size of thread pool</t>
  </si>
  <si>
    <t>One testing client in cluster</t>
  </si>
  <si>
    <t>Two testing clients in cluster</t>
  </si>
  <si>
    <t>Use one of the 3 MAT Instances</t>
  </si>
  <si>
    <t>3 MAT Instances in cluster</t>
  </si>
  <si>
    <t>One testing client (Laptop)</t>
  </si>
  <si>
    <t># of Errors</t>
  </si>
  <si>
    <t>50/50</t>
  </si>
  <si>
    <t>Threads/Requests</t>
  </si>
  <si>
    <t>75/75</t>
  </si>
  <si>
    <t>100/100</t>
  </si>
  <si>
    <t>120/120</t>
  </si>
  <si>
    <t>130/130</t>
  </si>
  <si>
    <t>135/135</t>
  </si>
  <si>
    <t>140/140</t>
  </si>
  <si>
    <t>MAT crashed after last run</t>
  </si>
  <si>
    <t>Average valid request time in ms</t>
  </si>
  <si>
    <t>Average requesting time (ms)</t>
  </si>
  <si>
    <t>Size of thread pool/requests (200)</t>
  </si>
  <si>
    <t>threads == requests</t>
  </si>
  <si>
    <t>1. On Average, 1 MAT instance 8 - 13 concurrent requests</t>
  </si>
  <si>
    <t>3. The metrcs reported for Map Service - ExportMap - requesting time is close to the real time</t>
  </si>
  <si>
    <t>2. The metrics reported for Feature Service - Query features -  requesting time is not close to the real time</t>
  </si>
  <si>
    <t xml:space="preserve">Possible solutions: </t>
  </si>
  <si>
    <t xml:space="preserve">1. Use # of request count as proxy for logic to scale MAT instance but could be probamatic with mixed requests of FS and MS. </t>
  </si>
  <si>
    <t xml:space="preserve">2. Use CPU/Mem/Network traffic as proxy, also hard to quantify. The memory seems never been an issue in my testing. CPU and Network traffics do have some coorelation with the load of requests. </t>
  </si>
  <si>
    <t>4. Kubernetes seems imposing some limits on each MAT instance</t>
  </si>
  <si>
    <t xml:space="preserve">3. Create customized version of Akka Http Server and add a directive to capture the real requesting time? Not sure if it is feasible or not. </t>
  </si>
  <si>
    <t xml:space="preserve">4. Create a reverse proxy server  and add a directive to capture the real requesting time? Not sure if it is feasible or not. </t>
  </si>
  <si>
    <t>Map Services</t>
  </si>
  <si>
    <t>Feature Services</t>
  </si>
  <si>
    <t>One testing client - 200 total requests</t>
  </si>
  <si>
    <t># of threads</t>
  </si>
  <si>
    <t>Average time (ms)</t>
  </si>
  <si>
    <t># of error returns</t>
  </si>
  <si>
    <t>Envelope1s</t>
  </si>
  <si>
    <t>Envelope2s</t>
  </si>
  <si>
    <t>Note: first testing</t>
  </si>
  <si>
    <t>20 threads /2000 requests</t>
  </si>
  <si>
    <t>30 threads /2000 requests</t>
  </si>
  <si>
    <t>30 threads / 1000 requests</t>
  </si>
  <si>
    <t>20 threads / 1000 requests</t>
  </si>
  <si>
    <t>25 threads / 1000 requests</t>
  </si>
  <si>
    <t># of threads with 200 total requests</t>
  </si>
  <si>
    <t>Error Rate</t>
  </si>
  <si>
    <t>Pods restarts/carshed 22 times during testing</t>
  </si>
  <si>
    <t>Pods restarts/crashed once during testing</t>
  </si>
  <si>
    <t>Map Services (by pass Contour)</t>
  </si>
  <si>
    <t xml:space="preserve">Feature Services (bypass contour) </t>
  </si>
  <si>
    <t xml:space="preserve">Before adjusting settings </t>
  </si>
  <si>
    <t xml:space="preserve">After adjusting settings </t>
  </si>
  <si>
    <t>error rate</t>
  </si>
  <si>
    <t># requests</t>
  </si>
  <si>
    <t># concurrent threads</t>
  </si>
  <si>
    <t>Average Request Time (ms)</t>
  </si>
  <si>
    <t>Query -&gt; Feature Services</t>
  </si>
  <si>
    <t>ExportMap -&gt; Map Service</t>
  </si>
  <si>
    <t>Error Percentage</t>
  </si>
  <si>
    <t>Datastore - Elasticsearch</t>
  </si>
  <si>
    <t>From Laptop</t>
  </si>
  <si>
    <t>From MAT - within cluster</t>
  </si>
  <si>
    <t>Timed out (60 s)</t>
  </si>
  <si>
    <t>From Latop / envelope-set1</t>
  </si>
  <si>
    <t>From SST server in cluster (envelope set2)</t>
  </si>
  <si>
    <t>java -cp ./ms-fs-performance-test-1.0-jar-with-dependencies.jar com.esri.arcgis.performance.test.mat.FeatureServiceConcurrentTester1 http://10.244.1.18:9000/arcgis/rest/services/ safegraph 20 200 ./docs_kube1/safegraph2.txt 600 ./docs_kube1/output2_25_200-2019-1107-fs.txt &gt; ./docs_kube1/standard_output2_25_200-2019-1107-fs.txt</t>
  </si>
  <si>
    <t>&gt; 20 seconds</t>
  </si>
  <si>
    <t>java -cp ./target/ms-fs-performance-test-1.0-jar-with-dependencies.jar com.esri.arcgis.performance.test.mat.FeatureServiceConcurrentTester1 https://us-iotdev.arcgis.com/fx1104d/a4fffb2e6f1c4556/maps/arcgis/rest/services/ safegraph 15 200 ./docs_kube1/safegraph1.txt 1400 ./docs_kube1/output1_15a_200-2019-1107-fs.txt &gt; ./docs_kube1/standard-output1_15a_200-2019-1107-fs.txt</t>
  </si>
  <si>
    <t>Neither CPU/Memnor Threads are in peak</t>
  </si>
  <si>
    <t>java -cp ./target/ms-fs-performance-test-1.0-jar-with-dependencies.jar com.esri.arcgis.performance.test.mat.MapServiceConcurrentTester https://us-iotdev.arcgis.com/fx1104d/a4fffb2e6f1c4556/maps/arcgis/rest/services/ safegraph 10 200 ./docs_kube1/safegraph3.txt 0 ./docs_kube1/output3_10_200-2019-1107-ms.txt flatHexagon &gt; ./docs_kube1/standard-output3_10_200-2019-1107-ms.txt</t>
  </si>
  <si>
    <t>From Latop / envelope-set3</t>
  </si>
  <si>
    <t>java -cp ./target/ms-fs-performance-test-1.0-jar-with-dependencies.jar com.esri.arcgis.performance.test.mat.MapServiceConcurrentTester https://us-iotdev.arcgis.com/fx1104d/a4fffb2e6f1c4556/maps/arcgis/rest/services/ safegraph 15 200 ./docs_kube1/safegraph3.txt 200 ./docs_kube1/output3_15_200-2019-1107-ms.txt flatHexagon &gt; ./docs_kube1/standard-output3_15_200-2019-1107-ms.txt</t>
  </si>
  <si>
    <t>java -cp ./target/ms-fs-performance-test-1.0-jar-with-dependencies.jar com.esri.arcgis.performance.test.mat.MapServiceConcurrentTester https://us-iotdev.arcgis.com/fx1104d/a4fffb2e6f1c4556/maps/arcgis/rest/services/ safegraph 20 200 ./docs_kube1/safegraph3.txt 400 ./docs_kube1/output3_20_200-2019-1107-ms.txt flatHexagon &gt; ./docs_kube1/standard-output3_20_200-2019-1107-ms.txt</t>
  </si>
  <si>
    <t>java -cp ./target/ms-fs-performance-test-1.0-jar-with-dependencies.jar com.esri.arcgis.performance.test.mat.MapServiceConcurrentTester https://us-iotdev.arcgis.com/fx1104d/a4fffb2e6f1c4556/maps/arcgis/rest/services/ safegraph 25 200 ./docs_kube1/safegraph3.txt 600 ./docs_kube1/output3_25_200-2019-1107-ms.txt flatHexagon &gt; ./docs_kube1/standard-output3_25_200-2019-1107-ms.txt</t>
  </si>
  <si>
    <t>java -cp ./target/ms-fs-performance-test-1.0-jar-with-dependencies.jar com.esri.arcgis.performance.test.mat.MapServiceConcurrentTester https://us-iotdev.arcgis.com/fx1104d/a4fffb2e6f1c4556/maps/arcgis/rest/services/ safegraph 35 200 ./docs_kube1/safegraph3.txt 1000 ./docs_kube1/output3_35_200-2019-1107-ms.txt flatHexagon &gt; ./docs_kube1/standard-output3_35_200-2019-1107-ms.txt</t>
  </si>
  <si>
    <t>java -cp ./target/ms-fs-performance-test-1.0-jar-with-dependencies.jar com.esri.arcgis.performance.test.mat.MapServiceConcurrentTester https://us-iotdev.arcgis.com/fx1104d/a4fffb2e6f1c4556/maps/arcgis/rest/services/ safegraph 30 200 ./docs_kube1/safegraph3.txt 800 ./docs_kube1/output3_30_200-2019-1107-ms.txt flatHexagon &gt; ./docs_kube1/standard-output3_30_200-2019-1107-ms.txt</t>
  </si>
  <si>
    <t>java -cp ./target/ms-fs-performance-test-1.0-jar-with-dependencies.jar com.esri.arcgis.performance.test.mat.MapServiceConcurrentTester https://us-iotdev.arcgis.com/fx1104d/a4fffb2e6f1c4556/maps/arcgis/rest/services/ safegraph 30 200 ./docs_kube1/safegraph3.txt 1200 ./docs_kube1/output3_30a_200-2019-1107-ms.txt flatHexagon &gt; ./docs_kube1/standard-output3_30a_200-2019-1107-ms.txt</t>
  </si>
  <si>
    <t>java -cp ./target/ms-fs-performance-test-1.0-jar-with-dependencies.jar com.esri.arcgis.performance.test.mat.MapServiceConcurrentTester https://us-iotdev.arcgis.com/fx1104d/a4fffb2e6f1c4556/maps/arcgis/rest/services/ safegraph 30 300 ./docs_kube1/safegraph3.txt 1400 ./docs_kube1/output3_30b_300-2019-1107-ms.txt flatHexagon &gt; ./docs_kube1/standard-output3_30b_300-2019-1107-ms.txt</t>
  </si>
  <si>
    <t>java -cp ./target/ms-fs-performance-test-1.0-jar-with-dependencies.jar com.esri.arcgis.performance.test.mat.MapServiceConcurrentTester https://us-iotdev.arcgis.com/fx1104d/a4fffb2e6f1c4556/maps/arcgis/rest/services/ safegraph 30 600 ./docs_kube1/safegraph3.txt 1700 ./docs_kube1/output3_30c_600-2019-1107-ms.txt flatHexagon &gt; ./docs_kube1/standard-output3_30c_600-2019-1107-ms.txt</t>
  </si>
  <si>
    <t>java -cp ./target/ms-fs-performance-test-1.0-jar-with-dependencies.jar com.esri.arcgis.performance.test.mat.MapServiceConcurrentTester https://us-iotdev.arcgis.com/fx1104d/a4fffb2e6f1c4556/maps/arcgis/rest/services/ safegraph 30 1000 ./docs_kube1/safegraph3.txt 0 ./docs_kube1/output3_30d_1000-2019-1107-ms.txt flatHexagon &gt; ./docs_kube1/standard-output3_30d_1000-2019-1107-ms.txt</t>
  </si>
  <si>
    <t>lower average due to ES cache</t>
  </si>
  <si>
    <t>Test Order</t>
  </si>
  <si>
    <t>Test command</t>
  </si>
  <si>
    <t>From SST in cluster / envelope-set1</t>
  </si>
  <si>
    <t>java -cp ./ms-fs-performance-test-1.0-jar-with-dependencies.jar com.esri.arcgis.performance.test.mat.MapServiceConcurrentTester http://10.244.1.18:9000/arcgis/rest/services/ safegraph 10 200 ./docs_kube1/safegraph1.txt 0 ./docs_kube1/output1_10_200-2019-1107-ms.txt flatHexagon &gt; ./docs_kube1/standard-output1_10_200-2019-1107-ms.txt</t>
  </si>
  <si>
    <t>java -cp ./ms-fs-performance-test-1.0-jar-with-dependencies.jar com.esri.arcgis.performance.test.mat.MapServiceConcurrentTester http://10.244.1.18:9000/arcgis/rest/services/ safegraph 20 200 ./docs_kube1/safegraph1.txt 200 ./docs_kube1/output1_20_200-2019-1107-ms.txt flatHexagon &gt; ./docs_kube1/standard-output1_20_200-2019-1107-ms.txt</t>
  </si>
  <si>
    <t>java -cp ./ms-fs-performance-test-1.0-jar-with-dependencies.jar com.esri.arcgis.performance.test.mat.MapServiceConcurrentTester http://10.244.1.18:9000/arcgis/rest/services/ safegraph 25 200 ./docs_kube1/safegraph1.txt 400 ./docs_kube1/output1_25_200-2019-1107-ms.txt flatHexagon &gt; ./docs_kube1/standard-output1_25_200-2019-1107-ms.txt</t>
  </si>
  <si>
    <t>java -cp ./ms-fs-performance-test-1.0-jar-with-dependencies.jar com.esri.arcgis.performance.test.mat.MapServiceConcurrentTester http://10.244.1.18:9000/arcgis/rest/services/ safegraph 30 200 ./docs_kube1/safegraph1.txt 600 ./docs_kube1/output1_30_200-2019-1107-ms.txt flatHexagon &gt; ./docs_kube1/standard-output1_30_200-2019-1107-ms.txt</t>
  </si>
  <si>
    <t>java -cp ./ms-fs-performance-test-1.0-jar-with-dependencies.jar com.esri.arcgis.performance.test.mat.MapServiceConcurrentTester http://10.244.1.18:9000/arcgis/rest/services/ safegraph 30 600 ./docs_kube1/safegraph1.txt 800 ./docs_kube1/output1_30_600-2019-1107-ms.txt flatHexagon &gt; ./docs_kube1/standard-output1_30_600-2019-1107-ms.txt</t>
  </si>
  <si>
    <t>java -cp ./ms-fs-performance-test-1.0-jar-with-dependencies.jar com.esri.arcgis.performance.test.mat.MapServiceConcurrentTester http://10.244.1.18:9000/arcgis/rest/services/ safegraph 35 200 ./docs_kube1/safegraph1.txt 1400 ./docs_kube1/output1_35_200-2019-1107-ms.txt flatHexagon &gt; ./docs_kube1/standard-output1_35_200-2019-1107-ms.txt</t>
  </si>
  <si>
    <t>MAT Crashed =&gt; org.apache.http.conn.HttpHostConnectException: Connect to 10.244.1.18:9000 [/10.244.1.18] failed: Connection refused (Connection refused)
	at org.apache.http.impl.conn.DefaultHttpClientConnectionOperator.connect(DefaultHttpClientConnectionOperator.java:159)
	at org.apache.http.impl.conn.PoolingHttpClientConnectionManager.connect(PoolingHttpClientConnectionManager.java:373)
	at org.apache.http.impl.execchain.MainClientExec.establishRoute(MainClientExec.java:394)
	at org.apache.http.impl.execchain.MainClientExec.execute(MainClientExec.java:237)
	at org.apache.http.impl.execchain.ProtocolExec.execute(ProtocolExec.java:185)
	at org.apache.http.impl.execchain.RetryExec.execute(RetryExec.java:89)
	at org.apache.http.impl.execchain.RedirectExec.execute(RedirectExec.java:110)
	at org.apache.http.impl.client.InternalHttpClient.doExecute(InternalHttpClient.java:185)
	at org.apache.http.impl.client.CloseableHttpClient.execute(CloseableHttpClient.java:83)
	at org.apache.http.impl.client.CloseableHttpClient.execute(CloseableHttpClient.java:108)
	at com.esri.arcgis.performance.test.mat.Utils.executeHttpGET(Utils.java:44)
	at com.esri.arcgis.performance.test.mat.Utils.executeHttpGETRequest(Utils.java:28)
	at com.esri.arcgis.performance.test.mat.MapService.exportMap(MapService.java:132)
	at com.esri.arcgis.performance.test.mat.MapServiceConcurrentTester.lambda$createTask$0(MapServiceConcurrentTester.java:46)
	at java.util.concurrent.FutureTask.run(FutureTask.java:266)
	at java.util.concurrent.ThreadPoolExecutor.runWorker(ThreadPoolExecutor.java:1149)
	at java.util.concurrent.ThreadPoolExecutor$Worker.run(ThreadPoolExecutor.java:624)
	at java.lang.Thread.run(Thread.java:748)
Caused by: java.net.ConnectException: Connection refused (Connection refused)
	at java.net.PlainSocketImpl.socketConnect(Native Method)
	at java.net.AbstractPlainSocketImpl.doConnect(AbstractPlainSocketImpl.java:350)
	at java.net.AbstractPlainSocketImpl.connectToAddress(AbstractPlainSocketImpl.java:206)
	at java.net.AbstractPlainSocketImpl.connect(AbstractPlainSocketImpl.java:188)
	at java.net.SocksSocketImpl.connect(SocksSocketImpl.java:392)
	at java.net.Socket.connect(Socket.java:607)
	at org.apache.http.conn.socket.PlainConnectionSocketFactory.connectSocket(PlainConnectionSocketFactory.java:75)
	at org.apache.http.impl.conn.DefaultHttpClientConnectionOperator.connect(DefaultHttpClientConnectionOperator.java:142)
	... 17 more</t>
  </si>
  <si>
    <t>After adjusted http server settings:   actor {
    default-dispatcher = {
      fork-join-executor {
        parallelism-min = 30
        parallelism-max = 100
      }
    }
  }</t>
  </si>
  <si>
    <t>same error as above</t>
  </si>
  <si>
    <t>java -cp ./ms-fs-performance-test-1.0-jar-with-dependencies.jar com.esri.arcgis.performance.test.mat.MapServiceConcurrentTester http://10.244.1.18:9000/arcgis/rest/services/ safegraph 31 31 ./docs_kube1/safegraph1.txt 2200 ./docs_kube1/output1_31_31-2019-1107-ms.txt flatHexagon &gt; ./docs_kube1/standard-output1_31-31-2019-1107-ms.txt</t>
  </si>
  <si>
    <t>ES took longer than previous ones</t>
  </si>
  <si>
    <t>java -cp ./ms-fs-performance-test-1.0-jar-with-dependencies.jar com.esri.arcgis.performance.test.mat.MapServiceConcurrentTester http://10.244.1.18:9000/arcgis/rest/services/ safegraph 32 200 ./docs_kube1/safegraph1.txt 1800 ./docs_kube1/output1_32_200-2019-1107-ms.txt flatHexagon &gt; ./docs_kube1/standard-output1_32_200-2019-1107-ms.txt</t>
  </si>
  <si>
    <t>java -cp ./ms-fs-performance-test-1.0-jar-with-dependencies.jar com.esri.arcgis.performance.test.mat.MapServiceConcurrentTester http://10.244.1.18:9000/arcgis/rest/services/ safegraph 31 62 ./docs_kube1/safegraph1.txt 2231 ./docs_kube1/output1_31_62-2019-1107-ms.txt flatHexagon &gt; ./docs_kube1/standard-output1_31-62-2019-1107-ms.txt</t>
  </si>
  <si>
    <t>java -cp ./ms-fs-performance-test-1.0-jar-with-dependencies.jar com.esri.arcgis.performance.test.mat.MapServiceConcurrentTester http://10.244.1.18:9000/arcgis/rest/services/ safegraph 31 200 ./docs_kube1/safegraph1.txt 2000 ./docs_kube1/output1_31_200-2019-1107-ms.txt flatHexagon &gt; ./docs_kube1/standard-output1_31_200-2019-1107-ms.txt</t>
  </si>
  <si>
    <t>crashed</t>
  </si>
  <si>
    <t>java -cp ./ms-fs-performance-test-1.0-jar-with-dependencies.jar com.esri.arcgis.performance.test.mat.MapServiceConcurrentTester http://10.244.1.18:9000/arcgis/rest/services/ safegraph 31 155 ./docs_kube1/safegraph1.txt 2327 ./docs_kube1/output1_31_155-2019-1107-ms.txt flatHexagon &gt; ./docs_kube1/standard-output1_31-155-2019-1107-ms.txt</t>
  </si>
  <si>
    <t>java -cp ./ms-fs-performance-test-1.0-jar-with-dependencies.jar com.esri.arcgis.performance.test.mat.MapServiceConcurrentTester http://10.244.1.18:9000/arcgis/rest/services/ safegraph 31 124 ./docs_kube1/safegraph1.txt 2293 ./docs_kube1/output1_31_124-2019-1107-ms.txt flatHexagon &gt; ./docs_kube1/standard-output1_31-124-2019-1107-ms.txt</t>
  </si>
  <si>
    <t>After updated with new http server settings</t>
  </si>
  <si>
    <t>java -cp ./target/ms-fs-performance-test-1.0-jar-with-dependencies.jar com.esri.arcgis.performance.test.mat.FeatureServiceConcurrentTester1 https://us-iotdev.arcgis.com/fx1104d/a4fffb2e6f1c4556/maps/arcgis/rest/services/ safegraph 15 200 ./docs_mat_kube1a/safegraph1.txt 0 ./docs_mat_kube1a/output1_fs_15_200-2019-11-01.txt &gt; ./docs_mat_kube1a/standard_output1_fs_15_200-2019-1107.txt</t>
  </si>
  <si>
    <t>java -cp ./target/ms-fs-performance-test-1.0-jar-with-dependencies.jar com.esri.arcgis.performance.test.mat.FeatureServiceConcurrentTester1 https://us-iotdev.arcgis.com/fx1104d/a4fffb2e6f1c4556/maps/arcgis/rest/services/ safegraph 10 200 ./docs_mat_kube1a/safegraph1.txt 200 ./docs_mat_kube1a/output1_fs_10_200-2019-1107.txt &gt; ./docs_mat_kube1a/standard_output1_fs_10_200-2019-1107.txt</t>
  </si>
  <si>
    <t>java -cp ./target/ms-fs-performance-test-1.0-jar-with-dependencies.jar com.esri.arcgis.performance.test.mat.FeatureServiceConcurrentTester1 https://us-iotdev.arcgis.com/fx1104d/a4fffb2e6f1c4556/maps/arcgis/rest/services/ safegraph 15 200 ./docs_mat_kube1a/safegraph1.txt 400 ./docs_mat_kube1a/output1_fs_15a_200-2019-1107.txt &gt; ./docs_mat_kube1a/standard_output1_fs_15a_200-2019-1107.txt</t>
  </si>
  <si>
    <t>1st request</t>
  </si>
  <si>
    <t>java -cp ./target/ms-fs-performance-test-1.0-jar-with-dependencies.jar com.esri.arcgis.performance.test.mat.FeatureServiceConcurrentTester1 https://us-iotdev.arcgis.com/fx1104d/a4fffb2e6f1c4556/maps/arcgis/rest/services/ safegraph 20 200 ./docs_mat_kube1a/safegraph1.txt 600 ./docs_mat_kube1a/output1_fs_20_200-2019-1107.txt &gt; ./docs_mat_kube1a/standard_output1_fs_20_200-2019-1107.txt</t>
  </si>
  <si>
    <t>java -cp ./target/ms-fs-performance-test-1.0-jar-with-dependencies.jar com.esri.arcgis.performance.test.mat.FeatureServiceConcurrentTester1 https://us-iotdev.arcgis.com/fx1104d/a4fffb2e6f1c4556/maps/arcgis/rest/services/ safegraph 22 200 ./docs_mat_kube1a/safegraph1.txt 800 ./docs_mat_kube1a/output1_fs_22_200-2019-1107.txt &gt; ./docs_mat_kube1a/standard_output1_fs_22_200-2019-1107.txt</t>
  </si>
  <si>
    <t>java -cp ./target/ms-fs-performance-test-1.0-jar-with-dependencies.jar com.esri.arcgis.performance.test.mat.FeatureServiceConcurrentTester1 https://us-iotdev.arcgis.com/fx1104d/a4fffb2e6f1c4556/maps/arcgis/rest/services/ safegraph 25 200 ./docs_mat_kube1a/safegraph1.txt 1000 ./docs_mat_kube1a/output1_fs_25_200-2019-1107.txt &gt; ./docs_mat_kube1a/standard_output1_fs_25_200-2019-1107.txt</t>
  </si>
  <si>
    <t>Screenshot 4</t>
  </si>
  <si>
    <t>java -cp ./ms-fs-performance-test-1.0-jar-with-dependencies.jar com.esri.arcgis.performance.test.mat.FeatureServiceConcurrentTester1 http://10.244.0.35:9000/arcgis/rest/services/ safegraph 20 200 ./docs/safegraph2.txt 0 ./docs/output2_20_200-2019-1107-fs.txt &gt; ./docs/standard_output2_20_200-2019-1107-fs.txt</t>
  </si>
  <si>
    <t>java -cp ./ms-fs-performance-test-1.0-jar-with-dependencies.jar com.esri.arcgis.performance.test.mat.FeatureServiceConcurrentTester1 http://10.244.0.35:9000/arcgis/rest/services/ safegraph 25 200 ./docs/safegraph2.txt 400 ./docs/output2_25_200-2019-1107-fs.txt &gt; ./docs/standard_output2_25_200-2019-1107-fs.txt</t>
  </si>
  <si>
    <t>java -cp ./ms-fs-performance-test-1.0-jar-with-dependencies.jar com.esri.arcgis.performance.test.mat.FeatureServiceConcurrentTester1 http://10.244.0.35:9000/arcgis/rest/services/ safegraph 22 200 ./docs/safegraph2.txt 200 ./docs/output2_22_200-2019-1107-fs.txt &gt; ./docs/standard_output2_22_200-2019-1107-fs.txt</t>
  </si>
  <si>
    <t>java -cp ./ms-fs-performance-test-1.0-jar-with-dependencies.jar com.esri.arcgis.performance.test.mat.FeatureServiceConcurrentTester1 http://10.244.0.35:9000/arcgis/rest/services/ safegraph 30 200 ./docs/safegraph2.txt 600 ./docs/output2_30_200-2019-1107-fs.txt &gt; ./docs/standard_output2_30_200-2019-1107-fs.txt</t>
  </si>
  <si>
    <t>From SST / envelope-set2</t>
  </si>
  <si>
    <t>screenshot 5</t>
  </si>
  <si>
    <t>MAT crashed</t>
  </si>
  <si>
    <t>MAT crashed - MAX 14 threads</t>
  </si>
  <si>
    <t>3 timed out on client side</t>
  </si>
  <si>
    <t>MAT Crashed - MAX 27 threads</t>
  </si>
  <si>
    <t>screenshot 6</t>
  </si>
  <si>
    <t xml:space="preserve">  http { request-timeout = 60 s  max-connections = 512  pipelining-limit = 32 }</t>
  </si>
  <si>
    <t>java -cp ./ms-fs-performance-test-1.0-jar-with-dependencies.jar com.esri.arcgis.performance.test.mat.FeatureServiceConcurrentTester1 http://10.244.0.35:9000/arcgis/rest/services/ safegraph 30 200 ./docs/safegraph2.txt 1400 ./docs/output2_30b_200-2019-1107-fs.txt 100 &gt; ./docs/standard_output2_30b_200-2019-1107-fs.txt</t>
  </si>
  <si>
    <t>java -cp ./ms-fs-performance-test-1.0-jar-with-dependencies.jar com.esri.arcgis.performance.test.mat.FeatureServiceConcurrentTester1 http://10.244.0.35:9000/arcgis/rest/services/ safegraph 25 200 ./docs/safegraph2.txt 1200 ./docs/output2_25b_200-2019-1107-fs.txt 100 &gt; ./docs/standard_output2_25b_200-2019-1107-fs.txt</t>
  </si>
  <si>
    <t>java -cp ./ms-fs-performance-test-1.0-jar-with-dependencies.jar com.esri.arcgis.performance.test.mat.FeatureServiceConcurrentTester1 http://10.244.0.35:9000/arcgis/rest/services/ safegraph 25 200 ./docs/safegraph2.txt</t>
  </si>
  <si>
    <t>java -cp ./ms-fs-performance-test-1.0-jar-with-dependencies.jar com.esri.arcgis.performance.test.mat.FeatureServiceConcurrentTester1 http://10.244.0.35:9000/arcgis/rest/services/ safegraph 30 200 ./docs/safegraph2.txt 800 ./docs/output2_30a_200-2019-1107-fs.txt &gt; ./docs/standard_output2_30a_200-2019-1107-fs.txt</t>
  </si>
  <si>
    <r>
      <t xml:space="preserve">actor </t>
    </r>
    <r>
      <rPr>
        <sz val="9"/>
        <color rgb="FF6A8759"/>
        <rFont val="Menlo"/>
        <family val="2"/>
      </rPr>
      <t>{</t>
    </r>
  </si>
  <si>
    <r>
      <t xml:space="preserve">  </t>
    </r>
    <r>
      <rPr>
        <sz val="9"/>
        <color rgb="FFA9B7C6"/>
        <rFont val="Menlo"/>
        <family val="2"/>
      </rPr>
      <t xml:space="preserve">default-dispatcher = </t>
    </r>
    <r>
      <rPr>
        <sz val="9"/>
        <color rgb="FF6A8759"/>
        <rFont val="Menlo"/>
        <family val="2"/>
      </rPr>
      <t>{</t>
    </r>
  </si>
  <si>
    <r>
      <t xml:space="preserve">    </t>
    </r>
    <r>
      <rPr>
        <sz val="9"/>
        <color rgb="FFA9B7C6"/>
        <rFont val="Menlo"/>
        <family val="2"/>
      </rPr>
      <t xml:space="preserve">fork-join-executor </t>
    </r>
    <r>
      <rPr>
        <sz val="9"/>
        <color rgb="FF6A8759"/>
        <rFont val="Menlo"/>
        <family val="2"/>
      </rPr>
      <t>{</t>
    </r>
  </si>
  <si>
    <r>
      <t xml:space="preserve">      </t>
    </r>
    <r>
      <rPr>
        <sz val="9"/>
        <color rgb="FFA9B7C6"/>
        <rFont val="Menlo"/>
        <family val="2"/>
      </rPr>
      <t xml:space="preserve">parallelism-factor = </t>
    </r>
    <r>
      <rPr>
        <sz val="9"/>
        <color rgb="FF6A8759"/>
        <rFont val="Menlo"/>
        <family val="2"/>
      </rPr>
      <t>6.0</t>
    </r>
  </si>
  <si>
    <r>
      <t xml:space="preserve">      </t>
    </r>
    <r>
      <rPr>
        <sz val="9"/>
        <color rgb="FFA9B7C6"/>
        <rFont val="Menlo"/>
        <family val="2"/>
      </rPr>
      <t xml:space="preserve">parallelism-min = </t>
    </r>
    <r>
      <rPr>
        <sz val="9"/>
        <color rgb="FF6A8759"/>
        <rFont val="Menlo"/>
        <family val="2"/>
      </rPr>
      <t>10</t>
    </r>
  </si>
  <si>
    <r>
      <t xml:space="preserve">      </t>
    </r>
    <r>
      <rPr>
        <sz val="9"/>
        <color rgb="FFA9B7C6"/>
        <rFont val="Menlo"/>
        <family val="2"/>
      </rPr>
      <t xml:space="preserve">parallelism-max = </t>
    </r>
    <r>
      <rPr>
        <sz val="9"/>
        <color rgb="FF6A8759"/>
        <rFont val="Menlo"/>
        <family val="2"/>
      </rPr>
      <t>100</t>
    </r>
  </si>
  <si>
    <r>
      <t xml:space="preserve">    </t>
    </r>
    <r>
      <rPr>
        <sz val="9"/>
        <color rgb="FFA9B7C6"/>
        <rFont val="Menlo"/>
        <family val="2"/>
      </rPr>
      <t>}</t>
    </r>
  </si>
  <si>
    <t xml:space="preserve">  }</t>
  </si>
  <si>
    <t>}</t>
  </si>
  <si>
    <t>java -cp ./target/ms-fs-performance-test-1.0-jar-with-dependencies.jar com.esri.arcgis.performance.test.mat.FeatureServiceConcurrentTester1 https://us-iotdev.arcgis.com/fx1112a/7227004598d39e55/maps/arcgis/rest/services/ safegraph 10 200 ./docs_kube1/safegraph2.txt 200 ./docs_kube1/output2_fs_10_200-2019-113.txt &gt; ./docs_kube1/standard-output2_fs_10_200-2019-1113.txt</t>
  </si>
  <si>
    <t>java -cp ./target/ms-fs-performance-test-1.0-jar-with-dependencies.jar com.esri.arcgis.performance.test.mat.FeatureServiceConcurrentTester1 https://us-iotdev.arcgis.com/fx1112a/7227004598d39e55/maps/arcgis/rest/services/ safegraph 9 200 ./docs_kube1/safegraph2.txt 0 ./docs_kube1/output2</t>
  </si>
  <si>
    <t>java -cp ./target/ms-fs-performance-test-1.0-jar-with-dependencies.jar com.esri.arcgis.performance.test.mat.FeatureServiceConcurrentTester1 https://us-iotdev.arcgis.com/fx1112a/7227004598d39e55/maps/arcgis/rest/services/ safegraph 11 400 ./docs_kube1/safegraph2.txt 400 ./docs_kube1/output2_fs_11_200-2019-113.txt &gt; ./docs_kube1/standard-output2_fs_11_200-2019-1113.txt</t>
  </si>
  <si>
    <t>java -cp ./target/ms-fs-performance-test-1.0-jar-with-dependencies.jar com.esri.arcgis.performance.test.mat.FeatureServiceConcurrentTester1 https://us-iotdev.arcgis.com/fx1112a/7227004598d39e55/maps/arcgis/rest/services/ safegraph 12 200 ./docs_kube1/safegraph2.txt 600 ./docs_kube1/output2_fs_12_200-2019-113.txt &gt; ./docs_kube1/standard-output2_fs_12_200-2019-1113.txt</t>
  </si>
  <si>
    <t>java -cp ./target/ms-fs-performance-test-1.0-jar-with-dependencies.jar com.esri.arcgis.performance.test.mat.FeatureServiceConcurrentTester1 https://us-iotdev.arcgis.com/fx1112a/7227004598d39e55/maps/arcgis/rest/services/ safegraph 12 400 ./docs_kube1/safegraph2.txt 800 ./docs_kube1/output2_fs_12_400-2019-113.txt &gt; ./docs_kube1/standard-output2_fs_12_400-2019-1113.txt</t>
  </si>
  <si>
    <t>java -cp ./target/ms-fs-performance-test-1.0-jar-with-dependencies.jar com.esri.arcgis.performance.test.mat.FeatureServiceConcurrentTester1 https://us-iotdev.arcgis.com/fx1112a/7227004598d39e55/maps/arcgis/rest/services/ safegraph 12 600 ./docs_kube1/safegraph2.txt 1200 ./docs_kube1/output2_fs_12_600-2019-113.txt &gt; ./docs_kube1/standard-output2_fs_12_600-2019-1113.txt</t>
  </si>
  <si>
    <t>java -cp ./target/ms-fs-performance-test-1.0-jar-with-dependencies.jar com.esri.arcgis.performance.test.mat.FeatureServiceConcurrentTester1 https://us-iotdev.arcgis.com/fx1112a/7227004598d39e55/maps/arcgis/rest/services/ safegraph 13 200 ./docs_kube1/safegraph2.txt 1800 ./docs_kube1/output2_fs_13_300-2019-113.txt &gt; ./docs_kube1/standard-output2_fs_13_200-2019-1113.txt</t>
  </si>
  <si>
    <t>From Laptop/evelope-set1</t>
  </si>
  <si>
    <t>From Laptop/evelope-set2</t>
  </si>
  <si>
    <t>java -cp ./target/ms-fs-performance-test-1.0-jar-with-dependencies.jar com.esri.arcgis.performance.test.mat.FeatureServiceConcurrentTester1 https://us-iotdev.arcgis.com/fx1112a/7227004598d39e55/maps/arcgis/rest/services/ safegraph 13 600 ./docs_kube1/safegraph2.txt 2400 ./docs_kube1/output2_fs_13_600-2019-113.txt &gt; ./docs_kube1/standard-output2_fs_13_600-2019-1113.txt</t>
  </si>
  <si>
    <t>java -cp ./target/ms-fs-performance-test-1.0-jar-with-dependencies.jar com.esri.arcgis.performance.test.mat.FeatureServiceConcurrentTester1 https://us-iotdev.arcgis.com/fx1112a/7227004598d39e55/maps/arcgis/rest/services/ safegraph 13 400 ./docs_kube1/safegraph2.txt 2000 ./docs_kube1/output2_fs_13_400-2019-113.txt &gt; ./docs_kube1/standard-output2_fs_13_400-2019-1113.txt</t>
  </si>
  <si>
    <t>java -cp ./target/ms-fs-performance-test-1.0-jar-with-dependencies.jar com.esri.arcgis.performance.test.mat.FeatureServiceConcurrentTester1 https://us-iotdev.arcgis.com/fx1112a/7227004598d39e55/maps/arcgis/rest/services/ safegraph 13 800 ./docs_kube1/safegraph1.txt 0 ./docs_kube1/output1_fs_13_800-2019-113.txt &gt; ./docs_kube1/standard-output1_fs_13_800-2019-1113.txt</t>
  </si>
  <si>
    <t>java -cp ./target/ms-fs-performance-test-1.0-jar-with-dependencies.jar com.esri.arcgis.performance.test.mat.FeatureServiceConcurrentTester1 https://us-iotdev.arcgis.com/fx1112a/7227004598d39e55/maps/arcgis/rest/services/ safegraph 14 200 ./docs_kube1/safegraph1.txt 800 ./docs_kube1/output1_fs_14_400-2019-113.txt &gt; ./docs_kube1/standard-output1_fs_14_200-2019-1113.txt</t>
  </si>
  <si>
    <t>java -cp ./target/ms-fs-performance-test-1.0-jar-with-dependencies.jar com.esri.arcgis.performance.test.mat.FeatureServiceConcurrentTester1 https://us-iotdev.arcgis.com/fx1112a/7227004598d39e55/maps/arcgis/rest/services/ safegraph 15 200 ./docs_kube1/safegraph1.txt 1000 ./docs_kube1/output1_fs_15_200-2019-113.txt &gt; ./docs_kube1/standard-output1_fs_15_200-2019-1113.txt</t>
  </si>
  <si>
    <t>java -cp ./target/ms-fs-performance-test-1.0-jar-with-dependencies.jar com.esri.arcgis.performance.test.mat.FeatureServiceConcurrentTester1 https://us-iotdev.arcgis.com/fx1112a/7227004598d39e55/maps/arcgis/rest/services/ safegraph 15 400 ./docs_kube1/safegraph1.txt 1200 ./docs_kube1/output1_fs_15_400-2019-113.txt &gt; ./docs_kube1/standard-output1_fs_15_400-2019-1113.txt</t>
  </si>
  <si>
    <t>java -cp ./target/ms-fs-performance-test-1.0-jar-with-dependencies.jar com.esri.arcgis.performance.test.mat.MapServiceConcurrentTester https://us-iotdev.arcgis.com/fx1112a/7227004598d39e55/maps/arcgis/rest/services/ safegraph 10 200 ./docs_kube1/safegraph3.txt 0 ./docs_kube1/output3_10_200-2019-1114-ms.txt flatHexagon &gt; ./docs_kube1/standard-output3_10_200-2019-1114-ms.txt</t>
  </si>
  <si>
    <t>java -cp ./target/ms-fs-performance-test-1.0-jar-with-dependencies.jar com.esri.arcgis.performance.test.mat.MapServiceConcurrentTester https://us-iotdev.arcgis.com/fx1112a/7227004598d39e55/maps/arcgis/rest/services/ safegraph 11 200 ./docs_kube1/safegraph3.txt 200 ./docs_kube1/output3_11_200-2019-1114-ms.txt flatHexagon &gt; ./docs_kube1/standard-output3_11_200-2019-1114-ms.txt</t>
  </si>
  <si>
    <t>java -cp ./target/ms-fs-performance-test-1.0-jar-with-dependencies.jar com.esri.arcgis.performance.test.mat.MapServiceConcurrentTester https://us-iotdev.arcgis.com/fx1112a/7227004598d39e55/maps/arcgis/rest/services/ safegraph 12 200 ./docs_kube1/safegraph3.txt 200 ./docs_kube1/output3_12_200-2019-1114-ms.txt flatHexagon &gt; ./docs_kube1/standard-output3_12_200-2019-1114-ms.txt</t>
  </si>
  <si>
    <t>java -cp ./target/ms-fs-performance-test-1.0-jar-with-dependencies.jar com.esri.arcgis.performance.test.mat.MapServiceConcurrentTester https://us-iotdev.arcgis.com/fx1112a/7227004598d39e55/maps/arcgis/rest/services/ safegraph 12 200 ./docs_kube1/safegraph3.txt 400 ./docs_kube1/output3_12_200-2019-1114-ms.txt flatHexagon &gt; ./docs_kube1/standard-output3_12_200-2019-1114-ms.txt</t>
  </si>
  <si>
    <t>3 -  datastore cached</t>
  </si>
  <si>
    <t>java -cp ./target/ms-fs-performance-test-1.0-jar-with-dependencies.jar com.esri.arcgis.performance.test.mat.MapServiceConcurrentTester https://us-iotdev.arcgis.com/fx1112a/7227004598d39e55/maps/arcgis/rest/services/ safegraph 12 600 ./docs_kube1/safegraph3.txt 600 ./docs_kube1/output3_12_400-2019-1114-ms.txt flatHexagon &gt; ./docs_kube1/standard-output3_12_400-2019-1114-ms.txt</t>
  </si>
  <si>
    <t>java -cp ./target/ms-fs-performance-test-1.0-jar-with-dependencies.jar com.esri.arcgis.performance.test.mat.MapServiceConcurrentTester https://us-iotdev.arcgis.com/fx1112a/7227004598d39e55/maps/arcgis/rest/services/ safegraph 13 200 ./docs_kube1/safegraph3.txt 1200 ./docs_kube1/output3_13_200-2019-1114-ms.txt flatHexagon &gt; ./docs_kube1/standard-output3_13_200-2019-1114-ms.txt</t>
  </si>
  <si>
    <t>java -cp ./target/ms-fs-performance-test-1.0-jar-with-dependencies.jar com.esri.arcgis.performance.test.mat.MapServiceConcurrentTester https://us-iotdev.arcgis.com/fx1112a/7227004598d39e55/maps/arcgis/rest/services/ safegraph 14 400 ./docs_kube1/safegraph3.txt 1800 ./docs_kube1/output3_14_400-2019-1114-ms.txt flatHexagon &gt; ./docs_kube1/standard-output3_14_400-2019-1114-ms.txt</t>
  </si>
  <si>
    <t>java -cp ./target/ms-fs-performance-test-1.0-jar-with-dependencies.jar com.esri.arcgis.performance.test.mat.MapServiceConcurrentTester https://us-iotdev.arcgis.com/fx1112a/7227004598d39e55/maps/arcgis/rest/services/ safegraph 13 400 ./docs_kube1/safegraph3.txt 1400 ./docs_kube1/output3_13_400-2019-1114-ms.txt flatHexagon &gt; ./docs_kube1/standard-output3_13_400-2019-1114-ms.txt</t>
  </si>
  <si>
    <t>java -cp ./target/ms-fs-performance-test-1.0-jar-with-dependencies.jar com.esri.arcgis.performance.test.mat.MapServiceConcurrentTester https://us-iotdev.arcgis.com/fx1112a/7227004598d39e55/maps/arcgis/rest/services/ safegraph 15 400 ./docs_kube1/safegraph3.txt 2200 ./docs_kube1/output3_15_500-2019-1114-ms.txt flatHexagon &gt; ./docs_kube1/standard-output3_15_400-2019-1114-ms.txt</t>
  </si>
  <si>
    <t>java -cp ./target/ms-fs-performance-test-1.0-jar-with-dependencies.jar com.esri.arcgis.performance.test.mat.MapServiceConcurrentTester https://us-iotdev.arcgis.com/fx1112a/7227004598d39e55/maps/arcgis/rest/services/ safegraph 16 400 ./docs_kube1/safegraph3.txt 2600 ./docs_kube1/output3_16_400-2019-1114-ms.txt flatHexagon &gt; ./docs_kube1/standard-output3_16_400-2019-1114-ms.txt</t>
  </si>
  <si>
    <t>java -cp ./target/ms-fs-performance-test-1.0-jar-with-dependencies.jar com.esri.arcgis.performance.test.mat.MapServiceConcurrentTester https://us-iotdev.arcgis.com/fx1112a/7227004598d39e55/maps/arcgis/rest/services/ safegraph 17 400 ./docs_kube1/safegraph1.txt 0 ./docs_kube1/output1_17_400-2019-1114-ms.txt flatHexagon &gt; ./docs_kube1/standard-output1_17_400-2019-1114-ms.txt</t>
  </si>
  <si>
    <t>java -cp ./target/ms-fs-performance-test-1.0-jar-with-dependencies.jar com.esri.arcgis.performance.test.mat.MapServiceConcurrentTester https://us-iotdev.arcgis.com/fx1112a/7227004598d39e55/maps/arcgis/rest/services/ safegraph 16 400 ./docs_kube1/safegraph1.txt 400 ./docs_kube1/output1_16_400-2019-1114-ms.txt flatHexagon &gt; ./docs_kube1/standard-output1_16_400-2019-1114-ms.txt</t>
  </si>
  <si>
    <t>12 - Mat Crashed</t>
  </si>
  <si>
    <t>java -cp ./target/ms-fs-performance-test-1.0-jar-with-dependencies.jar com.esri.arcgis.performance.test.mat.MapServiceConcurrentTester https://us-iotdev.arcgis.com/fx1112a/7227004598d39e55/maps/arcgis/rest/services/ safegraph 16 300 ./docs_kube1/safegraph1.txt 800 ./docs_kube1/output1_16_300-2019-1114-ms.txt flatHexagon &gt; ./docs_kube1/standard-output1_16_300-2019-1114-ms.txt</t>
  </si>
  <si>
    <t>13 - Mat crashed</t>
  </si>
  <si>
    <t>java -cp ./target/ms-fs-performance-test-1.0-jar-with-dependencies.jar com.esri.arcgis.performance.test.mat.MapServiceConcurrentTester https://us-iotdev.arcgis.com/fx1112a/7227004598d39e55/maps/arcgis/rest/services/ safegraph 15 300 ./docs_kube1/safegraph1.txt 1100 ./docs_kube1/output1_15_300-2019-1114-ms.txt flatHexagon &gt; ./docs_kube1/standard-output1_15_300-2019-1114-ms.txt</t>
  </si>
  <si>
    <t>From Latop / envelope-set1, envelopes are biger than set3?</t>
  </si>
  <si>
    <t>java -cp ./target/ms-fs-performance-test-1.0-jar-with-dependencies.jar com.esri.arcgis.performance.test.mat.MapServiceConcurrentTester https://us-iotdev.arcgis.com/fx1112a/7227004598d39e55/maps/arcgis/rest/services/ safegraph 14 300 ./docs_kube1/safegraph1.txt 1400 ./docs_kube1/output1_14_300-2019-1114-ms.txt flatHexagon &gt; ./docs_kube1/standard-output1_14_300-2019-1114-ms.txt</t>
  </si>
  <si>
    <t>java -cp ./target/ms-fs-performance-test-1.0-jar-with-dependencies.jar com.esri.arcgis.performance.test.mat.MapServiceConcurrentTester https://us-iotdev.arcgis.com/fx1112a/7227004598d39e55/maps/arcgis/rest/services/ safegraph 13 300 ./docs_kube1/safegraph1.txt 1700 ./docs_kube1/output1_13_300-2019-1114-ms.txt flatHexagon &gt; ./docs_kube1/standard-output1_13_300-2019-1114-ms.txt</t>
  </si>
  <si>
    <t>java -cp ./target/ms-fs-performance-test-1.0-jar-with-dependencies.jar com.esri.arcgis.performance.test.mat.MapServiceConcurrentTester https://us-iotdev.arcgis.com/fx1112a/7227004598d39e55/maps/arcgis/rest/services/ safegraph 13 600 ./docs_kube1/safegraph1.txt 2400 ./docs_kube1/output1_13_600-2019-1114-ms.txt flatHexagon &gt; ./docs_kube1/standard-output1_13_600-2019-1114-ms.txt</t>
  </si>
  <si>
    <t>java -cp ./target/ms-fs-performance-test-1.0-jar-with-dependencies.jar com.esri.arcgis.performance.test.mat.MapServiceConcurrentTester https://us-iotdev.arcgis.com/fx1112a/7227004598d39e55/maps/arcgis/rest/services/ safegraph 13 400 ./docs_kube1/safegraph1.txt 2000 ./docs_kube1/output1_13_400-2019-1114-ms.txt flatHexagon &gt; ./docs_kube1/standard-output1_13_400-2019-1114-ms.txt</t>
  </si>
  <si>
    <t>From Latop / envelope-set2</t>
  </si>
  <si>
    <t>java -cp ./target/ms-fs-performance-test-1.0-jar-with-dependencies.jar com.esri.arcgis.performance.test.mat.MapServiceConcurrentTester https://us-iotdev.arcgis.com/fx1112a/7227004598d39e55/maps/arcgis/rest/services/ safegraph 13 600 ./docs_kube1/safegraph2.txt 0 ./docs_kube1/output2_13_600-2019-1114-ms.txt flatHexagon &gt; ./docs_kube1/standard-output2_13_600-2019-1114-ms.txt</t>
  </si>
  <si>
    <t>java -cp ./target/ms-fs-performance-test-1.0-jar-with-dependencies.jar com.esri.arcgis.performance.test.mat.MapServiceConcurrentTester https://us-iotdev.arcgis.com/fx1112a/7227004598d39e55/maps/arcgis/rest/services/ safegraph 14 400 ./docs_kube1/safegraph2.txt 600 ./docs_kube1/output2_14_400-2019-1114-ms.txt flatHexagon &gt; ./docs_kube1/standard-output2_14_400-2019-1114-ms.txt</t>
  </si>
  <si>
    <t>6 - Mat Crashed</t>
  </si>
  <si>
    <t>java -cp ./target/ms-fs-performance-test-1.0-jar-with-dependencies.jar com.esri.arcgis.performance.test.mat.MapServiceConcurrentTester https://us-iotdev.arcgis.com/fx1112a/7227004598d39e55/maps/arcgis/rest/services/ safegraph 22 100 ./docs_kube1/safegraph2.txt 1100 ./docs_kube1/output2_22_100-2019-1114-ms.txt flatHexagon &gt; ./docs_kube1/standard-output2_22_100-2019-1114-ms.txt</t>
  </si>
  <si>
    <t>java -cp ./target/ms-fs-performance-test-1.0-jar-with-dependencies.jar com.esri.arcgis.performance.test.mat.MapServiceConcurrentTester https://us-iotdev.arcgis.com/fx1112a/7227004598d39e55/maps/arcgis/rest/services/ safegraph 20 100 ./docs_kube1/safegraph2.txt 1000 ./docs_kube1/output2_20_100-2019-1114-ms.txt flatHexagon &gt; ./docs_kube1/standard-output2_20_100-2019-1114-ms.txt</t>
  </si>
  <si>
    <t>java -cp ./target/ms-fs-performance-test-1.0-jar-with-dependencies.jar com.esri.arcgis.performance.test.mat.MapServiceConcurrentTester https://us-iotdev.arcgis.com/fx1112a/7227004598d39e55/maps/arcgis/rest/services/ safegraph 30 100 ./docs_kube1/safegraph2.txt 1200 ./docs_kube1/output2_30_100-2019-1114-ms.txt flatHexagon &gt; ./docs_kube1/standard-output2_30_100-2019-1114-ms.txt</t>
  </si>
  <si>
    <t>java -cp ./target/ms-fs-performance-test-1.0-jar-with-dependencies.jar com.esri.arcgis.performance.test.mat.MapServiceConcurrentTester https://us-iotdev.arcgis.com/fx1112a/7227004598d39e55/maps/arcgis/rest/services/ safegraph 40 100 ./docs_kube1/safegraph2.txt 1300 ./docs_kube1/output2_40_100-2019-1114-ms.txt flatHexagon &gt; ./docs_kube1/standard-output2_40_100-2019-1114-ms.txt</t>
  </si>
  <si>
    <t>java -cp ./target/ms-fs-performance-test-1.0-jar-with-dependencies.jar com.esri.arcgis.performance.test.mat.MapServiceConcurrentTester https://us-iotdev.arcgis.com/fx1112a/7227004598d39e55/maps/arcgis/rest/services/ safegraph 100 100 ./docs_kube1/safegraph2.txt 1400 ./docs_kube1/output2_100_100-2019-1114-ms.txt flatHexagon &gt; ./docs_kube1/standard-output2_100_100-2019-1114-ms.txt</t>
  </si>
  <si>
    <t>java -cp ./target/ms-fs-performance-test-1.0-jar-with-dependencies.jar com.esri.arcgis.performance.test.mat.MapServiceConcurrentTester https://us-iotdev.arcgis.com/fx1112a/7227004598d39e55/maps/arcgis/rest/services/ safegraph 50 100 ./docs_kube1/safegraph2.txt 1500 ./docs_kube1/output2_50_100-2019-1114-ms.txt flatHexagon &gt; ./docs_kube1/standard-output2_50_100-2019-1114-ms.txt</t>
  </si>
  <si>
    <t>java -cp ./target/ms-fs-performance-test-1.0-jar-with-dependencies.jar com.esri.arcgis.performance.test.mat.MapServiceConcurrentTester https://us-iotdev.arcgis.com/fx1112a/7227004598d39e55/maps/arcgis/rest/services/ safegraph 13 100 ./docs_kube1/safegraph2.txt 1600 ./docs_kube1/output2_13_100-2019-1114-ms.txt flatHexagon &gt; ./docs_kube1/standard-output2_13_100-2019-1114-ms.txt</t>
  </si>
  <si>
    <t>java -cp ./target/ms-fs-performance-test-1.0-jar-with-dependencies.jar com.esri.arcgis.performance.test.mat.MapServiceConcurrentTester https://us-iotdev.arcgis.com/fx1112a/7227004598d39e55/maps/arcgis/rest/services/ safegraph 13 1000 ./docs_kube1/safegraph2.txt 1700 ./docs_kube1/output2_13_1000-2019-1114-ms.txt flatHexagon &gt; ./docs_kube1/standard-output2_13_1000-2019-1114-ms.txt</t>
  </si>
  <si>
    <t>5 - MAT crashed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</si>
</sst>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FF0000"/>
      <name val="Calibri"/>
      <family val="2"/>
      <scheme val="minor"/>
    </font>
    <font>
      <b/>
      <sz val="12"/>
      <color theme="1"/>
      <name val="Calibri"/>
      <family val="2"/>
      <scheme val="minor"/>
    </font>
    <font>
      <sz val="12"/>
      <color rgb="FF00B0F0"/>
      <name val="Calibri"/>
      <family val="2"/>
      <scheme val="minor"/>
    </font>
    <font>
      <sz val="12"/>
      <color rgb="FFC00000"/>
      <name val="Calibri"/>
      <family val="2"/>
      <scheme val="minor"/>
    </font>
    <font>
      <b/>
      <sz val="12"/>
      <color rgb="FFC00000"/>
      <name val="Calibri"/>
      <family val="2"/>
      <scheme val="minor"/>
    </font>
    <font>
      <b/>
      <sz val="16"/>
      <color rgb="FF7030A0"/>
      <name val="Calibri"/>
      <family val="2"/>
      <scheme val="minor"/>
    </font>
    <font>
      <b/>
      <sz val="12"/>
      <color rgb="FFFF0000"/>
      <name val="Calibri"/>
      <family val="2"/>
      <scheme val="minor"/>
    </font>
    <font>
      <b/>
      <sz val="14"/>
      <color rgb="FF7030A0"/>
      <name val="Calibri"/>
      <family val="2"/>
      <scheme val="minor"/>
    </font>
    <font>
      <b/>
      <sz val="14"/>
      <color rgb="FF7030A0"/>
      <name val="Calibri (Body)"/>
    </font>
    <font>
      <sz val="9"/>
      <color rgb="FFA9B7C6"/>
      <name val="Menlo"/>
      <family val="2"/>
    </font>
    <font>
      <sz val="9"/>
      <color rgb="FF6A8759"/>
      <name val="Menlo"/>
      <family val="2"/>
    </font>
    <font>
      <b/>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3" fillId="0" borderId="0" xfId="0" applyFont="1"/>
    <xf numFmtId="14" fontId="0" fillId="0" borderId="0" xfId="0" applyNumberFormat="1"/>
    <xf numFmtId="17" fontId="0" fillId="0" borderId="0" xfId="0" applyNumberFormat="1"/>
    <xf numFmtId="0" fontId="0" fillId="2" borderId="0" xfId="0" applyFill="1"/>
    <xf numFmtId="0" fontId="5" fillId="2" borderId="0" xfId="0" applyFont="1" applyFill="1"/>
    <xf numFmtId="0" fontId="4" fillId="2" borderId="0" xfId="0" applyFont="1" applyFill="1"/>
    <xf numFmtId="0" fontId="6" fillId="0" borderId="0" xfId="0" applyFont="1"/>
    <xf numFmtId="0" fontId="7" fillId="0" borderId="0" xfId="0" applyFont="1"/>
    <xf numFmtId="0" fontId="8" fillId="0" borderId="0" xfId="0" applyFont="1"/>
    <xf numFmtId="0" fontId="0" fillId="0" borderId="0" xfId="0" applyFont="1"/>
    <xf numFmtId="14" fontId="9" fillId="0" borderId="0" xfId="0" applyNumberFormat="1" applyFont="1"/>
    <xf numFmtId="0" fontId="0" fillId="0" borderId="0" xfId="0" applyAlignment="1">
      <alignment wrapText="1"/>
    </xf>
    <xf numFmtId="0" fontId="10" fillId="0" borderId="0" xfId="0" applyFont="1"/>
    <xf numFmtId="0" fontId="11" fillId="0" borderId="0" xfId="0" applyFont="1"/>
    <xf numFmtId="14" fontId="1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Sheet1!$B$7:$B$14</c:f>
              <c:numCache>
                <c:formatCode>General</c:formatCode>
                <c:ptCount val="8"/>
                <c:pt idx="0">
                  <c:v>10</c:v>
                </c:pt>
                <c:pt idx="1">
                  <c:v>20</c:v>
                </c:pt>
                <c:pt idx="2">
                  <c:v>30</c:v>
                </c:pt>
                <c:pt idx="3">
                  <c:v>40</c:v>
                </c:pt>
                <c:pt idx="4">
                  <c:v>50</c:v>
                </c:pt>
                <c:pt idx="5">
                  <c:v>60</c:v>
                </c:pt>
                <c:pt idx="6">
                  <c:v>80</c:v>
                </c:pt>
                <c:pt idx="7">
                  <c:v>100</c:v>
                </c:pt>
              </c:numCache>
            </c:numRef>
          </c:xVal>
          <c:yVal>
            <c:numRef>
              <c:f>Sheet1!$C$7:$C$14</c:f>
              <c:numCache>
                <c:formatCode>General</c:formatCode>
                <c:ptCount val="8"/>
                <c:pt idx="0">
                  <c:v>3235</c:v>
                </c:pt>
                <c:pt idx="1">
                  <c:v>5527</c:v>
                </c:pt>
                <c:pt idx="2">
                  <c:v>8071</c:v>
                </c:pt>
                <c:pt idx="3">
                  <c:v>10260</c:v>
                </c:pt>
                <c:pt idx="4">
                  <c:v>12615</c:v>
                </c:pt>
                <c:pt idx="5">
                  <c:v>14837</c:v>
                </c:pt>
                <c:pt idx="6">
                  <c:v>19278</c:v>
                </c:pt>
                <c:pt idx="7">
                  <c:v>21433</c:v>
                </c:pt>
              </c:numCache>
            </c:numRef>
          </c:yVal>
          <c:smooth val="1"/>
          <c:extLst>
            <c:ext xmlns:c16="http://schemas.microsoft.com/office/drawing/2014/chart" uri="{C3380CC4-5D6E-409C-BE32-E72D297353CC}">
              <c16:uniqueId val="{00000000-4F0C-A644-AE65-78A25C0D202A}"/>
            </c:ext>
          </c:extLst>
        </c:ser>
        <c:dLbls>
          <c:showLegendKey val="0"/>
          <c:showVal val="0"/>
          <c:showCatName val="0"/>
          <c:showSerName val="0"/>
          <c:showPercent val="0"/>
          <c:showBubbleSize val="0"/>
        </c:dLbls>
        <c:axId val="572229104"/>
        <c:axId val="572251680"/>
      </c:scatterChart>
      <c:valAx>
        <c:axId val="572229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1680"/>
        <c:crosses val="autoZero"/>
        <c:crossBetween val="midCat"/>
      </c:valAx>
      <c:valAx>
        <c:axId val="572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Sheet1!$B$103:$B$107</c:f>
              <c:numCache>
                <c:formatCode>General</c:formatCode>
                <c:ptCount val="5"/>
                <c:pt idx="0">
                  <c:v>30</c:v>
                </c:pt>
                <c:pt idx="1">
                  <c:v>40</c:v>
                </c:pt>
                <c:pt idx="2">
                  <c:v>45</c:v>
                </c:pt>
                <c:pt idx="3">
                  <c:v>50</c:v>
                </c:pt>
                <c:pt idx="4">
                  <c:v>60</c:v>
                </c:pt>
              </c:numCache>
            </c:numRef>
          </c:xVal>
          <c:yVal>
            <c:numRef>
              <c:f>Sheet1!$C$103:$C$107</c:f>
              <c:numCache>
                <c:formatCode>General</c:formatCode>
                <c:ptCount val="5"/>
                <c:pt idx="0">
                  <c:v>12501</c:v>
                </c:pt>
                <c:pt idx="1">
                  <c:v>12514</c:v>
                </c:pt>
                <c:pt idx="2">
                  <c:v>10171</c:v>
                </c:pt>
                <c:pt idx="3">
                  <c:v>10886</c:v>
                </c:pt>
                <c:pt idx="4">
                  <c:v>18316</c:v>
                </c:pt>
              </c:numCache>
            </c:numRef>
          </c:yVal>
          <c:smooth val="0"/>
          <c:extLst>
            <c:ext xmlns:c16="http://schemas.microsoft.com/office/drawing/2014/chart" uri="{C3380CC4-5D6E-409C-BE32-E72D297353CC}">
              <c16:uniqueId val="{00000000-B93A-8146-8A69-3F3E07D8E657}"/>
            </c:ext>
          </c:extLst>
        </c:ser>
        <c:dLbls>
          <c:showLegendKey val="0"/>
          <c:showVal val="0"/>
          <c:showCatName val="0"/>
          <c:showSerName val="0"/>
          <c:showPercent val="0"/>
          <c:showBubbleSize val="0"/>
        </c:dLbls>
        <c:axId val="290345375"/>
        <c:axId val="478729823"/>
      </c:scatterChart>
      <c:valAx>
        <c:axId val="29034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29823"/>
        <c:crosses val="autoZero"/>
        <c:crossBetween val="midCat"/>
      </c:valAx>
      <c:valAx>
        <c:axId val="47872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4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Sheet1!$G$103:$G$107</c:f>
              <c:numCache>
                <c:formatCode>General</c:formatCode>
                <c:ptCount val="5"/>
                <c:pt idx="0">
                  <c:v>30</c:v>
                </c:pt>
                <c:pt idx="1">
                  <c:v>40</c:v>
                </c:pt>
                <c:pt idx="2">
                  <c:v>45</c:v>
                </c:pt>
                <c:pt idx="3">
                  <c:v>50</c:v>
                </c:pt>
                <c:pt idx="4">
                  <c:v>60</c:v>
                </c:pt>
              </c:numCache>
            </c:numRef>
          </c:xVal>
          <c:yVal>
            <c:numRef>
              <c:f>Sheet1!$H$103:$H$107</c:f>
              <c:numCache>
                <c:formatCode>mmm\-yy</c:formatCode>
                <c:ptCount val="5"/>
                <c:pt idx="0" formatCode="General">
                  <c:v>0</c:v>
                </c:pt>
                <c:pt idx="1">
                  <c:v>2.5000000000000001E-2</c:v>
                </c:pt>
                <c:pt idx="2">
                  <c:v>0.24444444444444444</c:v>
                </c:pt>
                <c:pt idx="3" formatCode="General">
                  <c:v>0.26</c:v>
                </c:pt>
                <c:pt idx="4" formatCode="General">
                  <c:v>0.2</c:v>
                </c:pt>
              </c:numCache>
            </c:numRef>
          </c:yVal>
          <c:smooth val="0"/>
          <c:extLst>
            <c:ext xmlns:c16="http://schemas.microsoft.com/office/drawing/2014/chart" uri="{C3380CC4-5D6E-409C-BE32-E72D297353CC}">
              <c16:uniqueId val="{00000000-52F4-A44D-A79C-68A78A76372E}"/>
            </c:ext>
          </c:extLst>
        </c:ser>
        <c:dLbls>
          <c:showLegendKey val="0"/>
          <c:showVal val="0"/>
          <c:showCatName val="0"/>
          <c:showSerName val="0"/>
          <c:showPercent val="0"/>
          <c:showBubbleSize val="0"/>
        </c:dLbls>
        <c:axId val="450361711"/>
        <c:axId val="450153583"/>
      </c:scatterChart>
      <c:valAx>
        <c:axId val="4503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53583"/>
        <c:crosses val="autoZero"/>
        <c:crossBetween val="midCat"/>
      </c:valAx>
      <c:valAx>
        <c:axId val="4501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Sheet1!$B$118:$B$122</c:f>
              <c:numCache>
                <c:formatCode>General</c:formatCode>
                <c:ptCount val="5"/>
                <c:pt idx="0">
                  <c:v>20</c:v>
                </c:pt>
                <c:pt idx="1">
                  <c:v>30</c:v>
                </c:pt>
                <c:pt idx="2">
                  <c:v>40</c:v>
                </c:pt>
                <c:pt idx="3">
                  <c:v>50</c:v>
                </c:pt>
                <c:pt idx="4">
                  <c:v>60</c:v>
                </c:pt>
              </c:numCache>
            </c:numRef>
          </c:xVal>
          <c:yVal>
            <c:numRef>
              <c:f>Sheet1!$C$118:$C$122</c:f>
              <c:numCache>
                <c:formatCode>General</c:formatCode>
                <c:ptCount val="5"/>
                <c:pt idx="0">
                  <c:v>8389</c:v>
                </c:pt>
                <c:pt idx="1">
                  <c:v>8493</c:v>
                </c:pt>
                <c:pt idx="2">
                  <c:v>7942</c:v>
                </c:pt>
                <c:pt idx="3">
                  <c:v>10199</c:v>
                </c:pt>
                <c:pt idx="4">
                  <c:v>11594</c:v>
                </c:pt>
              </c:numCache>
            </c:numRef>
          </c:yVal>
          <c:smooth val="0"/>
          <c:extLst>
            <c:ext xmlns:c16="http://schemas.microsoft.com/office/drawing/2014/chart" uri="{C3380CC4-5D6E-409C-BE32-E72D297353CC}">
              <c16:uniqueId val="{00000000-C762-8445-9ABC-C2ABBD294A3A}"/>
            </c:ext>
          </c:extLst>
        </c:ser>
        <c:dLbls>
          <c:showLegendKey val="0"/>
          <c:showVal val="0"/>
          <c:showCatName val="0"/>
          <c:showSerName val="0"/>
          <c:showPercent val="0"/>
          <c:showBubbleSize val="0"/>
        </c:dLbls>
        <c:axId val="503527983"/>
        <c:axId val="510945727"/>
      </c:scatterChart>
      <c:valAx>
        <c:axId val="50352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727"/>
        <c:crosses val="autoZero"/>
        <c:crossBetween val="midCat"/>
      </c:valAx>
      <c:valAx>
        <c:axId val="510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2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layout>
        <c:manualLayout>
          <c:xMode val="edge"/>
          <c:yMode val="edge"/>
          <c:x val="0.459493000874890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Sheet1!$G$118:$G$122</c:f>
              <c:numCache>
                <c:formatCode>General</c:formatCode>
                <c:ptCount val="5"/>
                <c:pt idx="0">
                  <c:v>20</c:v>
                </c:pt>
                <c:pt idx="1">
                  <c:v>30</c:v>
                </c:pt>
                <c:pt idx="2">
                  <c:v>40</c:v>
                </c:pt>
                <c:pt idx="3">
                  <c:v>50</c:v>
                </c:pt>
                <c:pt idx="4">
                  <c:v>60</c:v>
                </c:pt>
              </c:numCache>
            </c:numRef>
          </c:xVal>
          <c:yVal>
            <c:numRef>
              <c:f>Sheet1!$H$118:$H$122</c:f>
              <c:numCache>
                <c:formatCode>General</c:formatCode>
                <c:ptCount val="5"/>
                <c:pt idx="0">
                  <c:v>0</c:v>
                </c:pt>
                <c:pt idx="1">
                  <c:v>0.1</c:v>
                </c:pt>
                <c:pt idx="2">
                  <c:v>0.35</c:v>
                </c:pt>
                <c:pt idx="3">
                  <c:v>0.38</c:v>
                </c:pt>
                <c:pt idx="4">
                  <c:v>0.35</c:v>
                </c:pt>
              </c:numCache>
            </c:numRef>
          </c:yVal>
          <c:smooth val="0"/>
          <c:extLst>
            <c:ext xmlns:c16="http://schemas.microsoft.com/office/drawing/2014/chart" uri="{C3380CC4-5D6E-409C-BE32-E72D297353CC}">
              <c16:uniqueId val="{00000000-BA66-3F43-A601-A438417ECE07}"/>
            </c:ext>
          </c:extLst>
        </c:ser>
        <c:dLbls>
          <c:showLegendKey val="0"/>
          <c:showVal val="0"/>
          <c:showCatName val="0"/>
          <c:showSerName val="0"/>
          <c:showPercent val="0"/>
          <c:showBubbleSize val="0"/>
        </c:dLbls>
        <c:axId val="451767695"/>
        <c:axId val="510942047"/>
      </c:scatterChart>
      <c:valAx>
        <c:axId val="45176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2047"/>
        <c:crosses val="autoZero"/>
        <c:crossBetween val="midCat"/>
      </c:valAx>
      <c:valAx>
        <c:axId val="5109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Sheet1!$B$137:$B$140</c:f>
              <c:numCache>
                <c:formatCode>General</c:formatCode>
                <c:ptCount val="4"/>
                <c:pt idx="0">
                  <c:v>10</c:v>
                </c:pt>
                <c:pt idx="1">
                  <c:v>20</c:v>
                </c:pt>
                <c:pt idx="2">
                  <c:v>25</c:v>
                </c:pt>
                <c:pt idx="3">
                  <c:v>30</c:v>
                </c:pt>
              </c:numCache>
            </c:numRef>
          </c:xVal>
          <c:yVal>
            <c:numRef>
              <c:f>Sheet1!$C$137:$C$140</c:f>
              <c:numCache>
                <c:formatCode>General</c:formatCode>
                <c:ptCount val="4"/>
                <c:pt idx="0">
                  <c:v>4476</c:v>
                </c:pt>
                <c:pt idx="1">
                  <c:v>9591</c:v>
                </c:pt>
                <c:pt idx="2">
                  <c:v>12346</c:v>
                </c:pt>
                <c:pt idx="3">
                  <c:v>12051</c:v>
                </c:pt>
              </c:numCache>
            </c:numRef>
          </c:yVal>
          <c:smooth val="0"/>
          <c:extLst>
            <c:ext xmlns:c16="http://schemas.microsoft.com/office/drawing/2014/chart" uri="{C3380CC4-5D6E-409C-BE32-E72D297353CC}">
              <c16:uniqueId val="{00000000-D9A9-4342-A5E2-124975E9F3A7}"/>
            </c:ext>
          </c:extLst>
        </c:ser>
        <c:dLbls>
          <c:showLegendKey val="0"/>
          <c:showVal val="0"/>
          <c:showCatName val="0"/>
          <c:showSerName val="0"/>
          <c:showPercent val="0"/>
          <c:showBubbleSize val="0"/>
        </c:dLbls>
        <c:axId val="452196127"/>
        <c:axId val="24417775"/>
      </c:scatterChart>
      <c:valAx>
        <c:axId val="45219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775"/>
        <c:crosses val="autoZero"/>
        <c:crossBetween val="midCat"/>
      </c:valAx>
      <c:valAx>
        <c:axId val="244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6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Sheet1!$G$137:$G$140</c:f>
              <c:numCache>
                <c:formatCode>General</c:formatCode>
                <c:ptCount val="4"/>
                <c:pt idx="0">
                  <c:v>10</c:v>
                </c:pt>
                <c:pt idx="1">
                  <c:v>20</c:v>
                </c:pt>
                <c:pt idx="2">
                  <c:v>25</c:v>
                </c:pt>
                <c:pt idx="3">
                  <c:v>30</c:v>
                </c:pt>
              </c:numCache>
            </c:numRef>
          </c:xVal>
          <c:yVal>
            <c:numRef>
              <c:f>Sheet1!$H$137:$H$140</c:f>
              <c:numCache>
                <c:formatCode>General</c:formatCode>
                <c:ptCount val="4"/>
                <c:pt idx="0">
                  <c:v>0</c:v>
                </c:pt>
                <c:pt idx="1">
                  <c:v>0</c:v>
                </c:pt>
                <c:pt idx="2">
                  <c:v>0.04</c:v>
                </c:pt>
                <c:pt idx="3">
                  <c:v>0.48</c:v>
                </c:pt>
              </c:numCache>
            </c:numRef>
          </c:yVal>
          <c:smooth val="0"/>
          <c:extLst>
            <c:ext xmlns:c16="http://schemas.microsoft.com/office/drawing/2014/chart" uri="{C3380CC4-5D6E-409C-BE32-E72D297353CC}">
              <c16:uniqueId val="{00000000-A257-0944-9CF9-B7C23D417995}"/>
            </c:ext>
          </c:extLst>
        </c:ser>
        <c:dLbls>
          <c:showLegendKey val="0"/>
          <c:showVal val="0"/>
          <c:showCatName val="0"/>
          <c:showSerName val="0"/>
          <c:showPercent val="0"/>
          <c:showBubbleSize val="0"/>
        </c:dLbls>
        <c:axId val="452833375"/>
        <c:axId val="488286751"/>
      </c:scatterChart>
      <c:valAx>
        <c:axId val="4528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6751"/>
        <c:crosses val="autoZero"/>
        <c:crossBetween val="midCat"/>
      </c:valAx>
      <c:valAx>
        <c:axId val="4882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Sheet1!$G$152:$G$155</c:f>
              <c:numCache>
                <c:formatCode>General</c:formatCode>
                <c:ptCount val="4"/>
                <c:pt idx="0">
                  <c:v>10</c:v>
                </c:pt>
                <c:pt idx="1">
                  <c:v>20</c:v>
                </c:pt>
                <c:pt idx="2">
                  <c:v>25</c:v>
                </c:pt>
                <c:pt idx="3">
                  <c:v>30</c:v>
                </c:pt>
              </c:numCache>
            </c:numRef>
          </c:xVal>
          <c:yVal>
            <c:numRef>
              <c:f>Sheet1!$H$152:$H$155</c:f>
              <c:numCache>
                <c:formatCode>General</c:formatCode>
                <c:ptCount val="4"/>
                <c:pt idx="0">
                  <c:v>0</c:v>
                </c:pt>
                <c:pt idx="1">
                  <c:v>0</c:v>
                </c:pt>
                <c:pt idx="2">
                  <c:v>6.5000000000000002E-2</c:v>
                </c:pt>
                <c:pt idx="3">
                  <c:v>0.55000000000000004</c:v>
                </c:pt>
              </c:numCache>
            </c:numRef>
          </c:yVal>
          <c:smooth val="0"/>
          <c:extLst>
            <c:ext xmlns:c16="http://schemas.microsoft.com/office/drawing/2014/chart" uri="{C3380CC4-5D6E-409C-BE32-E72D297353CC}">
              <c16:uniqueId val="{00000000-7461-A746-B143-3100FAB99325}"/>
            </c:ext>
          </c:extLst>
        </c:ser>
        <c:dLbls>
          <c:showLegendKey val="0"/>
          <c:showVal val="0"/>
          <c:showCatName val="0"/>
          <c:showSerName val="0"/>
          <c:showPercent val="0"/>
          <c:showBubbleSize val="0"/>
        </c:dLbls>
        <c:axId val="486736383"/>
        <c:axId val="327669759"/>
      </c:scatterChart>
      <c:valAx>
        <c:axId val="48673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69759"/>
        <c:crosses val="autoZero"/>
        <c:crossBetween val="midCat"/>
      </c:valAx>
      <c:valAx>
        <c:axId val="3276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3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Sheet1!$B$152:$B$155</c:f>
              <c:numCache>
                <c:formatCode>General</c:formatCode>
                <c:ptCount val="4"/>
                <c:pt idx="0">
                  <c:v>10</c:v>
                </c:pt>
                <c:pt idx="1">
                  <c:v>20</c:v>
                </c:pt>
                <c:pt idx="2">
                  <c:v>25</c:v>
                </c:pt>
                <c:pt idx="3">
                  <c:v>30</c:v>
                </c:pt>
              </c:numCache>
            </c:numRef>
          </c:xVal>
          <c:yVal>
            <c:numRef>
              <c:f>Sheet1!$C$152:$C$155</c:f>
              <c:numCache>
                <c:formatCode>General</c:formatCode>
                <c:ptCount val="4"/>
                <c:pt idx="0">
                  <c:v>4388</c:v>
                </c:pt>
                <c:pt idx="1">
                  <c:v>5021</c:v>
                </c:pt>
                <c:pt idx="2">
                  <c:v>10873</c:v>
                </c:pt>
                <c:pt idx="3">
                  <c:v>13818</c:v>
                </c:pt>
              </c:numCache>
            </c:numRef>
          </c:yVal>
          <c:smooth val="0"/>
          <c:extLst>
            <c:ext xmlns:c16="http://schemas.microsoft.com/office/drawing/2014/chart" uri="{C3380CC4-5D6E-409C-BE32-E72D297353CC}">
              <c16:uniqueId val="{00000000-DAE7-8E4A-99E1-438493F69858}"/>
            </c:ext>
          </c:extLst>
        </c:ser>
        <c:dLbls>
          <c:showLegendKey val="0"/>
          <c:showVal val="0"/>
          <c:showCatName val="0"/>
          <c:showSerName val="0"/>
          <c:showPercent val="0"/>
          <c:showBubbleSize val="0"/>
        </c:dLbls>
        <c:axId val="450842751"/>
        <c:axId val="450853887"/>
      </c:scatterChart>
      <c:valAx>
        <c:axId val="45084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3887"/>
        <c:crosses val="autoZero"/>
        <c:crossBetween val="midCat"/>
      </c:valAx>
      <c:valAx>
        <c:axId val="4508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Sheet1!$B$190:$B$202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Sheet1!$C$190:$C$202</c:f>
              <c:numCache>
                <c:formatCode>General</c:formatCode>
                <c:ptCount val="13"/>
                <c:pt idx="0">
                  <c:v>4336</c:v>
                </c:pt>
                <c:pt idx="1">
                  <c:v>5283</c:v>
                </c:pt>
                <c:pt idx="2">
                  <c:v>6266</c:v>
                </c:pt>
                <c:pt idx="3">
                  <c:v>8374</c:v>
                </c:pt>
                <c:pt idx="4">
                  <c:v>9737</c:v>
                </c:pt>
                <c:pt idx="5">
                  <c:v>11481</c:v>
                </c:pt>
                <c:pt idx="6">
                  <c:v>12362</c:v>
                </c:pt>
                <c:pt idx="7">
                  <c:v>12865</c:v>
                </c:pt>
                <c:pt idx="8">
                  <c:v>15535</c:v>
                </c:pt>
                <c:pt idx="9">
                  <c:v>16452</c:v>
                </c:pt>
                <c:pt idx="10">
                  <c:v>18409</c:v>
                </c:pt>
                <c:pt idx="11">
                  <c:v>21408</c:v>
                </c:pt>
                <c:pt idx="12">
                  <c:v>32730</c:v>
                </c:pt>
              </c:numCache>
            </c:numRef>
          </c:yVal>
          <c:smooth val="0"/>
          <c:extLst>
            <c:ext xmlns:c16="http://schemas.microsoft.com/office/drawing/2014/chart" uri="{C3380CC4-5D6E-409C-BE32-E72D297353CC}">
              <c16:uniqueId val="{00000000-8482-9D42-9775-106E8083779F}"/>
            </c:ext>
          </c:extLst>
        </c:ser>
        <c:dLbls>
          <c:showLegendKey val="0"/>
          <c:showVal val="0"/>
          <c:showCatName val="0"/>
          <c:showSerName val="0"/>
          <c:showPercent val="0"/>
          <c:showBubbleSize val="0"/>
        </c:dLbls>
        <c:axId val="452843791"/>
        <c:axId val="452122015"/>
      </c:scatterChart>
      <c:valAx>
        <c:axId val="45284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22015"/>
        <c:crosses val="autoZero"/>
        <c:crossBetween val="midCat"/>
      </c:valAx>
      <c:valAx>
        <c:axId val="4521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4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Sheet1!$G$190:$G$202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Sheet1!$H$190:$H$202</c:f>
              <c:numCache>
                <c:formatCode>General</c:formatCode>
                <c:ptCount val="13"/>
                <c:pt idx="0">
                  <c:v>0</c:v>
                </c:pt>
                <c:pt idx="1">
                  <c:v>0</c:v>
                </c:pt>
                <c:pt idx="2">
                  <c:v>0</c:v>
                </c:pt>
                <c:pt idx="3">
                  <c:v>0</c:v>
                </c:pt>
                <c:pt idx="4">
                  <c:v>0</c:v>
                </c:pt>
                <c:pt idx="5">
                  <c:v>0.02</c:v>
                </c:pt>
                <c:pt idx="6">
                  <c:v>0</c:v>
                </c:pt>
                <c:pt idx="7">
                  <c:v>0</c:v>
                </c:pt>
                <c:pt idx="8">
                  <c:v>0.02</c:v>
                </c:pt>
                <c:pt idx="9">
                  <c:v>6.5000000000000002E-2</c:v>
                </c:pt>
                <c:pt idx="10">
                  <c:v>0.04</c:v>
                </c:pt>
                <c:pt idx="11">
                  <c:v>5.5E-2</c:v>
                </c:pt>
                <c:pt idx="12">
                  <c:v>0.16166666666666665</c:v>
                </c:pt>
              </c:numCache>
            </c:numRef>
          </c:yVal>
          <c:smooth val="0"/>
          <c:extLst>
            <c:ext xmlns:c16="http://schemas.microsoft.com/office/drawing/2014/chart" uri="{C3380CC4-5D6E-409C-BE32-E72D297353CC}">
              <c16:uniqueId val="{00000000-718D-1F46-B499-3CCF5B5F3616}"/>
            </c:ext>
          </c:extLst>
        </c:ser>
        <c:dLbls>
          <c:showLegendKey val="0"/>
          <c:showVal val="0"/>
          <c:showCatName val="0"/>
          <c:showSerName val="0"/>
          <c:showPercent val="0"/>
          <c:showBubbleSize val="0"/>
        </c:dLbls>
        <c:axId val="328698783"/>
        <c:axId val="488961983"/>
      </c:scatterChart>
      <c:valAx>
        <c:axId val="3286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1983"/>
        <c:crosses val="autoZero"/>
        <c:crossBetween val="midCat"/>
      </c:valAx>
      <c:valAx>
        <c:axId val="48896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Sheet1!$B$24:$B$27</c:f>
              <c:numCache>
                <c:formatCode>General</c:formatCode>
                <c:ptCount val="4"/>
                <c:pt idx="0">
                  <c:v>10</c:v>
                </c:pt>
                <c:pt idx="1">
                  <c:v>15</c:v>
                </c:pt>
                <c:pt idx="2">
                  <c:v>20</c:v>
                </c:pt>
                <c:pt idx="3">
                  <c:v>30</c:v>
                </c:pt>
              </c:numCache>
            </c:numRef>
          </c:xVal>
          <c:yVal>
            <c:numRef>
              <c:f>Sheet1!$C$24:$C$27</c:f>
              <c:numCache>
                <c:formatCode>General</c:formatCode>
                <c:ptCount val="4"/>
                <c:pt idx="0">
                  <c:v>4120</c:v>
                </c:pt>
                <c:pt idx="1">
                  <c:v>5424</c:v>
                </c:pt>
                <c:pt idx="2">
                  <c:v>8925</c:v>
                </c:pt>
                <c:pt idx="3">
                  <c:v>12660</c:v>
                </c:pt>
              </c:numCache>
            </c:numRef>
          </c:yVal>
          <c:smooth val="1"/>
          <c:extLst>
            <c:ext xmlns:c16="http://schemas.microsoft.com/office/drawing/2014/chart" uri="{C3380CC4-5D6E-409C-BE32-E72D297353CC}">
              <c16:uniqueId val="{00000000-6E7C-8248-9B79-9B444A7D4995}"/>
            </c:ext>
          </c:extLst>
        </c:ser>
        <c:dLbls>
          <c:showLegendKey val="0"/>
          <c:showVal val="0"/>
          <c:showCatName val="0"/>
          <c:showSerName val="0"/>
          <c:showPercent val="0"/>
          <c:showBubbleSize val="0"/>
        </c:dLbls>
        <c:axId val="292554831"/>
        <c:axId val="452534495"/>
      </c:scatterChart>
      <c:valAx>
        <c:axId val="29255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4495"/>
        <c:crosses val="autoZero"/>
        <c:crossBetween val="midCat"/>
      </c:valAx>
      <c:valAx>
        <c:axId val="4525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5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Sheet1!$B$209:$B$214</c:f>
              <c:numCache>
                <c:formatCode>General</c:formatCode>
                <c:ptCount val="6"/>
                <c:pt idx="0">
                  <c:v>20</c:v>
                </c:pt>
                <c:pt idx="1">
                  <c:v>25</c:v>
                </c:pt>
                <c:pt idx="2">
                  <c:v>30</c:v>
                </c:pt>
                <c:pt idx="3">
                  <c:v>40</c:v>
                </c:pt>
                <c:pt idx="4">
                  <c:v>50</c:v>
                </c:pt>
                <c:pt idx="5">
                  <c:v>60</c:v>
                </c:pt>
              </c:numCache>
            </c:numRef>
          </c:xVal>
          <c:yVal>
            <c:numRef>
              <c:f>Sheet1!$C$209:$C$214</c:f>
              <c:numCache>
                <c:formatCode>General</c:formatCode>
                <c:ptCount val="6"/>
                <c:pt idx="0">
                  <c:v>6308</c:v>
                </c:pt>
                <c:pt idx="1">
                  <c:v>7347</c:v>
                </c:pt>
                <c:pt idx="2">
                  <c:v>8803</c:v>
                </c:pt>
                <c:pt idx="3">
                  <c:v>11746</c:v>
                </c:pt>
                <c:pt idx="4">
                  <c:v>14868</c:v>
                </c:pt>
                <c:pt idx="5">
                  <c:v>15380</c:v>
                </c:pt>
              </c:numCache>
            </c:numRef>
          </c:yVal>
          <c:smooth val="0"/>
          <c:extLst>
            <c:ext xmlns:c16="http://schemas.microsoft.com/office/drawing/2014/chart" uri="{C3380CC4-5D6E-409C-BE32-E72D297353CC}">
              <c16:uniqueId val="{00000000-E4A8-044F-82B2-D17FFE3B7AD8}"/>
            </c:ext>
          </c:extLst>
        </c:ser>
        <c:dLbls>
          <c:showLegendKey val="0"/>
          <c:showVal val="0"/>
          <c:showCatName val="0"/>
          <c:showSerName val="0"/>
          <c:showPercent val="0"/>
          <c:showBubbleSize val="0"/>
        </c:dLbls>
        <c:axId val="292989311"/>
        <c:axId val="542345375"/>
      </c:scatterChart>
      <c:valAx>
        <c:axId val="29298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45375"/>
        <c:crosses val="autoZero"/>
        <c:crossBetween val="midCat"/>
      </c:valAx>
      <c:valAx>
        <c:axId val="5423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89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Sheet1!$G$209:$G$214</c:f>
              <c:numCache>
                <c:formatCode>General</c:formatCode>
                <c:ptCount val="6"/>
                <c:pt idx="0">
                  <c:v>20</c:v>
                </c:pt>
                <c:pt idx="1">
                  <c:v>25</c:v>
                </c:pt>
                <c:pt idx="2">
                  <c:v>30</c:v>
                </c:pt>
                <c:pt idx="3">
                  <c:v>40</c:v>
                </c:pt>
                <c:pt idx="4">
                  <c:v>50</c:v>
                </c:pt>
                <c:pt idx="5">
                  <c:v>60</c:v>
                </c:pt>
              </c:numCache>
            </c:numRef>
          </c:xVal>
          <c:yVal>
            <c:numRef>
              <c:f>Sheet1!$H$209:$H$214</c:f>
              <c:numCache>
                <c:formatCode>General</c:formatCode>
                <c:ptCount val="6"/>
                <c:pt idx="0">
                  <c:v>0</c:v>
                </c:pt>
                <c:pt idx="1">
                  <c:v>0</c:v>
                </c:pt>
                <c:pt idx="2">
                  <c:v>0</c:v>
                </c:pt>
                <c:pt idx="3">
                  <c:v>0</c:v>
                </c:pt>
                <c:pt idx="4">
                  <c:v>0</c:v>
                </c:pt>
                <c:pt idx="5">
                  <c:v>0.185</c:v>
                </c:pt>
              </c:numCache>
            </c:numRef>
          </c:yVal>
          <c:smooth val="0"/>
          <c:extLst>
            <c:ext xmlns:c16="http://schemas.microsoft.com/office/drawing/2014/chart" uri="{C3380CC4-5D6E-409C-BE32-E72D297353CC}">
              <c16:uniqueId val="{00000000-35FD-234B-9431-568C9B792739}"/>
            </c:ext>
          </c:extLst>
        </c:ser>
        <c:dLbls>
          <c:showLegendKey val="0"/>
          <c:showVal val="0"/>
          <c:showCatName val="0"/>
          <c:showSerName val="0"/>
          <c:showPercent val="0"/>
          <c:showBubbleSize val="0"/>
        </c:dLbls>
        <c:axId val="450409119"/>
        <c:axId val="450030751"/>
      </c:scatterChart>
      <c:valAx>
        <c:axId val="45040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0751"/>
        <c:crosses val="autoZero"/>
        <c:crossBetween val="midCat"/>
      </c:valAx>
      <c:valAx>
        <c:axId val="45003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0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Sheet1!$B$228:$B$230</c:f>
              <c:numCache>
                <c:formatCode>General</c:formatCode>
                <c:ptCount val="3"/>
                <c:pt idx="0">
                  <c:v>24</c:v>
                </c:pt>
                <c:pt idx="1">
                  <c:v>30</c:v>
                </c:pt>
                <c:pt idx="2">
                  <c:v>40</c:v>
                </c:pt>
              </c:numCache>
            </c:numRef>
          </c:xVal>
          <c:yVal>
            <c:numRef>
              <c:f>Sheet1!$C$228:$C$230</c:f>
              <c:numCache>
                <c:formatCode>General</c:formatCode>
                <c:ptCount val="3"/>
                <c:pt idx="0">
                  <c:v>7275</c:v>
                </c:pt>
                <c:pt idx="1">
                  <c:v>18576</c:v>
                </c:pt>
                <c:pt idx="2">
                  <c:v>11687</c:v>
                </c:pt>
              </c:numCache>
            </c:numRef>
          </c:yVal>
          <c:smooth val="0"/>
          <c:extLst>
            <c:ext xmlns:c16="http://schemas.microsoft.com/office/drawing/2014/chart" uri="{C3380CC4-5D6E-409C-BE32-E72D297353CC}">
              <c16:uniqueId val="{00000000-9FEB-6449-8855-9080BAE4CC2C}"/>
            </c:ext>
          </c:extLst>
        </c:ser>
        <c:dLbls>
          <c:showLegendKey val="0"/>
          <c:showVal val="0"/>
          <c:showCatName val="0"/>
          <c:showSerName val="0"/>
          <c:showPercent val="0"/>
          <c:showBubbleSize val="0"/>
        </c:dLbls>
        <c:axId val="1624619295"/>
        <c:axId val="1624826431"/>
      </c:scatterChart>
      <c:valAx>
        <c:axId val="162461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26431"/>
        <c:crosses val="autoZero"/>
        <c:crossBetween val="midCat"/>
      </c:valAx>
      <c:valAx>
        <c:axId val="16248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19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Sheet1!$G$228:$G$230</c:f>
              <c:numCache>
                <c:formatCode>General</c:formatCode>
                <c:ptCount val="3"/>
                <c:pt idx="0">
                  <c:v>24</c:v>
                </c:pt>
                <c:pt idx="1">
                  <c:v>30</c:v>
                </c:pt>
                <c:pt idx="2">
                  <c:v>40</c:v>
                </c:pt>
              </c:numCache>
            </c:numRef>
          </c:xVal>
          <c:yVal>
            <c:numRef>
              <c:f>Sheet1!$H$228:$H$230</c:f>
              <c:numCache>
                <c:formatCode>General</c:formatCode>
                <c:ptCount val="3"/>
                <c:pt idx="0">
                  <c:v>0</c:v>
                </c:pt>
                <c:pt idx="1">
                  <c:v>35.5</c:v>
                </c:pt>
                <c:pt idx="2">
                  <c:v>73</c:v>
                </c:pt>
              </c:numCache>
            </c:numRef>
          </c:yVal>
          <c:smooth val="0"/>
          <c:extLst>
            <c:ext xmlns:c16="http://schemas.microsoft.com/office/drawing/2014/chart" uri="{C3380CC4-5D6E-409C-BE32-E72D297353CC}">
              <c16:uniqueId val="{00000000-D80A-784D-AAAC-520038C2DED6}"/>
            </c:ext>
          </c:extLst>
        </c:ser>
        <c:dLbls>
          <c:showLegendKey val="0"/>
          <c:showVal val="0"/>
          <c:showCatName val="0"/>
          <c:showSerName val="0"/>
          <c:showPercent val="0"/>
          <c:showBubbleSize val="0"/>
        </c:dLbls>
        <c:axId val="1623607151"/>
        <c:axId val="1623608783"/>
      </c:scatterChart>
      <c:valAx>
        <c:axId val="162360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8783"/>
        <c:crosses val="autoZero"/>
        <c:crossBetween val="midCat"/>
      </c:valAx>
      <c:valAx>
        <c:axId val="16236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p>
        </c:rich>
      </c:tx>
      <c:layout>
        <c:manualLayout>
          <c:xMode val="edge"/>
          <c:yMode val="edge"/>
          <c:x val="0.426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Sheet1!$G$242:$G$248</c:f>
              <c:numCache>
                <c:formatCode>General</c:formatCode>
                <c:ptCount val="7"/>
                <c:pt idx="0">
                  <c:v>20</c:v>
                </c:pt>
                <c:pt idx="1">
                  <c:v>25</c:v>
                </c:pt>
                <c:pt idx="2">
                  <c:v>30</c:v>
                </c:pt>
                <c:pt idx="3">
                  <c:v>35</c:v>
                </c:pt>
                <c:pt idx="4">
                  <c:v>40</c:v>
                </c:pt>
                <c:pt idx="5">
                  <c:v>45</c:v>
                </c:pt>
                <c:pt idx="6">
                  <c:v>50</c:v>
                </c:pt>
              </c:numCache>
            </c:numRef>
          </c:xVal>
          <c:yVal>
            <c:numRef>
              <c:f>Sheet1!$H$242:$H$248</c:f>
              <c:numCache>
                <c:formatCode>General</c:formatCode>
                <c:ptCount val="7"/>
                <c:pt idx="0">
                  <c:v>0</c:v>
                </c:pt>
                <c:pt idx="1">
                  <c:v>0.5</c:v>
                </c:pt>
                <c:pt idx="2">
                  <c:v>0</c:v>
                </c:pt>
                <c:pt idx="3">
                  <c:v>0</c:v>
                </c:pt>
                <c:pt idx="4">
                  <c:v>0.5</c:v>
                </c:pt>
                <c:pt idx="5">
                  <c:v>7.5</c:v>
                </c:pt>
                <c:pt idx="6">
                  <c:v>74.5</c:v>
                </c:pt>
              </c:numCache>
            </c:numRef>
          </c:yVal>
          <c:smooth val="0"/>
          <c:extLst>
            <c:ext xmlns:c16="http://schemas.microsoft.com/office/drawing/2014/chart" uri="{C3380CC4-5D6E-409C-BE32-E72D297353CC}">
              <c16:uniqueId val="{00000000-B0A1-304F-800A-3C0AFDA02516}"/>
            </c:ext>
          </c:extLst>
        </c:ser>
        <c:dLbls>
          <c:showLegendKey val="0"/>
          <c:showVal val="0"/>
          <c:showCatName val="0"/>
          <c:showSerName val="0"/>
          <c:showPercent val="0"/>
          <c:showBubbleSize val="0"/>
        </c:dLbls>
        <c:axId val="1613847471"/>
        <c:axId val="1614424031"/>
      </c:scatterChart>
      <c:valAx>
        <c:axId val="1613847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24031"/>
        <c:crosses val="autoZero"/>
        <c:crossBetween val="midCat"/>
      </c:valAx>
      <c:valAx>
        <c:axId val="16144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4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Sheet1!$B$242:$B$248</c:f>
              <c:numCache>
                <c:formatCode>General</c:formatCode>
                <c:ptCount val="7"/>
                <c:pt idx="0">
                  <c:v>20</c:v>
                </c:pt>
                <c:pt idx="1">
                  <c:v>25</c:v>
                </c:pt>
                <c:pt idx="2">
                  <c:v>30</c:v>
                </c:pt>
                <c:pt idx="3">
                  <c:v>35</c:v>
                </c:pt>
                <c:pt idx="4">
                  <c:v>40</c:v>
                </c:pt>
                <c:pt idx="5">
                  <c:v>45</c:v>
                </c:pt>
                <c:pt idx="6">
                  <c:v>50</c:v>
                </c:pt>
              </c:numCache>
            </c:numRef>
          </c:xVal>
          <c:yVal>
            <c:numRef>
              <c:f>Sheet1!$C$242:$C$248</c:f>
              <c:numCache>
                <c:formatCode>General</c:formatCode>
                <c:ptCount val="7"/>
                <c:pt idx="0">
                  <c:v>6317</c:v>
                </c:pt>
                <c:pt idx="1">
                  <c:v>7335</c:v>
                </c:pt>
                <c:pt idx="2">
                  <c:v>8244</c:v>
                </c:pt>
                <c:pt idx="3">
                  <c:v>10291</c:v>
                </c:pt>
                <c:pt idx="4">
                  <c:v>12168</c:v>
                </c:pt>
                <c:pt idx="5">
                  <c:v>13084</c:v>
                </c:pt>
                <c:pt idx="6">
                  <c:v>13250</c:v>
                </c:pt>
              </c:numCache>
            </c:numRef>
          </c:yVal>
          <c:smooth val="0"/>
          <c:extLst>
            <c:ext xmlns:c16="http://schemas.microsoft.com/office/drawing/2014/chart" uri="{C3380CC4-5D6E-409C-BE32-E72D297353CC}">
              <c16:uniqueId val="{00000000-D9FD-D84A-88B0-012D3ECA8045}"/>
            </c:ext>
          </c:extLst>
        </c:ser>
        <c:dLbls>
          <c:showLegendKey val="0"/>
          <c:showVal val="0"/>
          <c:showCatName val="0"/>
          <c:showSerName val="0"/>
          <c:showPercent val="0"/>
          <c:showBubbleSize val="0"/>
        </c:dLbls>
        <c:axId val="1446063279"/>
        <c:axId val="1622707743"/>
      </c:scatterChart>
      <c:valAx>
        <c:axId val="14460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07743"/>
        <c:crosses val="autoZero"/>
        <c:crossBetween val="midCat"/>
      </c:valAx>
      <c:valAx>
        <c:axId val="162270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Sheet1!$G$260:$G$264</c:f>
              <c:numCache>
                <c:formatCode>General</c:formatCode>
                <c:ptCount val="5"/>
                <c:pt idx="0">
                  <c:v>7</c:v>
                </c:pt>
                <c:pt idx="1">
                  <c:v>8</c:v>
                </c:pt>
                <c:pt idx="2">
                  <c:v>9</c:v>
                </c:pt>
                <c:pt idx="3">
                  <c:v>10</c:v>
                </c:pt>
                <c:pt idx="4">
                  <c:v>12</c:v>
                </c:pt>
              </c:numCache>
            </c:numRef>
          </c:xVal>
          <c:yVal>
            <c:numRef>
              <c:f>Sheet1!$H$260:$H$264</c:f>
              <c:numCache>
                <c:formatCode>General</c:formatCode>
                <c:ptCount val="5"/>
                <c:pt idx="0">
                  <c:v>1.0999999999999999</c:v>
                </c:pt>
                <c:pt idx="1">
                  <c:v>0</c:v>
                </c:pt>
                <c:pt idx="2">
                  <c:v>2</c:v>
                </c:pt>
                <c:pt idx="3">
                  <c:v>18.5</c:v>
                </c:pt>
                <c:pt idx="4">
                  <c:v>38</c:v>
                </c:pt>
              </c:numCache>
            </c:numRef>
          </c:yVal>
          <c:smooth val="0"/>
          <c:extLst>
            <c:ext xmlns:c16="http://schemas.microsoft.com/office/drawing/2014/chart" uri="{C3380CC4-5D6E-409C-BE32-E72D297353CC}">
              <c16:uniqueId val="{00000000-9E6E-C141-B5D0-9F2989B6699C}"/>
            </c:ext>
          </c:extLst>
        </c:ser>
        <c:dLbls>
          <c:showLegendKey val="0"/>
          <c:showVal val="0"/>
          <c:showCatName val="0"/>
          <c:showSerName val="0"/>
          <c:showPercent val="0"/>
          <c:showBubbleSize val="0"/>
        </c:dLbls>
        <c:axId val="1621029967"/>
        <c:axId val="1624417007"/>
      </c:scatterChart>
      <c:valAx>
        <c:axId val="162102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17007"/>
        <c:crosses val="autoZero"/>
        <c:crossBetween val="midCat"/>
      </c:valAx>
      <c:valAx>
        <c:axId val="16244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029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Sheet1!$G$275:$G$281</c:f>
              <c:numCache>
                <c:formatCode>General</c:formatCode>
                <c:ptCount val="7"/>
                <c:pt idx="0">
                  <c:v>8</c:v>
                </c:pt>
                <c:pt idx="1">
                  <c:v>8</c:v>
                </c:pt>
                <c:pt idx="2">
                  <c:v>8</c:v>
                </c:pt>
                <c:pt idx="3">
                  <c:v>9</c:v>
                </c:pt>
                <c:pt idx="4">
                  <c:v>9</c:v>
                </c:pt>
                <c:pt idx="5">
                  <c:v>10</c:v>
                </c:pt>
                <c:pt idx="6">
                  <c:v>11</c:v>
                </c:pt>
              </c:numCache>
            </c:numRef>
          </c:xVal>
          <c:yVal>
            <c:numRef>
              <c:f>Sheet1!$H$275:$H$281</c:f>
              <c:numCache>
                <c:formatCode>General</c:formatCode>
                <c:ptCount val="7"/>
                <c:pt idx="0">
                  <c:v>0</c:v>
                </c:pt>
                <c:pt idx="1">
                  <c:v>0</c:v>
                </c:pt>
                <c:pt idx="2">
                  <c:v>0</c:v>
                </c:pt>
                <c:pt idx="3">
                  <c:v>0</c:v>
                </c:pt>
                <c:pt idx="4">
                  <c:v>12</c:v>
                </c:pt>
                <c:pt idx="5">
                  <c:v>2</c:v>
                </c:pt>
                <c:pt idx="6">
                  <c:v>52.5</c:v>
                </c:pt>
              </c:numCache>
            </c:numRef>
          </c:yVal>
          <c:smooth val="0"/>
          <c:extLst>
            <c:ext xmlns:c16="http://schemas.microsoft.com/office/drawing/2014/chart" uri="{C3380CC4-5D6E-409C-BE32-E72D297353CC}">
              <c16:uniqueId val="{00000000-547F-754F-AF33-1B2A5B0BD0DF}"/>
            </c:ext>
          </c:extLst>
        </c:ser>
        <c:dLbls>
          <c:showLegendKey val="0"/>
          <c:showVal val="0"/>
          <c:showCatName val="0"/>
          <c:showSerName val="0"/>
          <c:showPercent val="0"/>
          <c:showBubbleSize val="0"/>
        </c:dLbls>
        <c:axId val="1622198783"/>
        <c:axId val="1622820943"/>
      </c:scatterChart>
      <c:valAx>
        <c:axId val="16221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20943"/>
        <c:crosses val="autoZero"/>
        <c:crossBetween val="midCat"/>
      </c:valAx>
      <c:valAx>
        <c:axId val="16228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Sheet1!$G$24:$G$27</c:f>
              <c:numCache>
                <c:formatCode>General</c:formatCode>
                <c:ptCount val="4"/>
                <c:pt idx="0">
                  <c:v>10</c:v>
                </c:pt>
                <c:pt idx="1">
                  <c:v>15</c:v>
                </c:pt>
                <c:pt idx="2">
                  <c:v>20</c:v>
                </c:pt>
                <c:pt idx="3">
                  <c:v>30</c:v>
                </c:pt>
              </c:numCache>
            </c:numRef>
          </c:xVal>
          <c:yVal>
            <c:numRef>
              <c:f>Sheet1!$H$24:$H$27</c:f>
              <c:numCache>
                <c:formatCode>General</c:formatCode>
                <c:ptCount val="4"/>
                <c:pt idx="0">
                  <c:v>0</c:v>
                </c:pt>
                <c:pt idx="1">
                  <c:v>0.13</c:v>
                </c:pt>
                <c:pt idx="2">
                  <c:v>0.43</c:v>
                </c:pt>
                <c:pt idx="3">
                  <c:v>0.40500000000000003</c:v>
                </c:pt>
              </c:numCache>
            </c:numRef>
          </c:yVal>
          <c:smooth val="1"/>
          <c:extLst>
            <c:ext xmlns:c16="http://schemas.microsoft.com/office/drawing/2014/chart" uri="{C3380CC4-5D6E-409C-BE32-E72D297353CC}">
              <c16:uniqueId val="{00000000-7435-4D46-B82D-E3BA24716344}"/>
            </c:ext>
          </c:extLst>
        </c:ser>
        <c:dLbls>
          <c:showLegendKey val="0"/>
          <c:showVal val="0"/>
          <c:showCatName val="0"/>
          <c:showSerName val="0"/>
          <c:showPercent val="0"/>
          <c:showBubbleSize val="0"/>
        </c:dLbls>
        <c:axId val="480485903"/>
        <c:axId val="480487535"/>
      </c:scatterChart>
      <c:valAx>
        <c:axId val="48048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7535"/>
        <c:crosses val="autoZero"/>
        <c:crossBetween val="midCat"/>
      </c:valAx>
      <c:valAx>
        <c:axId val="48048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5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Sheet1!$B$55:$B$58</c:f>
              <c:numCache>
                <c:formatCode>General</c:formatCode>
                <c:ptCount val="4"/>
                <c:pt idx="0">
                  <c:v>10</c:v>
                </c:pt>
                <c:pt idx="1">
                  <c:v>15</c:v>
                </c:pt>
                <c:pt idx="2">
                  <c:v>20</c:v>
                </c:pt>
                <c:pt idx="3">
                  <c:v>25</c:v>
                </c:pt>
              </c:numCache>
            </c:numRef>
          </c:xVal>
          <c:yVal>
            <c:numRef>
              <c:f>Sheet1!$C$55:$C$58</c:f>
              <c:numCache>
                <c:formatCode>General</c:formatCode>
                <c:ptCount val="4"/>
                <c:pt idx="0">
                  <c:v>8958</c:v>
                </c:pt>
                <c:pt idx="1">
                  <c:v>14989</c:v>
                </c:pt>
                <c:pt idx="2">
                  <c:v>15493</c:v>
                </c:pt>
                <c:pt idx="3">
                  <c:v>22575</c:v>
                </c:pt>
              </c:numCache>
            </c:numRef>
          </c:yVal>
          <c:smooth val="0"/>
          <c:extLst>
            <c:ext xmlns:c16="http://schemas.microsoft.com/office/drawing/2014/chart" uri="{C3380CC4-5D6E-409C-BE32-E72D297353CC}">
              <c16:uniqueId val="{00000000-6583-2B42-9B46-3E70796E70A7}"/>
            </c:ext>
          </c:extLst>
        </c:ser>
        <c:dLbls>
          <c:showLegendKey val="0"/>
          <c:showVal val="0"/>
          <c:showCatName val="0"/>
          <c:showSerName val="0"/>
          <c:showPercent val="0"/>
          <c:showBubbleSize val="0"/>
        </c:dLbls>
        <c:axId val="292506943"/>
        <c:axId val="425530047"/>
      </c:scatterChart>
      <c:valAx>
        <c:axId val="29250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30047"/>
        <c:crosses val="autoZero"/>
        <c:crossBetween val="midCat"/>
      </c:valAx>
      <c:valAx>
        <c:axId val="42553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Sheet1!$G$55:$G$58</c:f>
              <c:numCache>
                <c:formatCode>General</c:formatCode>
                <c:ptCount val="4"/>
                <c:pt idx="0">
                  <c:v>10</c:v>
                </c:pt>
                <c:pt idx="1">
                  <c:v>15</c:v>
                </c:pt>
                <c:pt idx="2">
                  <c:v>20</c:v>
                </c:pt>
                <c:pt idx="3">
                  <c:v>25</c:v>
                </c:pt>
              </c:numCache>
            </c:numRef>
          </c:xVal>
          <c:yVal>
            <c:numRef>
              <c:f>Sheet1!$H$55:$H$58</c:f>
              <c:numCache>
                <c:formatCode>General</c:formatCode>
                <c:ptCount val="4"/>
                <c:pt idx="0">
                  <c:v>0.7</c:v>
                </c:pt>
                <c:pt idx="1">
                  <c:v>0.77500000000000002</c:v>
                </c:pt>
                <c:pt idx="2">
                  <c:v>0.7</c:v>
                </c:pt>
                <c:pt idx="3">
                  <c:v>0.75</c:v>
                </c:pt>
              </c:numCache>
            </c:numRef>
          </c:yVal>
          <c:smooth val="0"/>
          <c:extLst>
            <c:ext xmlns:c16="http://schemas.microsoft.com/office/drawing/2014/chart" uri="{C3380CC4-5D6E-409C-BE32-E72D297353CC}">
              <c16:uniqueId val="{00000000-7B70-CE43-8239-87B7564A2B0F}"/>
            </c:ext>
          </c:extLst>
        </c:ser>
        <c:dLbls>
          <c:showLegendKey val="0"/>
          <c:showVal val="0"/>
          <c:showCatName val="0"/>
          <c:showSerName val="0"/>
          <c:showPercent val="0"/>
          <c:showBubbleSize val="0"/>
        </c:dLbls>
        <c:axId val="478888735"/>
        <c:axId val="445292703"/>
      </c:scatterChart>
      <c:valAx>
        <c:axId val="47888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2703"/>
        <c:crosses val="autoZero"/>
        <c:crossBetween val="midCat"/>
      </c:valAx>
      <c:valAx>
        <c:axId val="44529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88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Sheet1!$B$70:$B$73</c:f>
              <c:numCache>
                <c:formatCode>General</c:formatCode>
                <c:ptCount val="4"/>
                <c:pt idx="0">
                  <c:v>10</c:v>
                </c:pt>
                <c:pt idx="1">
                  <c:v>15</c:v>
                </c:pt>
                <c:pt idx="2">
                  <c:v>20</c:v>
                </c:pt>
                <c:pt idx="3">
                  <c:v>25</c:v>
                </c:pt>
              </c:numCache>
            </c:numRef>
          </c:xVal>
          <c:yVal>
            <c:numRef>
              <c:f>Sheet1!$C$70:$C$73</c:f>
              <c:numCache>
                <c:formatCode>General</c:formatCode>
                <c:ptCount val="4"/>
                <c:pt idx="0">
                  <c:v>8656</c:v>
                </c:pt>
                <c:pt idx="1">
                  <c:v>13322</c:v>
                </c:pt>
                <c:pt idx="2">
                  <c:v>17565</c:v>
                </c:pt>
                <c:pt idx="3">
                  <c:v>19104</c:v>
                </c:pt>
              </c:numCache>
            </c:numRef>
          </c:yVal>
          <c:smooth val="0"/>
          <c:extLst>
            <c:ext xmlns:c16="http://schemas.microsoft.com/office/drawing/2014/chart" uri="{C3380CC4-5D6E-409C-BE32-E72D297353CC}">
              <c16:uniqueId val="{00000000-0FF3-8B4C-9B0A-EE324CFD7A52}"/>
            </c:ext>
          </c:extLst>
        </c:ser>
        <c:dLbls>
          <c:showLegendKey val="0"/>
          <c:showVal val="0"/>
          <c:showCatName val="0"/>
          <c:showSerName val="0"/>
          <c:showPercent val="0"/>
          <c:showBubbleSize val="0"/>
        </c:dLbls>
        <c:axId val="420681535"/>
        <c:axId val="427120127"/>
      </c:scatterChart>
      <c:valAx>
        <c:axId val="42068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20127"/>
        <c:crosses val="autoZero"/>
        <c:crossBetween val="midCat"/>
      </c:valAx>
      <c:valAx>
        <c:axId val="4271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8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Sheet1!$G$70:$G$73</c:f>
              <c:numCache>
                <c:formatCode>General</c:formatCode>
                <c:ptCount val="4"/>
                <c:pt idx="0">
                  <c:v>10</c:v>
                </c:pt>
                <c:pt idx="1">
                  <c:v>15</c:v>
                </c:pt>
                <c:pt idx="2">
                  <c:v>20</c:v>
                </c:pt>
                <c:pt idx="3">
                  <c:v>25</c:v>
                </c:pt>
              </c:numCache>
            </c:numRef>
          </c:xVal>
          <c:yVal>
            <c:numRef>
              <c:f>Sheet1!$H$70:$H$73</c:f>
              <c:numCache>
                <c:formatCode>General</c:formatCode>
                <c:ptCount val="4"/>
                <c:pt idx="0">
                  <c:v>0.68500000000000005</c:v>
                </c:pt>
                <c:pt idx="1">
                  <c:v>0.71499999999999997</c:v>
                </c:pt>
                <c:pt idx="2">
                  <c:v>0.73</c:v>
                </c:pt>
                <c:pt idx="3">
                  <c:v>0.68</c:v>
                </c:pt>
              </c:numCache>
            </c:numRef>
          </c:yVal>
          <c:smooth val="0"/>
          <c:extLst>
            <c:ext xmlns:c16="http://schemas.microsoft.com/office/drawing/2014/chart" uri="{C3380CC4-5D6E-409C-BE32-E72D297353CC}">
              <c16:uniqueId val="{00000000-8413-B844-A095-45899538403F}"/>
            </c:ext>
          </c:extLst>
        </c:ser>
        <c:dLbls>
          <c:showLegendKey val="0"/>
          <c:showVal val="0"/>
          <c:showCatName val="0"/>
          <c:showSerName val="0"/>
          <c:showPercent val="0"/>
          <c:showBubbleSize val="0"/>
        </c:dLbls>
        <c:axId val="328731679"/>
        <c:axId val="450075503"/>
      </c:scatterChart>
      <c:valAx>
        <c:axId val="3287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75503"/>
        <c:crosses val="autoZero"/>
        <c:crossBetween val="midCat"/>
      </c:valAx>
      <c:valAx>
        <c:axId val="45007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Sheet1!$B$88:$B$94</c:f>
              <c:numCache>
                <c:formatCode>General</c:formatCode>
                <c:ptCount val="7"/>
                <c:pt idx="0">
                  <c:v>10</c:v>
                </c:pt>
                <c:pt idx="1">
                  <c:v>20</c:v>
                </c:pt>
                <c:pt idx="2">
                  <c:v>25</c:v>
                </c:pt>
                <c:pt idx="3">
                  <c:v>30</c:v>
                </c:pt>
                <c:pt idx="4">
                  <c:v>40</c:v>
                </c:pt>
                <c:pt idx="5">
                  <c:v>45</c:v>
                </c:pt>
                <c:pt idx="6">
                  <c:v>50</c:v>
                </c:pt>
              </c:numCache>
            </c:numRef>
          </c:xVal>
          <c:yVal>
            <c:numRef>
              <c:f>Sheet1!$C$88:$C$94</c:f>
              <c:numCache>
                <c:formatCode>General</c:formatCode>
                <c:ptCount val="7"/>
                <c:pt idx="0">
                  <c:v>3744</c:v>
                </c:pt>
                <c:pt idx="1">
                  <c:v>4190</c:v>
                </c:pt>
                <c:pt idx="2">
                  <c:v>6694</c:v>
                </c:pt>
                <c:pt idx="3">
                  <c:v>8155</c:v>
                </c:pt>
                <c:pt idx="4">
                  <c:v>10466</c:v>
                </c:pt>
                <c:pt idx="5">
                  <c:v>12708</c:v>
                </c:pt>
                <c:pt idx="6">
                  <c:v>13370</c:v>
                </c:pt>
              </c:numCache>
            </c:numRef>
          </c:yVal>
          <c:smooth val="0"/>
          <c:extLst>
            <c:ext xmlns:c16="http://schemas.microsoft.com/office/drawing/2014/chart" uri="{C3380CC4-5D6E-409C-BE32-E72D297353CC}">
              <c16:uniqueId val="{00000000-C725-8249-8779-AEB2AF9064E4}"/>
            </c:ext>
          </c:extLst>
        </c:ser>
        <c:dLbls>
          <c:showLegendKey val="0"/>
          <c:showVal val="0"/>
          <c:showCatName val="0"/>
          <c:showSerName val="0"/>
          <c:showPercent val="0"/>
          <c:showBubbleSize val="0"/>
        </c:dLbls>
        <c:axId val="540178943"/>
        <c:axId val="540149727"/>
      </c:scatterChart>
      <c:valAx>
        <c:axId val="54017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727"/>
        <c:crosses val="autoZero"/>
        <c:crossBetween val="midCat"/>
      </c:valAx>
      <c:valAx>
        <c:axId val="5401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7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Sheet1!$G$88:$G$94</c:f>
              <c:numCache>
                <c:formatCode>General</c:formatCode>
                <c:ptCount val="7"/>
                <c:pt idx="0">
                  <c:v>10</c:v>
                </c:pt>
                <c:pt idx="1">
                  <c:v>20</c:v>
                </c:pt>
                <c:pt idx="2">
                  <c:v>25</c:v>
                </c:pt>
                <c:pt idx="3">
                  <c:v>30</c:v>
                </c:pt>
                <c:pt idx="4">
                  <c:v>40</c:v>
                </c:pt>
                <c:pt idx="5">
                  <c:v>45</c:v>
                </c:pt>
                <c:pt idx="6">
                  <c:v>50</c:v>
                </c:pt>
              </c:numCache>
            </c:numRef>
          </c:xVal>
          <c:yVal>
            <c:numRef>
              <c:f>Sheet1!$H$88:$H$94</c:f>
              <c:numCache>
                <c:formatCode>General</c:formatCode>
                <c:ptCount val="7"/>
                <c:pt idx="0">
                  <c:v>0</c:v>
                </c:pt>
                <c:pt idx="1">
                  <c:v>0.01</c:v>
                </c:pt>
                <c:pt idx="2">
                  <c:v>0</c:v>
                </c:pt>
                <c:pt idx="3">
                  <c:v>0</c:v>
                </c:pt>
                <c:pt idx="4">
                  <c:v>5.0000000000000001E-3</c:v>
                </c:pt>
                <c:pt idx="5">
                  <c:v>0.16</c:v>
                </c:pt>
                <c:pt idx="6">
                  <c:v>0.21</c:v>
                </c:pt>
              </c:numCache>
            </c:numRef>
          </c:yVal>
          <c:smooth val="0"/>
          <c:extLst>
            <c:ext xmlns:c16="http://schemas.microsoft.com/office/drawing/2014/chart" uri="{C3380CC4-5D6E-409C-BE32-E72D297353CC}">
              <c16:uniqueId val="{00000000-166E-A040-B9EF-91C8C67CF194}"/>
            </c:ext>
          </c:extLst>
        </c:ser>
        <c:dLbls>
          <c:showLegendKey val="0"/>
          <c:showVal val="0"/>
          <c:showCatName val="0"/>
          <c:showSerName val="0"/>
          <c:showPercent val="0"/>
          <c:showBubbleSize val="0"/>
        </c:dLbls>
        <c:axId val="509649775"/>
        <c:axId val="509651407"/>
      </c:scatterChart>
      <c:valAx>
        <c:axId val="50964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407"/>
        <c:crosses val="autoZero"/>
        <c:crossBetween val="midCat"/>
      </c:valAx>
      <c:valAx>
        <c:axId val="50965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4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533400</xdr:colOff>
      <xdr:row>2</xdr:row>
      <xdr:rowOff>190500</xdr:rowOff>
    </xdr:from>
    <xdr:to>
      <xdr:col>9</xdr:col>
      <xdr:colOff>1308100</xdr:colOff>
      <xdr:row>16</xdr:row>
      <xdr:rowOff>88900</xdr:rowOff>
    </xdr:to>
    <xdr:graphicFrame macro="">
      <xdr:nvGraphicFramePr>
        <xdr:cNvPr id="3" name="Chart 2">
          <a:extLst>
            <a:ext uri="{FF2B5EF4-FFF2-40B4-BE49-F238E27FC236}">
              <a16:creationId xmlns:a16="http://schemas.microsoft.com/office/drawing/2014/main" id="{04C9C640-46BD-ED42-A4ED-F72ACD70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374650</xdr:colOff>
      <xdr:row>18</xdr:row>
      <xdr:rowOff>158750</xdr:rowOff>
    </xdr:from>
    <xdr:to>
      <xdr:col>9</xdr:col>
      <xdr:colOff>1149350</xdr:colOff>
      <xdr:row>34</xdr:row>
      <xdr:rowOff>57150</xdr:rowOff>
    </xdr:to>
    <xdr:graphicFrame macro="">
      <xdr:nvGraphicFramePr>
        <xdr:cNvPr id="4" name="Chart 3">
          <a:extLst>
            <a:ext uri="{FF2B5EF4-FFF2-40B4-BE49-F238E27FC236}">
              <a16:creationId xmlns:a16="http://schemas.microsoft.com/office/drawing/2014/main" id="{44AB638C-6559-5C42-B4E5-D745644C8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18</xdr:row>
      <xdr:rowOff>158750</xdr:rowOff>
    </xdr:from>
    <xdr:to>
      <xdr:col>13</xdr:col>
      <xdr:colOff>819150</xdr:colOff>
      <xdr:row>34</xdr:row>
      <xdr:rowOff>57150</xdr:rowOff>
    </xdr:to>
    <xdr:graphicFrame macro="">
      <xdr:nvGraphicFramePr>
        <xdr:cNvPr id="5" name="Chart 4">
          <a:extLst>
            <a:ext uri="{FF2B5EF4-FFF2-40B4-BE49-F238E27FC236}">
              <a16:creationId xmlns:a16="http://schemas.microsoft.com/office/drawing/2014/main" id="{2121DCA2-A61D-D24B-B2EE-305786BD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450850</xdr:colOff>
      <xdr:row>51</xdr:row>
      <xdr:rowOff>184150</xdr:rowOff>
    </xdr:from>
    <xdr:to>
      <xdr:col>9</xdr:col>
      <xdr:colOff>1225550</xdr:colOff>
      <xdr:row>66</xdr:row>
      <xdr:rowOff>38100</xdr:rowOff>
    </xdr:to>
    <xdr:graphicFrame macro="">
      <xdr:nvGraphicFramePr>
        <xdr:cNvPr id="6" name="Chart 5">
          <a:extLst>
            <a:ext uri="{FF2B5EF4-FFF2-40B4-BE49-F238E27FC236}">
              <a16:creationId xmlns:a16="http://schemas.microsoft.com/office/drawing/2014/main" id="{BE9D2353-AD9F-6046-879D-99DD571E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51</xdr:row>
      <xdr:rowOff>146050</xdr:rowOff>
    </xdr:from>
    <xdr:to>
      <xdr:col>14</xdr:col>
      <xdr:colOff>19050</xdr:colOff>
      <xdr:row>66</xdr:row>
      <xdr:rowOff>44450</xdr:rowOff>
    </xdr:to>
    <xdr:graphicFrame macro="">
      <xdr:nvGraphicFramePr>
        <xdr:cNvPr id="7" name="Chart 6">
          <a:extLst>
            <a:ext uri="{FF2B5EF4-FFF2-40B4-BE49-F238E27FC236}">
              <a16:creationId xmlns:a16="http://schemas.microsoft.com/office/drawing/2014/main" id="{27F972EC-2985-4249-9C36-91662453F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349250</xdr:colOff>
      <xdr:row>67</xdr:row>
      <xdr:rowOff>171450</xdr:rowOff>
    </xdr:from>
    <xdr:to>
      <xdr:col>9</xdr:col>
      <xdr:colOff>1123950</xdr:colOff>
      <xdr:row>81</xdr:row>
      <xdr:rowOff>69850</xdr:rowOff>
    </xdr:to>
    <xdr:graphicFrame macro="">
      <xdr:nvGraphicFramePr>
        <xdr:cNvPr id="8" name="Chart 7">
          <a:extLst>
            <a:ext uri="{FF2B5EF4-FFF2-40B4-BE49-F238E27FC236}">
              <a16:creationId xmlns:a16="http://schemas.microsoft.com/office/drawing/2014/main" id="{4A00A17C-5059-B54B-99AD-2F8C42046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12700</xdr:colOff>
      <xdr:row>67</xdr:row>
      <xdr:rowOff>196850</xdr:rowOff>
    </xdr:from>
    <xdr:to>
      <xdr:col>13</xdr:col>
      <xdr:colOff>812800</xdr:colOff>
      <xdr:row>81</xdr:row>
      <xdr:rowOff>95250</xdr:rowOff>
    </xdr:to>
    <xdr:graphicFrame macro="">
      <xdr:nvGraphicFramePr>
        <xdr:cNvPr id="9" name="Chart 8">
          <a:extLst>
            <a:ext uri="{FF2B5EF4-FFF2-40B4-BE49-F238E27FC236}">
              <a16:creationId xmlns:a16="http://schemas.microsoft.com/office/drawing/2014/main" id="{962178C7-13F5-5C49-9BAA-FB38D5CD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368300</xdr:colOff>
      <xdr:row>84</xdr:row>
      <xdr:rowOff>19050</xdr:rowOff>
    </xdr:from>
    <xdr:to>
      <xdr:col>9</xdr:col>
      <xdr:colOff>1143000</xdr:colOff>
      <xdr:row>97</xdr:row>
      <xdr:rowOff>120650</xdr:rowOff>
    </xdr:to>
    <xdr:graphicFrame macro="">
      <xdr:nvGraphicFramePr>
        <xdr:cNvPr id="10" name="Chart 9">
          <a:extLst>
            <a:ext uri="{FF2B5EF4-FFF2-40B4-BE49-F238E27FC236}">
              <a16:creationId xmlns:a16="http://schemas.microsoft.com/office/drawing/2014/main" id="{26EEBBF9-047F-7C47-8BF0-97757E7A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152400</xdr:colOff>
      <xdr:row>83</xdr:row>
      <xdr:rowOff>171450</xdr:rowOff>
    </xdr:from>
    <xdr:to>
      <xdr:col>14</xdr:col>
      <xdr:colOff>127000</xdr:colOff>
      <xdr:row>97</xdr:row>
      <xdr:rowOff>69850</xdr:rowOff>
    </xdr:to>
    <xdr:graphicFrame macro="">
      <xdr:nvGraphicFramePr>
        <xdr:cNvPr id="11" name="Chart 10">
          <a:extLst>
            <a:ext uri="{FF2B5EF4-FFF2-40B4-BE49-F238E27FC236}">
              <a16:creationId xmlns:a16="http://schemas.microsoft.com/office/drawing/2014/main" id="{E4817073-EC3B-4A4E-94AF-8502FBCE1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99</xdr:row>
      <xdr:rowOff>196850</xdr:rowOff>
    </xdr:from>
    <xdr:to>
      <xdr:col>9</xdr:col>
      <xdr:colOff>1041400</xdr:colOff>
      <xdr:row>113</xdr:row>
      <xdr:rowOff>95250</xdr:rowOff>
    </xdr:to>
    <xdr:graphicFrame macro="">
      <xdr:nvGraphicFramePr>
        <xdr:cNvPr id="12" name="Chart 11">
          <a:extLst>
            <a:ext uri="{FF2B5EF4-FFF2-40B4-BE49-F238E27FC236}">
              <a16:creationId xmlns:a16="http://schemas.microsoft.com/office/drawing/2014/main" id="{E3586227-619A-544C-937B-9B53F24B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1809750</xdr:colOff>
      <xdr:row>100</xdr:row>
      <xdr:rowOff>31750</xdr:rowOff>
    </xdr:from>
    <xdr:to>
      <xdr:col>13</xdr:col>
      <xdr:colOff>793750</xdr:colOff>
      <xdr:row>113</xdr:row>
      <xdr:rowOff>133350</xdr:rowOff>
    </xdr:to>
    <xdr:graphicFrame macro="">
      <xdr:nvGraphicFramePr>
        <xdr:cNvPr id="13" name="Chart 12">
          <a:extLst>
            <a:ext uri="{FF2B5EF4-FFF2-40B4-BE49-F238E27FC236}">
              <a16:creationId xmlns:a16="http://schemas.microsoft.com/office/drawing/2014/main" id="{6A5EA62C-9BE3-B545-8135-94295563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114</xdr:row>
      <xdr:rowOff>196850</xdr:rowOff>
    </xdr:from>
    <xdr:to>
      <xdr:col>9</xdr:col>
      <xdr:colOff>1022350</xdr:colOff>
      <xdr:row>128</xdr:row>
      <xdr:rowOff>95250</xdr:rowOff>
    </xdr:to>
    <xdr:graphicFrame macro="">
      <xdr:nvGraphicFramePr>
        <xdr:cNvPr id="14" name="Chart 13">
          <a:extLst>
            <a:ext uri="{FF2B5EF4-FFF2-40B4-BE49-F238E27FC236}">
              <a16:creationId xmlns:a16="http://schemas.microsoft.com/office/drawing/2014/main" id="{F65C4371-924F-CD4E-A94F-C847289F5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6350</xdr:colOff>
      <xdr:row>115</xdr:row>
      <xdr:rowOff>31750</xdr:rowOff>
    </xdr:from>
    <xdr:to>
      <xdr:col>13</xdr:col>
      <xdr:colOff>806450</xdr:colOff>
      <xdr:row>128</xdr:row>
      <xdr:rowOff>133350</xdr:rowOff>
    </xdr:to>
    <xdr:graphicFrame macro="">
      <xdr:nvGraphicFramePr>
        <xdr:cNvPr id="15" name="Chart 14">
          <a:extLst>
            <a:ext uri="{FF2B5EF4-FFF2-40B4-BE49-F238E27FC236}">
              <a16:creationId xmlns:a16="http://schemas.microsoft.com/office/drawing/2014/main" id="{23B09372-262B-8943-8C73-F4796BC2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133</xdr:row>
      <xdr:rowOff>146050</xdr:rowOff>
    </xdr:from>
    <xdr:to>
      <xdr:col>9</xdr:col>
      <xdr:colOff>1003300</xdr:colOff>
      <xdr:row>146</xdr:row>
      <xdr:rowOff>184150</xdr:rowOff>
    </xdr:to>
    <xdr:graphicFrame macro="">
      <xdr:nvGraphicFramePr>
        <xdr:cNvPr id="2" name="Chart 1">
          <a:extLst>
            <a:ext uri="{FF2B5EF4-FFF2-40B4-BE49-F238E27FC236}">
              <a16:creationId xmlns:a16="http://schemas.microsoft.com/office/drawing/2014/main" id="{E82C8049-DEFA-B143-9F58-38F36399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25400</xdr:colOff>
      <xdr:row>133</xdr:row>
      <xdr:rowOff>19050</xdr:rowOff>
    </xdr:from>
    <xdr:to>
      <xdr:col>14</xdr:col>
      <xdr:colOff>0</xdr:colOff>
      <xdr:row>146</xdr:row>
      <xdr:rowOff>57150</xdr:rowOff>
    </xdr:to>
    <xdr:graphicFrame macro="">
      <xdr:nvGraphicFramePr>
        <xdr:cNvPr id="16" name="Chart 15">
          <a:extLst>
            <a:ext uri="{FF2B5EF4-FFF2-40B4-BE49-F238E27FC236}">
              <a16:creationId xmlns:a16="http://schemas.microsoft.com/office/drawing/2014/main" id="{3958768F-A687-CD42-9EDA-CABACEA3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149</xdr:row>
      <xdr:rowOff>196850</xdr:rowOff>
    </xdr:from>
    <xdr:to>
      <xdr:col>13</xdr:col>
      <xdr:colOff>800100</xdr:colOff>
      <xdr:row>163</xdr:row>
      <xdr:rowOff>95250</xdr:rowOff>
    </xdr:to>
    <xdr:graphicFrame macro="">
      <xdr:nvGraphicFramePr>
        <xdr:cNvPr id="17" name="Chart 16">
          <a:extLst>
            <a:ext uri="{FF2B5EF4-FFF2-40B4-BE49-F238E27FC236}">
              <a16:creationId xmlns:a16="http://schemas.microsoft.com/office/drawing/2014/main" id="{E07B734E-C5EE-DA4D-B65E-0CD0C1554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247650</xdr:colOff>
      <xdr:row>151</xdr:row>
      <xdr:rowOff>6350</xdr:rowOff>
    </xdr:from>
    <xdr:to>
      <xdr:col>9</xdr:col>
      <xdr:colOff>1022350</xdr:colOff>
      <xdr:row>164</xdr:row>
      <xdr:rowOff>107950</xdr:rowOff>
    </xdr:to>
    <xdr:graphicFrame macro="">
      <xdr:nvGraphicFramePr>
        <xdr:cNvPr id="18" name="Chart 17">
          <a:extLst>
            <a:ext uri="{FF2B5EF4-FFF2-40B4-BE49-F238E27FC236}">
              <a16:creationId xmlns:a16="http://schemas.microsoft.com/office/drawing/2014/main" id="{4C42060E-D4E0-204E-AAAC-35FACAB2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361950</xdr:colOff>
      <xdr:row>186</xdr:row>
      <xdr:rowOff>95250</xdr:rowOff>
    </xdr:from>
    <xdr:to>
      <xdr:col>9</xdr:col>
      <xdr:colOff>1136650</xdr:colOff>
      <xdr:row>202</xdr:row>
      <xdr:rowOff>133350</xdr:rowOff>
    </xdr:to>
    <xdr:graphicFrame macro="">
      <xdr:nvGraphicFramePr>
        <xdr:cNvPr id="19" name="Chart 18">
          <a:extLst>
            <a:ext uri="{FF2B5EF4-FFF2-40B4-BE49-F238E27FC236}">
              <a16:creationId xmlns:a16="http://schemas.microsoft.com/office/drawing/2014/main" id="{0B8B14AE-9513-8747-B1C3-D2514434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1752600</xdr:colOff>
      <xdr:row>186</xdr:row>
      <xdr:rowOff>120650</xdr:rowOff>
    </xdr:from>
    <xdr:to>
      <xdr:col>13</xdr:col>
      <xdr:colOff>736600</xdr:colOff>
      <xdr:row>202</xdr:row>
      <xdr:rowOff>158750</xdr:rowOff>
    </xdr:to>
    <xdr:graphicFrame macro="">
      <xdr:nvGraphicFramePr>
        <xdr:cNvPr id="20" name="Chart 19">
          <a:extLst>
            <a:ext uri="{FF2B5EF4-FFF2-40B4-BE49-F238E27FC236}">
              <a16:creationId xmlns:a16="http://schemas.microsoft.com/office/drawing/2014/main" id="{B83B9CC6-6960-8D47-AA7D-3B97F415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304800</xdr:colOff>
      <xdr:row>206</xdr:row>
      <xdr:rowOff>82550</xdr:rowOff>
    </xdr:from>
    <xdr:to>
      <xdr:col>9</xdr:col>
      <xdr:colOff>1079500</xdr:colOff>
      <xdr:row>219</xdr:row>
      <xdr:rowOff>120650</xdr:rowOff>
    </xdr:to>
    <xdr:graphicFrame macro="">
      <xdr:nvGraphicFramePr>
        <xdr:cNvPr id="21" name="Chart 20">
          <a:extLst>
            <a:ext uri="{FF2B5EF4-FFF2-40B4-BE49-F238E27FC236}">
              <a16:creationId xmlns:a16="http://schemas.microsoft.com/office/drawing/2014/main" id="{BCE70668-6551-9449-B4B1-4B00FE68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1663700</xdr:colOff>
      <xdr:row>206</xdr:row>
      <xdr:rowOff>57150</xdr:rowOff>
    </xdr:from>
    <xdr:to>
      <xdr:col>13</xdr:col>
      <xdr:colOff>647700</xdr:colOff>
      <xdr:row>219</xdr:row>
      <xdr:rowOff>95250</xdr:rowOff>
    </xdr:to>
    <xdr:graphicFrame macro="">
      <xdr:nvGraphicFramePr>
        <xdr:cNvPr id="22" name="Chart 21">
          <a:extLst>
            <a:ext uri="{FF2B5EF4-FFF2-40B4-BE49-F238E27FC236}">
              <a16:creationId xmlns:a16="http://schemas.microsoft.com/office/drawing/2014/main" id="{4810F85A-9D16-D741-91CF-ECF7E652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1536700</xdr:colOff>
      <xdr:row>224</xdr:row>
      <xdr:rowOff>25400</xdr:rowOff>
    </xdr:from>
    <xdr:to>
      <xdr:col>13</xdr:col>
      <xdr:colOff>520700</xdr:colOff>
      <xdr:row>237</xdr:row>
      <xdr:rowOff>63500</xdr:rowOff>
    </xdr:to>
    <xdr:graphicFrame macro="">
      <xdr:nvGraphicFramePr>
        <xdr:cNvPr id="23" name="Chart 22">
          <a:extLst>
            <a:ext uri="{FF2B5EF4-FFF2-40B4-BE49-F238E27FC236}">
              <a16:creationId xmlns:a16="http://schemas.microsoft.com/office/drawing/2014/main" id="{A037266E-9136-4146-8C8D-C772F6691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139700</xdr:colOff>
      <xdr:row>224</xdr:row>
      <xdr:rowOff>12700</xdr:rowOff>
    </xdr:from>
    <xdr:to>
      <xdr:col>9</xdr:col>
      <xdr:colOff>914400</xdr:colOff>
      <xdr:row>237</xdr:row>
      <xdr:rowOff>50800</xdr:rowOff>
    </xdr:to>
    <xdr:graphicFrame macro="">
      <xdr:nvGraphicFramePr>
        <xdr:cNvPr id="24" name="Chart 23">
          <a:extLst>
            <a:ext uri="{FF2B5EF4-FFF2-40B4-BE49-F238E27FC236}">
              <a16:creationId xmlns:a16="http://schemas.microsoft.com/office/drawing/2014/main" id="{5D5CA29D-0DD0-9742-AA7A-5D2E94A42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234950</xdr:colOff>
      <xdr:row>240</xdr:row>
      <xdr:rowOff>19050</xdr:rowOff>
    </xdr:from>
    <xdr:to>
      <xdr:col>9</xdr:col>
      <xdr:colOff>1009650</xdr:colOff>
      <xdr:row>253</xdr:row>
      <xdr:rowOff>120650</xdr:rowOff>
    </xdr:to>
    <xdr:graphicFrame macro="">
      <xdr:nvGraphicFramePr>
        <xdr:cNvPr id="25" name="Chart 24">
          <a:extLst>
            <a:ext uri="{FF2B5EF4-FFF2-40B4-BE49-F238E27FC236}">
              <a16:creationId xmlns:a16="http://schemas.microsoft.com/office/drawing/2014/main" id="{8477990F-C4BC-8643-9CEE-F1AEAE25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1581150</xdr:colOff>
      <xdr:row>240</xdr:row>
      <xdr:rowOff>19050</xdr:rowOff>
    </xdr:from>
    <xdr:to>
      <xdr:col>13</xdr:col>
      <xdr:colOff>565150</xdr:colOff>
      <xdr:row>253</xdr:row>
      <xdr:rowOff>120650</xdr:rowOff>
    </xdr:to>
    <xdr:graphicFrame macro="">
      <xdr:nvGraphicFramePr>
        <xdr:cNvPr id="26" name="Chart 25">
          <a:extLst>
            <a:ext uri="{FF2B5EF4-FFF2-40B4-BE49-F238E27FC236}">
              <a16:creationId xmlns:a16="http://schemas.microsoft.com/office/drawing/2014/main" id="{057EC8FA-3853-1848-890A-94BBA0EF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165100</xdr:colOff>
      <xdr:row>255</xdr:row>
      <xdr:rowOff>6350</xdr:rowOff>
    </xdr:from>
    <xdr:to>
      <xdr:col>9</xdr:col>
      <xdr:colOff>939800</xdr:colOff>
      <xdr:row>268</xdr:row>
      <xdr:rowOff>107950</xdr:rowOff>
    </xdr:to>
    <xdr:graphicFrame macro="">
      <xdr:nvGraphicFramePr>
        <xdr:cNvPr id="27" name="Chart 26">
          <a:extLst>
            <a:ext uri="{FF2B5EF4-FFF2-40B4-BE49-F238E27FC236}">
              <a16:creationId xmlns:a16="http://schemas.microsoft.com/office/drawing/2014/main" id="{648F0708-E22C-5A43-B7C4-A2459867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95250</xdr:colOff>
      <xdr:row>270</xdr:row>
      <xdr:rowOff>146050</xdr:rowOff>
    </xdr:from>
    <xdr:to>
      <xdr:col>9</xdr:col>
      <xdr:colOff>869950</xdr:colOff>
      <xdr:row>287</xdr:row>
      <xdr:rowOff>44450</xdr:rowOff>
    </xdr:to>
    <xdr:graphicFrame macro="">
      <xdr:nvGraphicFramePr>
        <xdr:cNvPr id="28" name="Chart 27">
          <a:extLst>
            <a:ext uri="{FF2B5EF4-FFF2-40B4-BE49-F238E27FC236}">
              <a16:creationId xmlns:a16="http://schemas.microsoft.com/office/drawing/2014/main" id="{8F22F276-DED9-5948-9C10-06B0656D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1DBA-CD56-294B-B978-A723FB34EE23}">
  <dimension ref="A1:H480"/>
  <sheetViews>
    <sheetView tabSelected="1" topLeftCell="A435" workbookViewId="0">
      <selection activeCell="G455" sqref="G455"/>
    </sheetView>
  </sheetViews>
  <sheetFormatPr baseColWidth="10" defaultRowHeight="16"/>
  <cols>
    <col min="1" max="1" width="26" customWidth="1"/>
    <col min="2" max="2" width="34.5" customWidth="1"/>
    <col min="3" max="3" width="35" bestFit="1" customWidth="1"/>
    <col min="4" max="6" width="17.83203125" customWidth="1"/>
    <col min="7" max="7" width="22" customWidth="1"/>
    <col min="8" max="8" width="17" customWidth="1"/>
    <col min="10" max="10" width="23.83203125" customWidth="1"/>
    <col min="11" max="11" width="27.83203125" customWidth="1"/>
  </cols>
  <sheetData>
    <row r="1" spans="2:4" ht="21">
      <c r="B1" s="9" t="s">
        <v>48</v>
      </c>
    </row>
    <row r="4" spans="2:4">
      <c r="B4" s="1" t="s">
        <v>13</v>
      </c>
    </row>
    <row r="5" spans="2:4">
      <c r="B5" s="2" t="s">
        <v>19</v>
      </c>
      <c r="C5" t="s">
        <v>17</v>
      </c>
    </row>
    <row r="6" spans="2:4">
      <c r="B6" t="s">
        <v>18</v>
      </c>
      <c r="C6" t="s">
        <v>8</v>
      </c>
      <c r="D6" t="s">
        <v>9</v>
      </c>
    </row>
    <row r="7" spans="2:4">
      <c r="B7">
        <v>10</v>
      </c>
      <c r="C7">
        <v>3235</v>
      </c>
      <c r="D7">
        <v>0</v>
      </c>
    </row>
    <row r="8" spans="2:4">
      <c r="B8">
        <v>20</v>
      </c>
      <c r="C8">
        <v>5527</v>
      </c>
      <c r="D8">
        <v>0</v>
      </c>
    </row>
    <row r="9" spans="2:4">
      <c r="B9">
        <v>30</v>
      </c>
      <c r="C9">
        <v>8071</v>
      </c>
      <c r="D9">
        <v>0</v>
      </c>
    </row>
    <row r="10" spans="2:4">
      <c r="B10">
        <v>40</v>
      </c>
      <c r="C10">
        <v>10260</v>
      </c>
      <c r="D10">
        <v>0</v>
      </c>
    </row>
    <row r="11" spans="2:4">
      <c r="B11">
        <v>50</v>
      </c>
      <c r="C11">
        <v>12615</v>
      </c>
      <c r="D11">
        <v>0</v>
      </c>
    </row>
    <row r="12" spans="2:4">
      <c r="B12">
        <v>60</v>
      </c>
      <c r="C12">
        <v>14837</v>
      </c>
      <c r="D12">
        <v>0</v>
      </c>
    </row>
    <row r="13" spans="2:4">
      <c r="B13">
        <v>80</v>
      </c>
      <c r="C13">
        <v>19278</v>
      </c>
      <c r="D13">
        <v>0</v>
      </c>
    </row>
    <row r="14" spans="2:4">
      <c r="B14">
        <v>100</v>
      </c>
      <c r="C14">
        <v>21433</v>
      </c>
    </row>
    <row r="21" spans="2:8">
      <c r="B21" s="1" t="s">
        <v>14</v>
      </c>
      <c r="C21" t="s">
        <v>21</v>
      </c>
    </row>
    <row r="22" spans="2:8">
      <c r="B22" s="2" t="s">
        <v>19</v>
      </c>
      <c r="C22" t="s">
        <v>17</v>
      </c>
    </row>
    <row r="23" spans="2:8">
      <c r="B23" t="s">
        <v>18</v>
      </c>
      <c r="C23" t="s">
        <v>10</v>
      </c>
      <c r="D23" t="s">
        <v>9</v>
      </c>
    </row>
    <row r="24" spans="2:8">
      <c r="B24">
        <v>10</v>
      </c>
      <c r="C24">
        <v>4120</v>
      </c>
      <c r="D24">
        <v>0</v>
      </c>
      <c r="G24">
        <v>10</v>
      </c>
      <c r="H24">
        <v>0</v>
      </c>
    </row>
    <row r="25" spans="2:8">
      <c r="B25">
        <v>15</v>
      </c>
      <c r="C25">
        <v>5424</v>
      </c>
      <c r="D25">
        <v>26</v>
      </c>
      <c r="G25">
        <v>15</v>
      </c>
      <c r="H25">
        <f>26/200</f>
        <v>0.13</v>
      </c>
    </row>
    <row r="26" spans="2:8">
      <c r="B26">
        <v>20</v>
      </c>
      <c r="C26">
        <v>8925</v>
      </c>
      <c r="D26">
        <v>86</v>
      </c>
      <c r="G26">
        <v>20</v>
      </c>
      <c r="H26">
        <f>86/200</f>
        <v>0.43</v>
      </c>
    </row>
    <row r="27" spans="2:8">
      <c r="B27">
        <v>30</v>
      </c>
      <c r="C27">
        <v>12660</v>
      </c>
      <c r="D27">
        <v>81</v>
      </c>
      <c r="G27">
        <v>30</v>
      </c>
      <c r="H27">
        <f>81/200</f>
        <v>0.40500000000000003</v>
      </c>
    </row>
    <row r="37" spans="2:4">
      <c r="B37" s="1" t="s">
        <v>14</v>
      </c>
      <c r="C37" t="s">
        <v>21</v>
      </c>
    </row>
    <row r="38" spans="2:4">
      <c r="B38" s="2" t="s">
        <v>19</v>
      </c>
    </row>
    <row r="39" spans="2:4">
      <c r="B39" s="1" t="s">
        <v>26</v>
      </c>
      <c r="C39" t="s">
        <v>34</v>
      </c>
    </row>
    <row r="40" spans="2:4">
      <c r="B40" t="s">
        <v>25</v>
      </c>
      <c r="C40">
        <v>21278</v>
      </c>
      <c r="D40">
        <v>0</v>
      </c>
    </row>
    <row r="41" spans="2:4">
      <c r="B41" t="s">
        <v>27</v>
      </c>
      <c r="C41">
        <v>16757</v>
      </c>
      <c r="D41">
        <v>0</v>
      </c>
    </row>
    <row r="42" spans="2:4">
      <c r="B42" t="s">
        <v>28</v>
      </c>
      <c r="C42">
        <v>28054</v>
      </c>
      <c r="D42">
        <v>0</v>
      </c>
    </row>
    <row r="43" spans="2:4">
      <c r="B43" t="s">
        <v>29</v>
      </c>
      <c r="C43">
        <v>33446</v>
      </c>
      <c r="D43">
        <v>0</v>
      </c>
    </row>
    <row r="44" spans="2:4">
      <c r="B44" t="s">
        <v>30</v>
      </c>
      <c r="C44">
        <v>34852</v>
      </c>
      <c r="D44">
        <v>0</v>
      </c>
    </row>
    <row r="45" spans="2:4">
      <c r="B45" t="s">
        <v>31</v>
      </c>
      <c r="C45">
        <v>33553</v>
      </c>
      <c r="D45">
        <v>16</v>
      </c>
    </row>
    <row r="46" spans="2:4">
      <c r="B46" t="s">
        <v>32</v>
      </c>
      <c r="C46">
        <v>33372</v>
      </c>
      <c r="D46">
        <v>22</v>
      </c>
    </row>
    <row r="47" spans="2:4">
      <c r="B47" s="2" t="s">
        <v>33</v>
      </c>
    </row>
    <row r="48" spans="2:4">
      <c r="B48" s="2"/>
    </row>
    <row r="49" spans="2:8">
      <c r="B49" s="2"/>
    </row>
    <row r="51" spans="2:8">
      <c r="B51" s="1" t="s">
        <v>15</v>
      </c>
      <c r="C51" t="s">
        <v>21</v>
      </c>
    </row>
    <row r="52" spans="2:8">
      <c r="B52" s="2" t="s">
        <v>20</v>
      </c>
    </row>
    <row r="53" spans="2:8">
      <c r="B53" s="3" t="s">
        <v>11</v>
      </c>
      <c r="C53" t="s">
        <v>17</v>
      </c>
    </row>
    <row r="54" spans="2:8">
      <c r="B54" t="s">
        <v>18</v>
      </c>
      <c r="C54" t="s">
        <v>10</v>
      </c>
      <c r="D54" t="s">
        <v>9</v>
      </c>
    </row>
    <row r="55" spans="2:8">
      <c r="B55">
        <v>10</v>
      </c>
      <c r="C55">
        <v>8958</v>
      </c>
      <c r="D55">
        <v>140</v>
      </c>
      <c r="G55">
        <v>10</v>
      </c>
      <c r="H55">
        <f>140/200</f>
        <v>0.7</v>
      </c>
    </row>
    <row r="56" spans="2:8">
      <c r="B56">
        <v>15</v>
      </c>
      <c r="C56">
        <v>14989</v>
      </c>
      <c r="D56">
        <v>155</v>
      </c>
      <c r="G56">
        <v>15</v>
      </c>
      <c r="H56">
        <f>155/200</f>
        <v>0.77500000000000002</v>
      </c>
    </row>
    <row r="57" spans="2:8">
      <c r="B57">
        <v>20</v>
      </c>
      <c r="C57">
        <v>15493</v>
      </c>
      <c r="D57">
        <v>140</v>
      </c>
      <c r="G57">
        <v>20</v>
      </c>
      <c r="H57">
        <f>140/200</f>
        <v>0.7</v>
      </c>
    </row>
    <row r="58" spans="2:8">
      <c r="B58">
        <v>25</v>
      </c>
      <c r="C58">
        <v>22575</v>
      </c>
      <c r="D58">
        <v>150</v>
      </c>
      <c r="G58">
        <v>25</v>
      </c>
      <c r="H58">
        <f>150/200</f>
        <v>0.75</v>
      </c>
    </row>
    <row r="59" spans="2:8">
      <c r="B59" s="2" t="s">
        <v>16</v>
      </c>
    </row>
    <row r="69" spans="2:8">
      <c r="B69" s="3" t="s">
        <v>12</v>
      </c>
      <c r="C69" t="s">
        <v>35</v>
      </c>
    </row>
    <row r="70" spans="2:8">
      <c r="B70">
        <v>10</v>
      </c>
      <c r="C70">
        <v>8656</v>
      </c>
      <c r="D70">
        <v>137</v>
      </c>
      <c r="G70">
        <v>10</v>
      </c>
      <c r="H70">
        <f>137/200</f>
        <v>0.68500000000000005</v>
      </c>
    </row>
    <row r="71" spans="2:8">
      <c r="B71">
        <v>15</v>
      </c>
      <c r="C71">
        <v>13322</v>
      </c>
      <c r="D71">
        <v>143</v>
      </c>
      <c r="G71">
        <v>15</v>
      </c>
      <c r="H71">
        <f>143/200</f>
        <v>0.71499999999999997</v>
      </c>
    </row>
    <row r="72" spans="2:8">
      <c r="B72">
        <v>20</v>
      </c>
      <c r="C72">
        <v>17565</v>
      </c>
      <c r="D72">
        <v>146</v>
      </c>
      <c r="G72">
        <v>20</v>
      </c>
      <c r="H72">
        <f>146/200</f>
        <v>0.73</v>
      </c>
    </row>
    <row r="73" spans="2:8">
      <c r="B73">
        <v>25</v>
      </c>
      <c r="C73">
        <v>19104</v>
      </c>
      <c r="D73">
        <v>136</v>
      </c>
      <c r="G73">
        <v>25</v>
      </c>
      <c r="H73">
        <f>136/200</f>
        <v>0.68</v>
      </c>
    </row>
    <row r="74" spans="2:8">
      <c r="B74" s="2" t="s">
        <v>16</v>
      </c>
    </row>
    <row r="85" spans="2:8">
      <c r="B85" s="1" t="s">
        <v>22</v>
      </c>
    </row>
    <row r="86" spans="2:8">
      <c r="B86" s="2" t="s">
        <v>23</v>
      </c>
      <c r="C86" t="s">
        <v>17</v>
      </c>
    </row>
    <row r="87" spans="2:8">
      <c r="B87" t="s">
        <v>36</v>
      </c>
      <c r="C87" t="s">
        <v>35</v>
      </c>
      <c r="D87" t="s">
        <v>24</v>
      </c>
    </row>
    <row r="88" spans="2:8">
      <c r="B88">
        <v>10</v>
      </c>
      <c r="C88">
        <v>3744</v>
      </c>
      <c r="D88">
        <v>0</v>
      </c>
      <c r="G88">
        <v>10</v>
      </c>
      <c r="H88">
        <f>0/200</f>
        <v>0</v>
      </c>
    </row>
    <row r="89" spans="2:8">
      <c r="B89">
        <v>20</v>
      </c>
      <c r="C89">
        <v>4190</v>
      </c>
      <c r="D89">
        <v>2</v>
      </c>
      <c r="G89">
        <v>20</v>
      </c>
      <c r="H89">
        <f>2/200</f>
        <v>0.01</v>
      </c>
    </row>
    <row r="90" spans="2:8">
      <c r="B90">
        <v>25</v>
      </c>
      <c r="C90">
        <v>6694</v>
      </c>
      <c r="D90">
        <v>0</v>
      </c>
      <c r="G90">
        <v>25</v>
      </c>
      <c r="H90">
        <v>0</v>
      </c>
    </row>
    <row r="91" spans="2:8">
      <c r="B91">
        <v>30</v>
      </c>
      <c r="C91">
        <v>8155</v>
      </c>
      <c r="D91">
        <v>0</v>
      </c>
      <c r="G91">
        <v>30</v>
      </c>
      <c r="H91">
        <v>0</v>
      </c>
    </row>
    <row r="92" spans="2:8">
      <c r="B92">
        <v>40</v>
      </c>
      <c r="C92">
        <v>10466</v>
      </c>
      <c r="D92">
        <v>1</v>
      </c>
      <c r="G92">
        <v>40</v>
      </c>
      <c r="H92">
        <f>1/200</f>
        <v>5.0000000000000001E-3</v>
      </c>
    </row>
    <row r="93" spans="2:8">
      <c r="B93">
        <v>45</v>
      </c>
      <c r="C93">
        <v>12708</v>
      </c>
      <c r="D93">
        <v>32</v>
      </c>
      <c r="G93">
        <v>45</v>
      </c>
      <c r="H93">
        <f>32/200</f>
        <v>0.16</v>
      </c>
    </row>
    <row r="94" spans="2:8">
      <c r="B94">
        <v>50</v>
      </c>
      <c r="C94">
        <v>13370</v>
      </c>
      <c r="D94">
        <v>42</v>
      </c>
      <c r="G94">
        <v>50</v>
      </c>
      <c r="H94">
        <f>42/200</f>
        <v>0.21</v>
      </c>
    </row>
    <row r="100" spans="2:8">
      <c r="B100" s="2" t="s">
        <v>23</v>
      </c>
      <c r="C100" t="s">
        <v>17</v>
      </c>
    </row>
    <row r="101" spans="2:8">
      <c r="B101" t="s">
        <v>37</v>
      </c>
      <c r="C101" t="s">
        <v>35</v>
      </c>
    </row>
    <row r="102" spans="2:8">
      <c r="B102" s="4">
        <v>43762</v>
      </c>
    </row>
    <row r="103" spans="2:8">
      <c r="B103">
        <v>30</v>
      </c>
      <c r="C103">
        <v>12501</v>
      </c>
      <c r="D103">
        <v>0</v>
      </c>
      <c r="G103">
        <v>30</v>
      </c>
      <c r="H103">
        <v>0</v>
      </c>
    </row>
    <row r="104" spans="2:8">
      <c r="B104">
        <v>40</v>
      </c>
      <c r="C104">
        <v>12514</v>
      </c>
      <c r="D104">
        <v>1</v>
      </c>
      <c r="G104">
        <v>40</v>
      </c>
      <c r="H104" s="5">
        <f>1/40</f>
        <v>2.5000000000000001E-2</v>
      </c>
    </row>
    <row r="105" spans="2:8">
      <c r="B105">
        <v>45</v>
      </c>
      <c r="C105">
        <v>10171</v>
      </c>
      <c r="D105">
        <v>11</v>
      </c>
      <c r="G105">
        <v>45</v>
      </c>
      <c r="H105" s="5">
        <f>11/45</f>
        <v>0.24444444444444444</v>
      </c>
    </row>
    <row r="106" spans="2:8">
      <c r="B106">
        <v>50</v>
      </c>
      <c r="C106">
        <v>10886</v>
      </c>
      <c r="D106">
        <v>13</v>
      </c>
      <c r="G106">
        <v>50</v>
      </c>
      <c r="H106">
        <f>13/50</f>
        <v>0.26</v>
      </c>
    </row>
    <row r="107" spans="2:8">
      <c r="B107">
        <v>60</v>
      </c>
      <c r="C107">
        <v>18316</v>
      </c>
      <c r="D107">
        <v>12</v>
      </c>
      <c r="G107">
        <v>60</v>
      </c>
      <c r="H107">
        <f>12/60</f>
        <v>0.2</v>
      </c>
    </row>
    <row r="117" spans="2:8">
      <c r="B117" s="4">
        <v>43763</v>
      </c>
    </row>
    <row r="118" spans="2:8">
      <c r="B118">
        <v>20</v>
      </c>
      <c r="C118">
        <v>8389</v>
      </c>
      <c r="D118">
        <v>0</v>
      </c>
      <c r="G118">
        <v>20</v>
      </c>
      <c r="H118">
        <v>0</v>
      </c>
    </row>
    <row r="119" spans="2:8">
      <c r="B119">
        <v>30</v>
      </c>
      <c r="C119">
        <v>8493</v>
      </c>
      <c r="D119">
        <v>3</v>
      </c>
      <c r="G119">
        <v>30</v>
      </c>
      <c r="H119">
        <f>3/30</f>
        <v>0.1</v>
      </c>
    </row>
    <row r="120" spans="2:8">
      <c r="B120">
        <v>40</v>
      </c>
      <c r="C120">
        <v>7942</v>
      </c>
      <c r="D120">
        <v>14</v>
      </c>
      <c r="G120">
        <v>40</v>
      </c>
      <c r="H120">
        <f>14/40</f>
        <v>0.35</v>
      </c>
    </row>
    <row r="121" spans="2:8">
      <c r="B121">
        <v>50</v>
      </c>
      <c r="C121">
        <v>10199</v>
      </c>
      <c r="D121">
        <v>19</v>
      </c>
      <c r="G121">
        <v>50</v>
      </c>
      <c r="H121">
        <f>19/50</f>
        <v>0.38</v>
      </c>
    </row>
    <row r="122" spans="2:8">
      <c r="B122">
        <v>60</v>
      </c>
      <c r="C122">
        <v>11594</v>
      </c>
      <c r="D122">
        <v>21</v>
      </c>
      <c r="G122">
        <v>60</v>
      </c>
      <c r="H122">
        <f>21/60</f>
        <v>0.35</v>
      </c>
    </row>
    <row r="134" spans="2:8" ht="21">
      <c r="B134" s="9" t="s">
        <v>47</v>
      </c>
    </row>
    <row r="135" spans="2:8">
      <c r="B135" s="2" t="s">
        <v>49</v>
      </c>
      <c r="C135" t="s">
        <v>53</v>
      </c>
    </row>
    <row r="136" spans="2:8">
      <c r="B136" t="s">
        <v>50</v>
      </c>
      <c r="C136" t="s">
        <v>51</v>
      </c>
      <c r="D136" t="s">
        <v>52</v>
      </c>
    </row>
    <row r="137" spans="2:8">
      <c r="B137">
        <v>10</v>
      </c>
      <c r="C137">
        <v>4476</v>
      </c>
      <c r="D137">
        <v>0</v>
      </c>
      <c r="G137">
        <v>10</v>
      </c>
      <c r="H137">
        <v>0</v>
      </c>
    </row>
    <row r="138" spans="2:8">
      <c r="B138">
        <v>20</v>
      </c>
      <c r="C138">
        <v>9591</v>
      </c>
      <c r="D138">
        <v>0</v>
      </c>
      <c r="G138">
        <v>20</v>
      </c>
      <c r="H138">
        <v>0</v>
      </c>
    </row>
    <row r="139" spans="2:8">
      <c r="B139">
        <v>25</v>
      </c>
      <c r="C139">
        <v>12346</v>
      </c>
      <c r="D139">
        <v>8</v>
      </c>
      <c r="G139">
        <v>25</v>
      </c>
      <c r="H139">
        <f>8/200</f>
        <v>0.04</v>
      </c>
    </row>
    <row r="140" spans="2:8">
      <c r="B140">
        <v>30</v>
      </c>
      <c r="C140">
        <v>12051</v>
      </c>
      <c r="D140">
        <v>96</v>
      </c>
      <c r="G140">
        <v>30</v>
      </c>
      <c r="H140">
        <f>96/200</f>
        <v>0.48</v>
      </c>
    </row>
    <row r="151" spans="2:8">
      <c r="C151" t="s">
        <v>54</v>
      </c>
    </row>
    <row r="152" spans="2:8">
      <c r="B152">
        <v>10</v>
      </c>
      <c r="C152">
        <v>4388</v>
      </c>
      <c r="D152">
        <v>0</v>
      </c>
      <c r="G152">
        <v>10</v>
      </c>
      <c r="H152">
        <v>0</v>
      </c>
    </row>
    <row r="153" spans="2:8">
      <c r="B153">
        <v>20</v>
      </c>
      <c r="C153">
        <v>5021</v>
      </c>
      <c r="D153">
        <v>0</v>
      </c>
      <c r="G153">
        <v>20</v>
      </c>
      <c r="H153">
        <v>0</v>
      </c>
    </row>
    <row r="154" spans="2:8">
      <c r="B154">
        <v>25</v>
      </c>
      <c r="C154">
        <v>10873</v>
      </c>
      <c r="D154">
        <v>13</v>
      </c>
      <c r="G154">
        <v>25</v>
      </c>
      <c r="H154">
        <f>13/200</f>
        <v>6.5000000000000002E-2</v>
      </c>
    </row>
    <row r="155" spans="2:8">
      <c r="B155">
        <v>30</v>
      </c>
      <c r="C155">
        <v>13818</v>
      </c>
      <c r="D155">
        <v>110</v>
      </c>
      <c r="G155">
        <v>30</v>
      </c>
      <c r="H155">
        <f>110/200</f>
        <v>0.55000000000000004</v>
      </c>
    </row>
    <row r="167" spans="2:7" ht="21">
      <c r="B167" s="9" t="s">
        <v>47</v>
      </c>
    </row>
    <row r="168" spans="2:7">
      <c r="B168" s="6" t="s">
        <v>59</v>
      </c>
      <c r="C168" s="6">
        <v>8435</v>
      </c>
      <c r="D168" s="6">
        <v>0</v>
      </c>
      <c r="E168" s="6"/>
      <c r="F168" s="6"/>
    </row>
    <row r="169" spans="2:7">
      <c r="B169" s="6" t="s">
        <v>58</v>
      </c>
      <c r="C169" s="6">
        <v>11732</v>
      </c>
      <c r="D169" s="6">
        <v>652</v>
      </c>
      <c r="E169" s="6"/>
      <c r="F169" s="6"/>
    </row>
    <row r="170" spans="2:7">
      <c r="B170" s="6" t="s">
        <v>60</v>
      </c>
      <c r="C170" s="6">
        <v>8100</v>
      </c>
      <c r="D170" s="6">
        <v>12</v>
      </c>
      <c r="E170" s="6"/>
      <c r="F170" s="6"/>
    </row>
    <row r="174" spans="2:7">
      <c r="B174" s="10" t="s">
        <v>48</v>
      </c>
    </row>
    <row r="176" spans="2:7">
      <c r="B176">
        <v>20</v>
      </c>
      <c r="C176">
        <v>8448</v>
      </c>
      <c r="D176">
        <v>2</v>
      </c>
      <c r="G176" t="s">
        <v>55</v>
      </c>
    </row>
    <row r="177" spans="2:8">
      <c r="B177">
        <v>25</v>
      </c>
      <c r="C177">
        <v>7316</v>
      </c>
      <c r="D177">
        <v>0</v>
      </c>
    </row>
    <row r="178" spans="2:8">
      <c r="B178">
        <v>30</v>
      </c>
      <c r="C178">
        <v>8710</v>
      </c>
      <c r="D178">
        <v>4</v>
      </c>
    </row>
    <row r="179" spans="2:8">
      <c r="B179">
        <v>35</v>
      </c>
      <c r="C179">
        <v>9881</v>
      </c>
      <c r="D179">
        <v>9</v>
      </c>
    </row>
    <row r="180" spans="2:8">
      <c r="B180">
        <v>40</v>
      </c>
      <c r="C180">
        <v>11283</v>
      </c>
      <c r="D180">
        <v>55</v>
      </c>
    </row>
    <row r="182" spans="2:8">
      <c r="B182" t="s">
        <v>56</v>
      </c>
      <c r="C182">
        <v>7884</v>
      </c>
      <c r="D182">
        <v>0</v>
      </c>
    </row>
    <row r="183" spans="2:8">
      <c r="B183" t="s">
        <v>57</v>
      </c>
      <c r="C183">
        <v>8687</v>
      </c>
      <c r="D183">
        <v>39</v>
      </c>
    </row>
    <row r="185" spans="2:8">
      <c r="B185" s="4">
        <v>43767</v>
      </c>
    </row>
    <row r="188" spans="2:8" ht="21">
      <c r="B188" s="9" t="s">
        <v>65</v>
      </c>
    </row>
    <row r="189" spans="2:8">
      <c r="B189" s="2" t="s">
        <v>61</v>
      </c>
      <c r="C189" t="s">
        <v>35</v>
      </c>
      <c r="D189" t="s">
        <v>62</v>
      </c>
    </row>
    <row r="190" spans="2:8">
      <c r="B190">
        <v>20</v>
      </c>
      <c r="C190">
        <v>4336</v>
      </c>
      <c r="D190">
        <v>0</v>
      </c>
      <c r="G190">
        <v>20</v>
      </c>
      <c r="H190">
        <v>0</v>
      </c>
    </row>
    <row r="191" spans="2:8">
      <c r="B191">
        <v>25</v>
      </c>
      <c r="C191">
        <v>5283</v>
      </c>
      <c r="D191">
        <v>0</v>
      </c>
      <c r="G191">
        <v>25</v>
      </c>
      <c r="H191">
        <v>0</v>
      </c>
    </row>
    <row r="192" spans="2:8">
      <c r="B192">
        <v>30</v>
      </c>
      <c r="C192">
        <v>6266</v>
      </c>
      <c r="D192">
        <v>0</v>
      </c>
      <c r="G192">
        <v>30</v>
      </c>
      <c r="H192">
        <v>0</v>
      </c>
    </row>
    <row r="193" spans="2:8">
      <c r="B193">
        <v>40</v>
      </c>
      <c r="C193">
        <v>8374</v>
      </c>
      <c r="D193">
        <v>0</v>
      </c>
      <c r="G193">
        <v>40</v>
      </c>
      <c r="H193">
        <v>0</v>
      </c>
    </row>
    <row r="194" spans="2:8">
      <c r="B194">
        <v>50</v>
      </c>
      <c r="C194">
        <v>9737</v>
      </c>
      <c r="D194">
        <v>0</v>
      </c>
      <c r="G194">
        <v>50</v>
      </c>
      <c r="H194">
        <v>0</v>
      </c>
    </row>
    <row r="195" spans="2:8">
      <c r="B195">
        <v>60</v>
      </c>
      <c r="C195">
        <v>11481</v>
      </c>
      <c r="D195">
        <f>4/200</f>
        <v>0.02</v>
      </c>
      <c r="G195">
        <v>60</v>
      </c>
      <c r="H195">
        <f>4/200</f>
        <v>0.02</v>
      </c>
    </row>
    <row r="196" spans="2:8">
      <c r="B196">
        <v>65</v>
      </c>
      <c r="C196">
        <v>12362</v>
      </c>
      <c r="D196">
        <v>0</v>
      </c>
      <c r="G196">
        <v>65</v>
      </c>
      <c r="H196">
        <v>0</v>
      </c>
    </row>
    <row r="197" spans="2:8">
      <c r="B197">
        <v>70</v>
      </c>
      <c r="C197">
        <v>12865</v>
      </c>
      <c r="D197">
        <v>0</v>
      </c>
      <c r="G197">
        <v>70</v>
      </c>
      <c r="H197">
        <v>0</v>
      </c>
    </row>
    <row r="198" spans="2:8">
      <c r="B198">
        <v>80</v>
      </c>
      <c r="C198">
        <v>15535</v>
      </c>
      <c r="D198">
        <f>4/200</f>
        <v>0.02</v>
      </c>
      <c r="G198">
        <v>80</v>
      </c>
      <c r="H198">
        <f>4/200</f>
        <v>0.02</v>
      </c>
    </row>
    <row r="199" spans="2:8">
      <c r="B199">
        <v>90</v>
      </c>
      <c r="C199">
        <v>16452</v>
      </c>
      <c r="D199">
        <f>13/200</f>
        <v>6.5000000000000002E-2</v>
      </c>
      <c r="G199">
        <v>90</v>
      </c>
      <c r="H199">
        <f>13/200</f>
        <v>6.5000000000000002E-2</v>
      </c>
    </row>
    <row r="200" spans="2:8">
      <c r="B200">
        <v>100</v>
      </c>
      <c r="C200">
        <v>18409</v>
      </c>
      <c r="D200">
        <f>8/200</f>
        <v>0.04</v>
      </c>
      <c r="G200">
        <v>100</v>
      </c>
      <c r="H200">
        <f>8/200</f>
        <v>0.04</v>
      </c>
    </row>
    <row r="201" spans="2:8">
      <c r="B201">
        <v>110</v>
      </c>
      <c r="C201">
        <v>21408</v>
      </c>
      <c r="D201">
        <f>11/200</f>
        <v>5.5E-2</v>
      </c>
      <c r="G201">
        <v>110</v>
      </c>
      <c r="H201">
        <f>11/200</f>
        <v>5.5E-2</v>
      </c>
    </row>
    <row r="202" spans="2:8">
      <c r="B202">
        <v>120</v>
      </c>
      <c r="C202">
        <v>32730</v>
      </c>
      <c r="D202">
        <f>97/600</f>
        <v>0.16166666666666665</v>
      </c>
      <c r="G202">
        <v>120</v>
      </c>
      <c r="H202">
        <f>97/600</f>
        <v>0.16166666666666665</v>
      </c>
    </row>
    <row r="204" spans="2:8">
      <c r="B204" s="2" t="s">
        <v>63</v>
      </c>
    </row>
    <row r="207" spans="2:8" ht="21">
      <c r="B207" s="9" t="s">
        <v>66</v>
      </c>
    </row>
    <row r="208" spans="2:8">
      <c r="B208" s="2" t="s">
        <v>61</v>
      </c>
      <c r="C208" t="s">
        <v>35</v>
      </c>
    </row>
    <row r="209" spans="2:8">
      <c r="B209">
        <v>20</v>
      </c>
      <c r="C209">
        <v>6308</v>
      </c>
      <c r="D209">
        <v>0</v>
      </c>
      <c r="G209">
        <v>20</v>
      </c>
      <c r="H209">
        <v>0</v>
      </c>
    </row>
    <row r="210" spans="2:8">
      <c r="B210">
        <v>25</v>
      </c>
      <c r="C210">
        <v>7347</v>
      </c>
      <c r="D210">
        <v>0</v>
      </c>
      <c r="G210">
        <v>25</v>
      </c>
      <c r="H210">
        <v>0</v>
      </c>
    </row>
    <row r="211" spans="2:8">
      <c r="B211">
        <v>30</v>
      </c>
      <c r="C211">
        <v>8803</v>
      </c>
      <c r="D211">
        <v>0</v>
      </c>
      <c r="G211">
        <v>30</v>
      </c>
      <c r="H211">
        <v>0</v>
      </c>
    </row>
    <row r="212" spans="2:8">
      <c r="B212">
        <v>40</v>
      </c>
      <c r="C212">
        <v>11746</v>
      </c>
      <c r="D212">
        <v>0</v>
      </c>
      <c r="G212">
        <v>40</v>
      </c>
      <c r="H212">
        <v>0</v>
      </c>
    </row>
    <row r="213" spans="2:8">
      <c r="B213">
        <v>50</v>
      </c>
      <c r="C213">
        <v>14868</v>
      </c>
      <c r="D213">
        <v>0</v>
      </c>
      <c r="G213">
        <v>50</v>
      </c>
      <c r="H213">
        <v>0</v>
      </c>
    </row>
    <row r="214" spans="2:8">
      <c r="B214">
        <v>60</v>
      </c>
      <c r="C214">
        <v>15380</v>
      </c>
      <c r="D214">
        <f>37/200</f>
        <v>0.185</v>
      </c>
      <c r="G214">
        <v>60</v>
      </c>
      <c r="H214">
        <f>37/200</f>
        <v>0.185</v>
      </c>
    </row>
    <row r="216" spans="2:8">
      <c r="B216" s="2" t="s">
        <v>64</v>
      </c>
    </row>
    <row r="225" spans="2:8" ht="21">
      <c r="B225" s="9" t="s">
        <v>67</v>
      </c>
    </row>
    <row r="226" spans="2:8">
      <c r="B226" s="2" t="s">
        <v>61</v>
      </c>
      <c r="C226" t="s">
        <v>35</v>
      </c>
      <c r="D226" t="s">
        <v>69</v>
      </c>
    </row>
    <row r="227" spans="2:8">
      <c r="B227">
        <v>20</v>
      </c>
    </row>
    <row r="228" spans="2:8">
      <c r="B228">
        <v>24</v>
      </c>
      <c r="C228">
        <v>7275</v>
      </c>
      <c r="D228">
        <v>0</v>
      </c>
      <c r="G228">
        <v>24</v>
      </c>
      <c r="H228">
        <v>0</v>
      </c>
    </row>
    <row r="229" spans="2:8">
      <c r="B229">
        <v>30</v>
      </c>
      <c r="C229">
        <v>18576</v>
      </c>
      <c r="D229">
        <f>71/200</f>
        <v>0.35499999999999998</v>
      </c>
      <c r="G229">
        <v>30</v>
      </c>
      <c r="H229">
        <f>71/200 * 100</f>
        <v>35.5</v>
      </c>
    </row>
    <row r="230" spans="2:8">
      <c r="B230">
        <v>40</v>
      </c>
      <c r="C230">
        <v>11687</v>
      </c>
      <c r="D230">
        <f>146/200</f>
        <v>0.73</v>
      </c>
      <c r="G230">
        <v>40</v>
      </c>
      <c r="H230">
        <f>146/200 * 100</f>
        <v>73</v>
      </c>
    </row>
    <row r="240" spans="2:8" ht="21">
      <c r="B240" s="9" t="s">
        <v>68</v>
      </c>
    </row>
    <row r="241" spans="2:8">
      <c r="B241" s="2" t="s">
        <v>61</v>
      </c>
      <c r="C241" t="s">
        <v>35</v>
      </c>
      <c r="D241" t="s">
        <v>69</v>
      </c>
    </row>
    <row r="242" spans="2:8">
      <c r="B242">
        <v>20</v>
      </c>
      <c r="C242">
        <v>6317</v>
      </c>
      <c r="D242">
        <v>0</v>
      </c>
      <c r="G242">
        <v>20</v>
      </c>
      <c r="H242">
        <v>0</v>
      </c>
    </row>
    <row r="243" spans="2:8">
      <c r="B243">
        <v>25</v>
      </c>
      <c r="C243">
        <v>7335</v>
      </c>
      <c r="D243">
        <f>1/200</f>
        <v>5.0000000000000001E-3</v>
      </c>
      <c r="G243">
        <v>25</v>
      </c>
      <c r="H243">
        <f>1/200 * 100</f>
        <v>0.5</v>
      </c>
    </row>
    <row r="244" spans="2:8">
      <c r="B244">
        <v>30</v>
      </c>
      <c r="C244">
        <v>8244</v>
      </c>
      <c r="D244">
        <v>0</v>
      </c>
      <c r="G244">
        <v>30</v>
      </c>
      <c r="H244">
        <v>0</v>
      </c>
    </row>
    <row r="245" spans="2:8">
      <c r="B245">
        <v>35</v>
      </c>
      <c r="C245">
        <v>10291</v>
      </c>
      <c r="D245">
        <v>0</v>
      </c>
      <c r="G245">
        <v>35</v>
      </c>
      <c r="H245">
        <v>0</v>
      </c>
    </row>
    <row r="246" spans="2:8">
      <c r="B246">
        <v>40</v>
      </c>
      <c r="C246">
        <v>12168</v>
      </c>
      <c r="D246">
        <f>1/200</f>
        <v>5.0000000000000001E-3</v>
      </c>
      <c r="G246">
        <v>40</v>
      </c>
      <c r="H246">
        <f>1/200 * 100</f>
        <v>0.5</v>
      </c>
    </row>
    <row r="247" spans="2:8">
      <c r="B247">
        <v>45</v>
      </c>
      <c r="C247">
        <v>13084</v>
      </c>
      <c r="D247">
        <f>15/200</f>
        <v>7.4999999999999997E-2</v>
      </c>
      <c r="G247">
        <v>45</v>
      </c>
      <c r="H247">
        <f>15/200 * 100</f>
        <v>7.5</v>
      </c>
    </row>
    <row r="248" spans="2:8">
      <c r="B248">
        <v>50</v>
      </c>
      <c r="C248">
        <v>13250</v>
      </c>
      <c r="D248">
        <f>149/200</f>
        <v>0.745</v>
      </c>
      <c r="G248">
        <v>50</v>
      </c>
      <c r="H248">
        <f>149/200 * 100</f>
        <v>74.5</v>
      </c>
    </row>
    <row r="257" spans="1:8">
      <c r="A257" s="4">
        <v>43773</v>
      </c>
    </row>
    <row r="258" spans="1:8" ht="19">
      <c r="B258" s="11" t="s">
        <v>73</v>
      </c>
    </row>
    <row r="259" spans="1:8">
      <c r="A259" s="2" t="s">
        <v>70</v>
      </c>
      <c r="B259" s="2" t="s">
        <v>71</v>
      </c>
      <c r="C259" s="2" t="s">
        <v>72</v>
      </c>
      <c r="D259" s="2" t="s">
        <v>62</v>
      </c>
      <c r="E259" s="2" t="s">
        <v>75</v>
      </c>
      <c r="F259" s="2"/>
    </row>
    <row r="260" spans="1:8">
      <c r="A260">
        <v>1000</v>
      </c>
      <c r="B260">
        <v>7</v>
      </c>
      <c r="C260">
        <v>4517</v>
      </c>
      <c r="D260">
        <f>11/1000</f>
        <v>1.0999999999999999E-2</v>
      </c>
      <c r="E260">
        <f>D260 * 100</f>
        <v>1.0999999999999999</v>
      </c>
      <c r="G260">
        <v>7</v>
      </c>
      <c r="H260">
        <f>D260*100</f>
        <v>1.0999999999999999</v>
      </c>
    </row>
    <row r="261" spans="1:8">
      <c r="A261">
        <v>200</v>
      </c>
      <c r="B261">
        <v>8</v>
      </c>
      <c r="C261">
        <v>4663</v>
      </c>
      <c r="D261">
        <v>0</v>
      </c>
      <c r="E261">
        <f t="shared" ref="E261:E264" si="0">D261 * 100</f>
        <v>0</v>
      </c>
      <c r="G261">
        <v>8</v>
      </c>
      <c r="H261">
        <f t="shared" ref="H261:H264" si="1">D261*100</f>
        <v>0</v>
      </c>
    </row>
    <row r="262" spans="1:8">
      <c r="A262">
        <v>200</v>
      </c>
      <c r="B262">
        <v>9</v>
      </c>
      <c r="C262">
        <v>6179</v>
      </c>
      <c r="D262">
        <f>4/200</f>
        <v>0.02</v>
      </c>
      <c r="E262">
        <f t="shared" si="0"/>
        <v>2</v>
      </c>
      <c r="G262">
        <v>9</v>
      </c>
      <c r="H262">
        <f t="shared" si="1"/>
        <v>2</v>
      </c>
    </row>
    <row r="263" spans="1:8">
      <c r="A263">
        <v>200</v>
      </c>
      <c r="B263">
        <v>10</v>
      </c>
      <c r="C263">
        <v>8101</v>
      </c>
      <c r="D263">
        <f>37/200</f>
        <v>0.185</v>
      </c>
      <c r="E263">
        <f t="shared" si="0"/>
        <v>18.5</v>
      </c>
      <c r="G263">
        <v>10</v>
      </c>
      <c r="H263">
        <f t="shared" si="1"/>
        <v>18.5</v>
      </c>
    </row>
    <row r="264" spans="1:8">
      <c r="A264">
        <v>200</v>
      </c>
      <c r="B264">
        <v>12</v>
      </c>
      <c r="C264">
        <v>8303</v>
      </c>
      <c r="D264">
        <f>76/200</f>
        <v>0.38</v>
      </c>
      <c r="E264">
        <f t="shared" si="0"/>
        <v>38</v>
      </c>
      <c r="G264">
        <v>12</v>
      </c>
      <c r="H264">
        <f t="shared" si="1"/>
        <v>38</v>
      </c>
    </row>
    <row r="274" spans="1:8" ht="19">
      <c r="B274" s="11" t="s">
        <v>74</v>
      </c>
    </row>
    <row r="275" spans="1:8">
      <c r="A275">
        <v>200</v>
      </c>
      <c r="B275">
        <v>8</v>
      </c>
      <c r="C275">
        <v>3541</v>
      </c>
      <c r="D275">
        <v>0</v>
      </c>
      <c r="E275">
        <f>D275 * 100</f>
        <v>0</v>
      </c>
      <c r="G275">
        <v>8</v>
      </c>
      <c r="H275">
        <f>D275*100</f>
        <v>0</v>
      </c>
    </row>
    <row r="276" spans="1:8">
      <c r="A276">
        <v>600</v>
      </c>
      <c r="B276">
        <v>8</v>
      </c>
      <c r="C276">
        <v>3499</v>
      </c>
      <c r="D276">
        <v>0</v>
      </c>
      <c r="E276">
        <f t="shared" ref="E276:E281" si="2">D276 * 100</f>
        <v>0</v>
      </c>
      <c r="G276">
        <v>8</v>
      </c>
      <c r="H276">
        <v>0</v>
      </c>
    </row>
    <row r="277" spans="1:8">
      <c r="A277">
        <v>1000</v>
      </c>
      <c r="B277">
        <v>8</v>
      </c>
      <c r="C277">
        <v>3727</v>
      </c>
      <c r="D277">
        <f>1/1000</f>
        <v>1E-3</v>
      </c>
      <c r="E277">
        <f t="shared" si="2"/>
        <v>0.1</v>
      </c>
      <c r="G277">
        <v>8</v>
      </c>
      <c r="H277">
        <v>0</v>
      </c>
    </row>
    <row r="278" spans="1:8">
      <c r="A278">
        <v>200</v>
      </c>
      <c r="B278">
        <v>9</v>
      </c>
      <c r="C278">
        <v>4009</v>
      </c>
      <c r="D278">
        <v>0</v>
      </c>
      <c r="E278">
        <f t="shared" si="2"/>
        <v>0</v>
      </c>
      <c r="G278">
        <v>9</v>
      </c>
      <c r="H278">
        <f t="shared" ref="H278:H281" si="3">D278*100</f>
        <v>0</v>
      </c>
    </row>
    <row r="279" spans="1:8">
      <c r="A279">
        <v>600</v>
      </c>
      <c r="B279">
        <v>9</v>
      </c>
      <c r="C279">
        <v>3691</v>
      </c>
      <c r="D279">
        <f>72/600</f>
        <v>0.12</v>
      </c>
      <c r="E279">
        <f t="shared" si="2"/>
        <v>12</v>
      </c>
      <c r="G279">
        <v>9</v>
      </c>
      <c r="H279">
        <f t="shared" si="3"/>
        <v>12</v>
      </c>
    </row>
    <row r="280" spans="1:8">
      <c r="A280">
        <v>200</v>
      </c>
      <c r="B280">
        <v>10</v>
      </c>
      <c r="C280">
        <v>4748</v>
      </c>
      <c r="D280">
        <f>4/200</f>
        <v>0.02</v>
      </c>
      <c r="E280">
        <f t="shared" si="2"/>
        <v>2</v>
      </c>
      <c r="G280">
        <v>10</v>
      </c>
      <c r="H280">
        <f t="shared" si="3"/>
        <v>2</v>
      </c>
    </row>
    <row r="281" spans="1:8">
      <c r="A281">
        <v>200</v>
      </c>
      <c r="B281">
        <v>11</v>
      </c>
      <c r="C281">
        <v>4723</v>
      </c>
      <c r="D281">
        <f>105/200</f>
        <v>0.52500000000000002</v>
      </c>
      <c r="E281">
        <f t="shared" si="2"/>
        <v>52.5</v>
      </c>
      <c r="G281">
        <v>11</v>
      </c>
      <c r="H281">
        <f t="shared" si="3"/>
        <v>52.5</v>
      </c>
    </row>
    <row r="290" spans="1:6" ht="19">
      <c r="A290" s="4">
        <v>43775</v>
      </c>
      <c r="B290" s="13" t="s">
        <v>76</v>
      </c>
    </row>
    <row r="291" spans="1:6" ht="19">
      <c r="A291" s="4" t="s">
        <v>77</v>
      </c>
      <c r="B291" s="13"/>
    </row>
    <row r="292" spans="1:6">
      <c r="A292" s="2" t="s">
        <v>70</v>
      </c>
      <c r="B292" s="2" t="s">
        <v>71</v>
      </c>
      <c r="C292" s="2" t="s">
        <v>72</v>
      </c>
      <c r="D292" s="2" t="s">
        <v>62</v>
      </c>
      <c r="E292" s="2" t="s">
        <v>75</v>
      </c>
      <c r="F292" s="2"/>
    </row>
    <row r="293" spans="1:6">
      <c r="A293" s="12">
        <v>200</v>
      </c>
      <c r="B293">
        <v>10</v>
      </c>
      <c r="C293">
        <v>7806</v>
      </c>
      <c r="D293">
        <v>0</v>
      </c>
    </row>
    <row r="294" spans="1:6">
      <c r="A294" s="12">
        <v>200</v>
      </c>
      <c r="B294">
        <v>15</v>
      </c>
      <c r="C294">
        <v>8406</v>
      </c>
      <c r="D294">
        <v>0</v>
      </c>
    </row>
    <row r="295" spans="1:6">
      <c r="A295" s="12">
        <v>200</v>
      </c>
      <c r="B295">
        <v>20</v>
      </c>
      <c r="C295">
        <v>8778</v>
      </c>
      <c r="D295">
        <v>0</v>
      </c>
    </row>
    <row r="296" spans="1:6">
      <c r="A296" s="12">
        <v>200</v>
      </c>
      <c r="B296">
        <v>25</v>
      </c>
      <c r="C296">
        <v>9964</v>
      </c>
      <c r="D296">
        <v>0</v>
      </c>
    </row>
    <row r="297" spans="1:6">
      <c r="A297" s="12">
        <v>200</v>
      </c>
      <c r="B297">
        <v>30</v>
      </c>
      <c r="C297">
        <v>10007</v>
      </c>
      <c r="D297">
        <v>0</v>
      </c>
    </row>
    <row r="298" spans="1:6">
      <c r="A298" s="12">
        <v>200</v>
      </c>
      <c r="B298">
        <v>40</v>
      </c>
      <c r="C298">
        <v>15222</v>
      </c>
      <c r="D298">
        <v>0</v>
      </c>
    </row>
    <row r="299" spans="1:6">
      <c r="A299" s="12">
        <v>200</v>
      </c>
      <c r="B299">
        <v>50</v>
      </c>
      <c r="C299">
        <v>17385</v>
      </c>
      <c r="D299">
        <v>0</v>
      </c>
    </row>
    <row r="300" spans="1:6">
      <c r="A300" s="12">
        <v>200</v>
      </c>
      <c r="B300">
        <v>60</v>
      </c>
      <c r="C300">
        <v>17468</v>
      </c>
      <c r="D300">
        <v>0</v>
      </c>
    </row>
    <row r="301" spans="1:6">
      <c r="A301" s="12">
        <v>200</v>
      </c>
      <c r="B301">
        <v>70</v>
      </c>
      <c r="C301">
        <v>17541</v>
      </c>
      <c r="D301">
        <v>0</v>
      </c>
    </row>
    <row r="302" spans="1:6">
      <c r="A302" s="12"/>
    </row>
    <row r="303" spans="1:6">
      <c r="A303" s="12"/>
    </row>
    <row r="304" spans="1:6">
      <c r="A304" s="4" t="s">
        <v>78</v>
      </c>
    </row>
    <row r="305" spans="1:4">
      <c r="A305">
        <v>200</v>
      </c>
      <c r="B305">
        <v>10</v>
      </c>
      <c r="C305">
        <v>2415</v>
      </c>
      <c r="D305">
        <v>0</v>
      </c>
    </row>
    <row r="306" spans="1:4">
      <c r="A306">
        <v>200</v>
      </c>
      <c r="B306">
        <v>20</v>
      </c>
      <c r="C306">
        <v>4583</v>
      </c>
      <c r="D306">
        <v>0</v>
      </c>
    </row>
    <row r="307" spans="1:4">
      <c r="A307">
        <v>200</v>
      </c>
      <c r="B307">
        <v>30</v>
      </c>
      <c r="C307">
        <v>6940</v>
      </c>
      <c r="D307">
        <v>0</v>
      </c>
    </row>
    <row r="308" spans="1:4">
      <c r="A308">
        <v>200</v>
      </c>
      <c r="B308">
        <v>40</v>
      </c>
      <c r="C308">
        <v>9058</v>
      </c>
      <c r="D308">
        <v>0</v>
      </c>
    </row>
    <row r="309" spans="1:4">
      <c r="A309">
        <v>200</v>
      </c>
      <c r="B309">
        <v>50</v>
      </c>
      <c r="C309">
        <v>11704</v>
      </c>
      <c r="D309">
        <v>0</v>
      </c>
    </row>
    <row r="310" spans="1:4">
      <c r="A310">
        <v>200</v>
      </c>
      <c r="B310">
        <v>60</v>
      </c>
      <c r="C310">
        <v>13119</v>
      </c>
      <c r="D310">
        <v>0</v>
      </c>
    </row>
    <row r="311" spans="1:4">
      <c r="A311">
        <v>200</v>
      </c>
      <c r="B311">
        <v>70</v>
      </c>
      <c r="C311">
        <v>15102</v>
      </c>
      <c r="D311">
        <v>0</v>
      </c>
    </row>
    <row r="312" spans="1:4">
      <c r="A312">
        <v>200</v>
      </c>
      <c r="B312">
        <v>100</v>
      </c>
      <c r="C312">
        <v>20862</v>
      </c>
      <c r="D312">
        <v>0</v>
      </c>
    </row>
    <row r="313" spans="1:4">
      <c r="A313">
        <v>260</v>
      </c>
      <c r="B313">
        <v>130</v>
      </c>
      <c r="C313">
        <v>25861</v>
      </c>
      <c r="D313">
        <v>0</v>
      </c>
    </row>
    <row r="314" spans="1:4">
      <c r="A314">
        <v>280</v>
      </c>
      <c r="B314">
        <v>140</v>
      </c>
      <c r="C314">
        <v>27954</v>
      </c>
      <c r="D314">
        <v>0</v>
      </c>
    </row>
    <row r="315" spans="1:4">
      <c r="A315">
        <v>300</v>
      </c>
      <c r="B315">
        <v>150</v>
      </c>
      <c r="C315">
        <v>30331</v>
      </c>
      <c r="D315">
        <v>0</v>
      </c>
    </row>
    <row r="316" spans="1:4">
      <c r="A316">
        <v>300</v>
      </c>
      <c r="B316">
        <v>150</v>
      </c>
      <c r="C316" t="s">
        <v>79</v>
      </c>
      <c r="D316">
        <v>3</v>
      </c>
    </row>
    <row r="317" spans="1:4">
      <c r="A317">
        <v>320</v>
      </c>
      <c r="B317">
        <v>160</v>
      </c>
      <c r="C317" t="s">
        <v>79</v>
      </c>
      <c r="D317">
        <v>5</v>
      </c>
    </row>
    <row r="320" spans="1:4" ht="19">
      <c r="B320" s="11" t="s">
        <v>73</v>
      </c>
    </row>
    <row r="321" spans="1:6">
      <c r="A321" s="2" t="s">
        <v>70</v>
      </c>
      <c r="B321" s="2" t="s">
        <v>71</v>
      </c>
      <c r="C321" s="2" t="s">
        <v>72</v>
      </c>
      <c r="D321" s="2" t="s">
        <v>62</v>
      </c>
      <c r="E321" s="2" t="s">
        <v>75</v>
      </c>
      <c r="F321" s="2"/>
    </row>
    <row r="322" spans="1:6">
      <c r="A322" s="12">
        <v>200</v>
      </c>
      <c r="B322">
        <v>8</v>
      </c>
      <c r="C322" s="12">
        <v>5801</v>
      </c>
      <c r="D322" s="12">
        <v>0</v>
      </c>
      <c r="E322" s="12">
        <f>D322*100</f>
        <v>0</v>
      </c>
      <c r="F322" s="12"/>
    </row>
    <row r="323" spans="1:6">
      <c r="A323" s="12">
        <v>200</v>
      </c>
      <c r="B323">
        <v>8</v>
      </c>
      <c r="C323" s="12">
        <v>4636</v>
      </c>
      <c r="D323" s="12">
        <v>0</v>
      </c>
      <c r="E323" s="12">
        <f t="shared" ref="E323:E332" si="4">D323*100</f>
        <v>0</v>
      </c>
      <c r="F323" s="12"/>
    </row>
    <row r="324" spans="1:6">
      <c r="A324" s="12">
        <v>200</v>
      </c>
      <c r="B324" s="12">
        <v>9</v>
      </c>
      <c r="C324" s="12">
        <v>5444</v>
      </c>
      <c r="D324" s="12">
        <v>0</v>
      </c>
      <c r="E324" s="12">
        <f t="shared" si="4"/>
        <v>0</v>
      </c>
      <c r="F324" s="12"/>
    </row>
    <row r="325" spans="1:6">
      <c r="A325" s="12">
        <v>200</v>
      </c>
      <c r="B325" s="12">
        <v>9</v>
      </c>
      <c r="C325" s="12">
        <v>6204</v>
      </c>
      <c r="D325" s="12">
        <v>0</v>
      </c>
      <c r="E325" s="12">
        <f t="shared" si="4"/>
        <v>0</v>
      </c>
      <c r="F325" s="12"/>
    </row>
    <row r="326" spans="1:6">
      <c r="A326">
        <v>200</v>
      </c>
      <c r="B326">
        <v>10</v>
      </c>
      <c r="C326">
        <v>6426</v>
      </c>
      <c r="D326">
        <f>2/200</f>
        <v>0.01</v>
      </c>
      <c r="E326" s="12">
        <f t="shared" si="4"/>
        <v>1</v>
      </c>
      <c r="F326" s="12"/>
    </row>
    <row r="327" spans="1:6">
      <c r="A327">
        <v>200</v>
      </c>
      <c r="B327">
        <v>10</v>
      </c>
      <c r="C327">
        <v>6545</v>
      </c>
      <c r="D327">
        <f>6/200</f>
        <v>0.03</v>
      </c>
      <c r="E327" s="12">
        <f t="shared" si="4"/>
        <v>3</v>
      </c>
      <c r="F327" s="12"/>
    </row>
    <row r="328" spans="1:6">
      <c r="A328">
        <v>200</v>
      </c>
      <c r="B328">
        <v>11</v>
      </c>
      <c r="C328">
        <v>7166</v>
      </c>
      <c r="D328">
        <f>15/200</f>
        <v>7.4999999999999997E-2</v>
      </c>
      <c r="E328" s="12">
        <f t="shared" si="4"/>
        <v>7.5</v>
      </c>
      <c r="F328" s="12"/>
    </row>
    <row r="329" spans="1:6">
      <c r="A329">
        <v>200</v>
      </c>
      <c r="B329">
        <v>11</v>
      </c>
      <c r="C329">
        <v>7759</v>
      </c>
      <c r="D329">
        <f>1/200</f>
        <v>5.0000000000000001E-3</v>
      </c>
      <c r="E329" s="12">
        <f t="shared" si="4"/>
        <v>0.5</v>
      </c>
      <c r="F329" s="12"/>
    </row>
    <row r="330" spans="1:6">
      <c r="A330">
        <v>200</v>
      </c>
      <c r="B330">
        <v>12</v>
      </c>
      <c r="C330">
        <v>7806</v>
      </c>
      <c r="D330">
        <f>16/200</f>
        <v>0.08</v>
      </c>
      <c r="E330" s="12">
        <f t="shared" si="4"/>
        <v>8</v>
      </c>
      <c r="F330" s="12"/>
    </row>
    <row r="331" spans="1:6">
      <c r="A331">
        <v>200</v>
      </c>
      <c r="B331">
        <v>12</v>
      </c>
      <c r="C331">
        <v>7865</v>
      </c>
      <c r="D331">
        <f>12/200</f>
        <v>0.06</v>
      </c>
      <c r="E331" s="12">
        <f t="shared" si="4"/>
        <v>6</v>
      </c>
      <c r="F331" s="12"/>
    </row>
    <row r="332" spans="1:6">
      <c r="A332">
        <v>200</v>
      </c>
      <c r="B332">
        <v>14</v>
      </c>
      <c r="C332">
        <v>9952</v>
      </c>
      <c r="D332">
        <f>66/200</f>
        <v>0.33</v>
      </c>
      <c r="E332" s="12">
        <f t="shared" si="4"/>
        <v>33</v>
      </c>
      <c r="F332" s="12"/>
    </row>
    <row r="335" spans="1:6">
      <c r="A335" s="4">
        <v>43776</v>
      </c>
    </row>
    <row r="336" spans="1:6" ht="153">
      <c r="B336" s="14" t="s">
        <v>108</v>
      </c>
    </row>
    <row r="337" spans="1:7" ht="19">
      <c r="A337" t="s">
        <v>80</v>
      </c>
      <c r="B337" s="11" t="s">
        <v>73</v>
      </c>
    </row>
    <row r="338" spans="1:7">
      <c r="A338" s="2" t="s">
        <v>70</v>
      </c>
      <c r="B338" s="2" t="s">
        <v>71</v>
      </c>
      <c r="C338" s="2" t="s">
        <v>72</v>
      </c>
      <c r="D338" s="2" t="s">
        <v>62</v>
      </c>
      <c r="E338" s="2" t="s">
        <v>75</v>
      </c>
      <c r="F338" s="2" t="s">
        <v>83</v>
      </c>
      <c r="G338" t="s">
        <v>84</v>
      </c>
    </row>
    <row r="339" spans="1:7">
      <c r="A339">
        <v>200</v>
      </c>
      <c r="B339">
        <v>10</v>
      </c>
      <c r="C339">
        <v>7610</v>
      </c>
      <c r="D339">
        <f>9/100</f>
        <v>0.09</v>
      </c>
      <c r="E339">
        <f>D339*100</f>
        <v>9</v>
      </c>
      <c r="F339">
        <v>18</v>
      </c>
    </row>
    <row r="340" spans="1:7">
      <c r="A340">
        <v>200</v>
      </c>
      <c r="B340">
        <v>10</v>
      </c>
      <c r="C340">
        <v>6052</v>
      </c>
      <c r="D340">
        <v>0</v>
      </c>
      <c r="E340">
        <f t="shared" ref="E340:E347" si="5">D340*100</f>
        <v>0</v>
      </c>
      <c r="F340">
        <v>0</v>
      </c>
    </row>
    <row r="341" spans="1:7">
      <c r="A341">
        <v>200</v>
      </c>
      <c r="B341">
        <v>15</v>
      </c>
      <c r="C341">
        <v>11165</v>
      </c>
      <c r="D341">
        <v>0</v>
      </c>
      <c r="E341">
        <v>0</v>
      </c>
      <c r="F341">
        <v>0</v>
      </c>
    </row>
    <row r="342" spans="1:7">
      <c r="A342">
        <v>200</v>
      </c>
      <c r="B342">
        <v>15</v>
      </c>
      <c r="C342">
        <v>12363</v>
      </c>
      <c r="D342">
        <v>0</v>
      </c>
      <c r="E342">
        <f t="shared" si="5"/>
        <v>0</v>
      </c>
      <c r="F342">
        <v>0</v>
      </c>
    </row>
    <row r="343" spans="1:7">
      <c r="A343">
        <v>200</v>
      </c>
      <c r="B343">
        <v>20</v>
      </c>
      <c r="C343">
        <v>17490</v>
      </c>
      <c r="D343">
        <f>6/200</f>
        <v>0.03</v>
      </c>
      <c r="E343">
        <f t="shared" si="5"/>
        <v>3</v>
      </c>
      <c r="F343">
        <v>48</v>
      </c>
    </row>
    <row r="344" spans="1:7">
      <c r="A344">
        <v>200</v>
      </c>
      <c r="B344">
        <v>20</v>
      </c>
      <c r="C344">
        <v>17230</v>
      </c>
      <c r="D344">
        <f>9/200</f>
        <v>4.4999999999999998E-2</v>
      </c>
      <c r="E344">
        <f t="shared" si="5"/>
        <v>4.5</v>
      </c>
      <c r="F344">
        <v>23</v>
      </c>
    </row>
    <row r="345" spans="1:7">
      <c r="A345">
        <v>200</v>
      </c>
      <c r="B345">
        <v>20</v>
      </c>
      <c r="C345">
        <v>16075</v>
      </c>
      <c r="D345">
        <f>1/200</f>
        <v>5.0000000000000001E-3</v>
      </c>
      <c r="E345">
        <f t="shared" si="5"/>
        <v>0.5</v>
      </c>
      <c r="F345">
        <v>6</v>
      </c>
    </row>
    <row r="346" spans="1:7">
      <c r="A346">
        <v>200</v>
      </c>
      <c r="B346">
        <v>25</v>
      </c>
      <c r="C346">
        <v>15643</v>
      </c>
      <c r="D346">
        <f>176/200</f>
        <v>0.88</v>
      </c>
      <c r="E346">
        <f t="shared" si="5"/>
        <v>88</v>
      </c>
      <c r="F346">
        <v>20</v>
      </c>
      <c r="G346" t="s">
        <v>85</v>
      </c>
    </row>
    <row r="347" spans="1:7">
      <c r="A347">
        <v>200</v>
      </c>
      <c r="B347">
        <v>25</v>
      </c>
      <c r="C347">
        <v>15406</v>
      </c>
      <c r="D347">
        <f>175/200</f>
        <v>0.875</v>
      </c>
      <c r="E347">
        <f t="shared" si="5"/>
        <v>87.5</v>
      </c>
      <c r="F347">
        <v>17</v>
      </c>
      <c r="G347" t="s">
        <v>85</v>
      </c>
    </row>
    <row r="352" spans="1:7">
      <c r="A352" t="s">
        <v>81</v>
      </c>
    </row>
    <row r="353" spans="1:7">
      <c r="A353">
        <v>200</v>
      </c>
      <c r="B353">
        <v>10</v>
      </c>
      <c r="C353">
        <v>5506</v>
      </c>
      <c r="D353">
        <v>0</v>
      </c>
      <c r="F353">
        <v>0</v>
      </c>
      <c r="G353" t="s">
        <v>82</v>
      </c>
    </row>
    <row r="354" spans="1:7">
      <c r="A354">
        <v>200</v>
      </c>
      <c r="B354">
        <v>15</v>
      </c>
      <c r="C354">
        <v>10381</v>
      </c>
      <c r="D354">
        <v>0</v>
      </c>
      <c r="F354">
        <v>0</v>
      </c>
    </row>
    <row r="355" spans="1:7">
      <c r="A355">
        <v>200</v>
      </c>
      <c r="B355">
        <v>15</v>
      </c>
      <c r="C355">
        <v>10146</v>
      </c>
      <c r="D355">
        <v>0</v>
      </c>
      <c r="F355">
        <v>0</v>
      </c>
    </row>
    <row r="356" spans="1:7">
      <c r="A356">
        <v>200</v>
      </c>
      <c r="B356">
        <v>20</v>
      </c>
      <c r="C356">
        <v>15448</v>
      </c>
      <c r="D356">
        <v>0</v>
      </c>
      <c r="F356">
        <v>8</v>
      </c>
    </row>
    <row r="357" spans="1:7">
      <c r="A357">
        <v>200</v>
      </c>
      <c r="B357">
        <v>20</v>
      </c>
      <c r="C357">
        <v>15137</v>
      </c>
      <c r="D357">
        <v>0</v>
      </c>
      <c r="F357">
        <v>4</v>
      </c>
    </row>
    <row r="358" spans="1:7">
      <c r="A358">
        <v>200</v>
      </c>
      <c r="B358">
        <v>25</v>
      </c>
      <c r="C358">
        <v>19585</v>
      </c>
      <c r="D358">
        <v>0</v>
      </c>
      <c r="F358">
        <v>98</v>
      </c>
    </row>
    <row r="362" spans="1:7" ht="19">
      <c r="A362" t="s">
        <v>87</v>
      </c>
      <c r="B362" s="11" t="s">
        <v>74</v>
      </c>
    </row>
    <row r="363" spans="1:7">
      <c r="A363" s="2" t="s">
        <v>70</v>
      </c>
      <c r="B363" s="2" t="s">
        <v>71</v>
      </c>
      <c r="C363" s="2" t="s">
        <v>72</v>
      </c>
      <c r="D363" s="2" t="s">
        <v>62</v>
      </c>
      <c r="E363" s="2" t="s">
        <v>75</v>
      </c>
      <c r="F363" s="2" t="s">
        <v>98</v>
      </c>
      <c r="G363" s="2" t="s">
        <v>99</v>
      </c>
    </row>
    <row r="364" spans="1:7">
      <c r="A364">
        <v>200</v>
      </c>
      <c r="B364">
        <v>10</v>
      </c>
      <c r="C364">
        <v>4495</v>
      </c>
      <c r="D364">
        <v>0</v>
      </c>
      <c r="F364">
        <v>1</v>
      </c>
      <c r="G364" t="s">
        <v>86</v>
      </c>
    </row>
    <row r="365" spans="1:7">
      <c r="A365">
        <v>200</v>
      </c>
      <c r="B365">
        <v>15</v>
      </c>
      <c r="C365">
        <v>6080</v>
      </c>
      <c r="D365">
        <v>0</v>
      </c>
      <c r="F365">
        <v>2</v>
      </c>
      <c r="G365" t="s">
        <v>88</v>
      </c>
    </row>
    <row r="366" spans="1:7">
      <c r="A366">
        <v>200</v>
      </c>
      <c r="B366">
        <v>20</v>
      </c>
      <c r="C366">
        <v>8308</v>
      </c>
      <c r="D366">
        <v>0</v>
      </c>
      <c r="F366">
        <v>3</v>
      </c>
      <c r="G366" t="s">
        <v>89</v>
      </c>
    </row>
    <row r="367" spans="1:7">
      <c r="A367">
        <v>200</v>
      </c>
      <c r="B367">
        <v>25</v>
      </c>
      <c r="C367">
        <v>10567</v>
      </c>
      <c r="D367">
        <v>0</v>
      </c>
      <c r="F367">
        <v>4</v>
      </c>
      <c r="G367" t="s">
        <v>90</v>
      </c>
    </row>
    <row r="368" spans="1:7">
      <c r="A368">
        <v>200</v>
      </c>
      <c r="B368">
        <v>30</v>
      </c>
      <c r="C368">
        <v>11935</v>
      </c>
      <c r="D368">
        <v>0</v>
      </c>
      <c r="F368">
        <v>5</v>
      </c>
      <c r="G368" t="s">
        <v>93</v>
      </c>
    </row>
    <row r="369" spans="1:7">
      <c r="A369">
        <v>200</v>
      </c>
      <c r="B369">
        <v>30</v>
      </c>
      <c r="C369">
        <v>11169</v>
      </c>
      <c r="D369">
        <v>0</v>
      </c>
      <c r="F369">
        <v>7</v>
      </c>
      <c r="G369" t="s">
        <v>92</v>
      </c>
    </row>
    <row r="370" spans="1:7">
      <c r="A370">
        <v>300</v>
      </c>
      <c r="B370">
        <v>30</v>
      </c>
      <c r="C370">
        <v>11759</v>
      </c>
      <c r="D370">
        <v>0</v>
      </c>
      <c r="F370">
        <v>8</v>
      </c>
      <c r="G370" t="s">
        <v>94</v>
      </c>
    </row>
    <row r="371" spans="1:7">
      <c r="A371">
        <v>600</v>
      </c>
      <c r="B371">
        <v>30</v>
      </c>
      <c r="C371">
        <v>11717</v>
      </c>
      <c r="D371">
        <v>0</v>
      </c>
      <c r="F371">
        <v>9</v>
      </c>
      <c r="G371" t="s">
        <v>95</v>
      </c>
    </row>
    <row r="372" spans="1:7">
      <c r="A372">
        <v>1000</v>
      </c>
      <c r="B372">
        <v>30</v>
      </c>
      <c r="C372">
        <v>6774</v>
      </c>
      <c r="D372">
        <v>0</v>
      </c>
      <c r="E372" t="s">
        <v>97</v>
      </c>
      <c r="F372">
        <v>10</v>
      </c>
      <c r="G372" t="s">
        <v>96</v>
      </c>
    </row>
    <row r="373" spans="1:7">
      <c r="A373">
        <v>200</v>
      </c>
      <c r="B373">
        <v>35</v>
      </c>
      <c r="C373">
        <v>12827</v>
      </c>
      <c r="D373">
        <f>30/200</f>
        <v>0.15</v>
      </c>
      <c r="F373">
        <v>6</v>
      </c>
      <c r="G373" t="s">
        <v>91</v>
      </c>
    </row>
    <row r="376" spans="1:7">
      <c r="A376" t="s">
        <v>100</v>
      </c>
    </row>
    <row r="377" spans="1:7">
      <c r="A377">
        <v>200</v>
      </c>
      <c r="B377">
        <v>10</v>
      </c>
      <c r="C377">
        <v>5504</v>
      </c>
      <c r="D377">
        <v>0</v>
      </c>
      <c r="F377">
        <v>1</v>
      </c>
      <c r="G377" t="s">
        <v>101</v>
      </c>
    </row>
    <row r="378" spans="1:7">
      <c r="A378">
        <v>200</v>
      </c>
      <c r="B378">
        <v>20</v>
      </c>
      <c r="C378">
        <v>9326</v>
      </c>
      <c r="D378">
        <v>0</v>
      </c>
      <c r="F378">
        <v>2</v>
      </c>
      <c r="G378" t="s">
        <v>102</v>
      </c>
    </row>
    <row r="379" spans="1:7">
      <c r="A379">
        <v>200</v>
      </c>
      <c r="B379">
        <v>25</v>
      </c>
      <c r="C379">
        <v>11696</v>
      </c>
      <c r="D379">
        <v>0</v>
      </c>
      <c r="F379">
        <v>3</v>
      </c>
      <c r="G379" t="s">
        <v>103</v>
      </c>
    </row>
    <row r="380" spans="1:7">
      <c r="A380">
        <v>200</v>
      </c>
      <c r="B380">
        <v>30</v>
      </c>
      <c r="C380">
        <v>14766</v>
      </c>
      <c r="D380">
        <v>0</v>
      </c>
      <c r="F380">
        <v>4</v>
      </c>
      <c r="G380" t="s">
        <v>104</v>
      </c>
    </row>
    <row r="381" spans="1:7">
      <c r="A381">
        <v>600</v>
      </c>
      <c r="B381">
        <v>30</v>
      </c>
      <c r="C381">
        <v>14729</v>
      </c>
      <c r="D381">
        <v>0</v>
      </c>
      <c r="F381">
        <v>5</v>
      </c>
      <c r="G381" t="s">
        <v>105</v>
      </c>
    </row>
    <row r="382" spans="1:7" ht="409.6">
      <c r="A382">
        <v>200</v>
      </c>
      <c r="B382">
        <v>35</v>
      </c>
      <c r="C382">
        <v>14649</v>
      </c>
      <c r="D382">
        <f>84/200</f>
        <v>0.42</v>
      </c>
      <c r="E382" s="14" t="s">
        <v>107</v>
      </c>
      <c r="F382" t="s">
        <v>115</v>
      </c>
      <c r="G382" t="s">
        <v>106</v>
      </c>
    </row>
    <row r="383" spans="1:7">
      <c r="A383">
        <v>200</v>
      </c>
      <c r="B383">
        <v>32</v>
      </c>
      <c r="C383">
        <v>17466</v>
      </c>
      <c r="D383">
        <f>95/200</f>
        <v>0.47499999999999998</v>
      </c>
      <c r="E383" t="s">
        <v>109</v>
      </c>
      <c r="F383" t="s">
        <v>115</v>
      </c>
      <c r="G383" t="s">
        <v>112</v>
      </c>
    </row>
    <row r="384" spans="1:7">
      <c r="A384">
        <v>200</v>
      </c>
      <c r="B384">
        <v>31</v>
      </c>
      <c r="C384">
        <v>16549</v>
      </c>
      <c r="D384">
        <f>191/200</f>
        <v>0.95499999999999996</v>
      </c>
      <c r="E384" t="s">
        <v>109</v>
      </c>
      <c r="F384" t="s">
        <v>115</v>
      </c>
      <c r="G384" t="s">
        <v>114</v>
      </c>
    </row>
    <row r="385" spans="1:7">
      <c r="A385">
        <v>31</v>
      </c>
      <c r="B385">
        <v>31</v>
      </c>
      <c r="C385">
        <v>34655</v>
      </c>
      <c r="D385">
        <v>0</v>
      </c>
      <c r="E385" t="s">
        <v>111</v>
      </c>
      <c r="G385" t="s">
        <v>110</v>
      </c>
    </row>
    <row r="386" spans="1:7">
      <c r="A386">
        <v>62</v>
      </c>
      <c r="B386">
        <v>31</v>
      </c>
      <c r="C386">
        <v>22828</v>
      </c>
      <c r="D386">
        <v>0</v>
      </c>
      <c r="G386" t="s">
        <v>113</v>
      </c>
    </row>
    <row r="387" spans="1:7">
      <c r="A387">
        <v>124</v>
      </c>
      <c r="B387">
        <v>31</v>
      </c>
      <c r="C387">
        <v>13992</v>
      </c>
      <c r="D387">
        <v>0</v>
      </c>
      <c r="G387" t="s">
        <v>117</v>
      </c>
    </row>
    <row r="388" spans="1:7">
      <c r="A388">
        <v>155</v>
      </c>
      <c r="B388">
        <v>31</v>
      </c>
      <c r="C388">
        <v>24793</v>
      </c>
      <c r="D388">
        <f>101/155</f>
        <v>0.65161290322580645</v>
      </c>
      <c r="E388" t="s">
        <v>109</v>
      </c>
      <c r="F388" t="s">
        <v>115</v>
      </c>
      <c r="G388" t="s">
        <v>116</v>
      </c>
    </row>
    <row r="391" spans="1:7">
      <c r="A391" s="10" t="s">
        <v>118</v>
      </c>
    </row>
    <row r="392" spans="1:7">
      <c r="A392" t="s">
        <v>138</v>
      </c>
    </row>
    <row r="393" spans="1:7" ht="19">
      <c r="A393" t="s">
        <v>80</v>
      </c>
      <c r="B393" s="11" t="s">
        <v>73</v>
      </c>
      <c r="C393" t="s">
        <v>126</v>
      </c>
    </row>
    <row r="394" spans="1:7">
      <c r="A394" s="2" t="s">
        <v>70</v>
      </c>
      <c r="B394" s="2" t="s">
        <v>71</v>
      </c>
      <c r="C394" s="2" t="s">
        <v>72</v>
      </c>
      <c r="D394" s="2" t="s">
        <v>62</v>
      </c>
      <c r="E394" s="2" t="s">
        <v>75</v>
      </c>
      <c r="F394" s="2" t="s">
        <v>83</v>
      </c>
    </row>
    <row r="395" spans="1:7">
      <c r="A395">
        <v>200</v>
      </c>
      <c r="B395">
        <v>15</v>
      </c>
      <c r="C395">
        <v>14373</v>
      </c>
      <c r="D395">
        <f>192/200</f>
        <v>0.96</v>
      </c>
      <c r="F395" t="s">
        <v>122</v>
      </c>
      <c r="G395" t="s">
        <v>119</v>
      </c>
    </row>
    <row r="396" spans="1:7">
      <c r="A396">
        <v>200</v>
      </c>
      <c r="B396">
        <v>10</v>
      </c>
      <c r="C396">
        <v>5503</v>
      </c>
      <c r="D396">
        <v>0</v>
      </c>
      <c r="G396" t="s">
        <v>120</v>
      </c>
    </row>
    <row r="397" spans="1:7">
      <c r="A397">
        <v>200</v>
      </c>
      <c r="B397">
        <v>15</v>
      </c>
      <c r="C397">
        <v>10621</v>
      </c>
      <c r="D397">
        <v>0</v>
      </c>
      <c r="G397" t="s">
        <v>121</v>
      </c>
    </row>
    <row r="398" spans="1:7">
      <c r="A398">
        <v>200</v>
      </c>
      <c r="B398">
        <v>20</v>
      </c>
      <c r="C398">
        <v>16876</v>
      </c>
      <c r="D398">
        <f>3/200</f>
        <v>1.4999999999999999E-2</v>
      </c>
      <c r="G398" t="s">
        <v>123</v>
      </c>
    </row>
    <row r="399" spans="1:7">
      <c r="A399">
        <v>200</v>
      </c>
      <c r="B399">
        <v>22</v>
      </c>
      <c r="C399">
        <v>17728</v>
      </c>
      <c r="D399">
        <f>12/200</f>
        <v>0.06</v>
      </c>
      <c r="G399" t="s">
        <v>124</v>
      </c>
    </row>
    <row r="400" spans="1:7">
      <c r="A400">
        <v>200</v>
      </c>
      <c r="B400">
        <v>25</v>
      </c>
      <c r="C400">
        <v>14911</v>
      </c>
      <c r="D400">
        <f>172/200</f>
        <v>0.86</v>
      </c>
      <c r="G400" t="s">
        <v>125</v>
      </c>
    </row>
    <row r="404" spans="1:7" ht="19">
      <c r="A404" t="s">
        <v>131</v>
      </c>
      <c r="B404" s="11" t="s">
        <v>73</v>
      </c>
      <c r="C404" t="s">
        <v>132</v>
      </c>
    </row>
    <row r="405" spans="1:7">
      <c r="A405" s="2" t="s">
        <v>70</v>
      </c>
      <c r="B405" s="2" t="s">
        <v>71</v>
      </c>
      <c r="C405" s="2" t="s">
        <v>72</v>
      </c>
      <c r="D405" s="2" t="s">
        <v>62</v>
      </c>
      <c r="E405" s="2" t="s">
        <v>75</v>
      </c>
      <c r="F405" s="2" t="s">
        <v>83</v>
      </c>
    </row>
    <row r="406" spans="1:7">
      <c r="A406">
        <v>200</v>
      </c>
      <c r="B406">
        <v>20</v>
      </c>
      <c r="C406">
        <v>14148</v>
      </c>
      <c r="D406">
        <v>0</v>
      </c>
      <c r="F406">
        <v>0</v>
      </c>
      <c r="G406" t="s">
        <v>127</v>
      </c>
    </row>
    <row r="407" spans="1:7">
      <c r="A407">
        <v>200</v>
      </c>
      <c r="B407">
        <v>22</v>
      </c>
      <c r="C407">
        <v>15763</v>
      </c>
      <c r="D407">
        <v>0</v>
      </c>
      <c r="F407">
        <v>1</v>
      </c>
      <c r="G407" t="s">
        <v>129</v>
      </c>
    </row>
    <row r="408" spans="1:7">
      <c r="A408">
        <v>200</v>
      </c>
      <c r="B408">
        <v>25</v>
      </c>
      <c r="C408">
        <v>18089</v>
      </c>
      <c r="D408">
        <v>0</v>
      </c>
      <c r="F408">
        <v>51</v>
      </c>
      <c r="G408" t="s">
        <v>128</v>
      </c>
    </row>
    <row r="409" spans="1:7">
      <c r="A409">
        <v>200</v>
      </c>
      <c r="B409">
        <v>30</v>
      </c>
      <c r="C409">
        <v>22515</v>
      </c>
      <c r="D409">
        <f>64/200</f>
        <v>0.32</v>
      </c>
      <c r="E409" t="s">
        <v>133</v>
      </c>
      <c r="F409">
        <v>110</v>
      </c>
      <c r="G409" t="s">
        <v>130</v>
      </c>
    </row>
    <row r="411" spans="1:7">
      <c r="C411" t="s">
        <v>137</v>
      </c>
    </row>
    <row r="412" spans="1:7">
      <c r="A412">
        <v>200</v>
      </c>
      <c r="B412">
        <v>30</v>
      </c>
      <c r="D412">
        <v>100</v>
      </c>
      <c r="E412" t="s">
        <v>134</v>
      </c>
      <c r="G412" t="s">
        <v>142</v>
      </c>
    </row>
    <row r="413" spans="1:7">
      <c r="A413">
        <v>200</v>
      </c>
      <c r="B413">
        <v>25</v>
      </c>
      <c r="C413">
        <v>29334</v>
      </c>
      <c r="D413">
        <f>3/200</f>
        <v>1.4999999999999999E-2</v>
      </c>
      <c r="E413" t="s">
        <v>135</v>
      </c>
      <c r="G413" t="s">
        <v>141</v>
      </c>
    </row>
    <row r="414" spans="1:7">
      <c r="A414">
        <v>200</v>
      </c>
      <c r="B414">
        <v>25</v>
      </c>
      <c r="C414">
        <v>20664</v>
      </c>
      <c r="D414">
        <v>0</v>
      </c>
      <c r="G414" t="s">
        <v>140</v>
      </c>
    </row>
    <row r="415" spans="1:7">
      <c r="A415">
        <v>200</v>
      </c>
      <c r="B415">
        <v>30</v>
      </c>
      <c r="C415">
        <v>24652</v>
      </c>
      <c r="D415">
        <f>131/200</f>
        <v>0.65500000000000003</v>
      </c>
      <c r="E415" t="s">
        <v>136</v>
      </c>
      <c r="G415" t="s">
        <v>139</v>
      </c>
    </row>
    <row r="419" spans="1:7" ht="19">
      <c r="A419" s="17">
        <v>43782</v>
      </c>
      <c r="B419" s="15" t="s">
        <v>143</v>
      </c>
    </row>
    <row r="420" spans="1:7">
      <c r="B420" s="16" t="s">
        <v>144</v>
      </c>
    </row>
    <row r="421" spans="1:7">
      <c r="B421" s="16" t="s">
        <v>145</v>
      </c>
    </row>
    <row r="422" spans="1:7">
      <c r="B422" s="16" t="s">
        <v>146</v>
      </c>
    </row>
    <row r="423" spans="1:7">
      <c r="B423" s="16" t="s">
        <v>147</v>
      </c>
    </row>
    <row r="424" spans="1:7">
      <c r="B424" s="16" t="s">
        <v>148</v>
      </c>
    </row>
    <row r="425" spans="1:7">
      <c r="B425" s="16" t="s">
        <v>149</v>
      </c>
    </row>
    <row r="426" spans="1:7">
      <c r="B426" s="15" t="s">
        <v>150</v>
      </c>
    </row>
    <row r="427" spans="1:7">
      <c r="B427" s="15" t="s">
        <v>151</v>
      </c>
    </row>
    <row r="428" spans="1:7">
      <c r="A428" t="s">
        <v>160</v>
      </c>
    </row>
    <row r="429" spans="1:7">
      <c r="A429">
        <v>200</v>
      </c>
      <c r="B429">
        <v>9</v>
      </c>
      <c r="C429">
        <v>5938</v>
      </c>
      <c r="D429">
        <v>0</v>
      </c>
      <c r="G429" t="s">
        <v>153</v>
      </c>
    </row>
    <row r="430" spans="1:7">
      <c r="A430">
        <v>200</v>
      </c>
      <c r="B430">
        <v>10</v>
      </c>
      <c r="C430">
        <v>5979</v>
      </c>
      <c r="D430">
        <v>0</v>
      </c>
      <c r="G430" t="s">
        <v>152</v>
      </c>
    </row>
    <row r="431" spans="1:7">
      <c r="A431">
        <v>400</v>
      </c>
      <c r="B431">
        <v>11</v>
      </c>
      <c r="C431">
        <v>6747</v>
      </c>
      <c r="D431">
        <v>0</v>
      </c>
      <c r="G431" t="s">
        <v>154</v>
      </c>
    </row>
    <row r="432" spans="1:7">
      <c r="A432">
        <v>200</v>
      </c>
      <c r="B432">
        <v>12</v>
      </c>
      <c r="C432">
        <v>7524</v>
      </c>
      <c r="D432">
        <v>0</v>
      </c>
      <c r="G432" t="s">
        <v>155</v>
      </c>
    </row>
    <row r="433" spans="1:7">
      <c r="A433">
        <v>400</v>
      </c>
      <c r="B433">
        <v>12</v>
      </c>
      <c r="C433">
        <v>7772</v>
      </c>
      <c r="D433">
        <v>0</v>
      </c>
      <c r="G433" t="s">
        <v>156</v>
      </c>
    </row>
    <row r="434" spans="1:7">
      <c r="A434">
        <v>600</v>
      </c>
      <c r="B434">
        <v>12</v>
      </c>
      <c r="C434">
        <v>7377</v>
      </c>
      <c r="D434">
        <v>0</v>
      </c>
      <c r="G434" t="s">
        <v>157</v>
      </c>
    </row>
    <row r="435" spans="1:7">
      <c r="A435">
        <v>200</v>
      </c>
      <c r="B435">
        <v>13</v>
      </c>
      <c r="C435">
        <v>8656</v>
      </c>
      <c r="D435">
        <f>3/200</f>
        <v>1.4999999999999999E-2</v>
      </c>
      <c r="G435" t="s">
        <v>158</v>
      </c>
    </row>
    <row r="436" spans="1:7">
      <c r="A436">
        <v>400</v>
      </c>
      <c r="B436">
        <v>13</v>
      </c>
      <c r="C436">
        <v>8262</v>
      </c>
      <c r="D436">
        <f>1/200</f>
        <v>5.0000000000000001E-3</v>
      </c>
      <c r="G436" t="s">
        <v>162</v>
      </c>
    </row>
    <row r="437" spans="1:7">
      <c r="A437">
        <v>600</v>
      </c>
      <c r="B437">
        <v>13</v>
      </c>
      <c r="C437">
        <v>8366</v>
      </c>
      <c r="D437">
        <f>2/400</f>
        <v>5.0000000000000001E-3</v>
      </c>
      <c r="G437" t="s">
        <v>161</v>
      </c>
    </row>
    <row r="438" spans="1:7">
      <c r="A438" t="s">
        <v>159</v>
      </c>
    </row>
    <row r="439" spans="1:7">
      <c r="A439">
        <v>800</v>
      </c>
      <c r="B439">
        <v>13</v>
      </c>
      <c r="C439">
        <v>8205</v>
      </c>
      <c r="D439">
        <v>0</v>
      </c>
      <c r="G439" t="s">
        <v>163</v>
      </c>
    </row>
    <row r="440" spans="1:7">
      <c r="A440">
        <v>200</v>
      </c>
      <c r="B440">
        <v>14</v>
      </c>
      <c r="C440">
        <v>9165</v>
      </c>
      <c r="D440">
        <v>0</v>
      </c>
      <c r="G440" t="s">
        <v>164</v>
      </c>
    </row>
    <row r="441" spans="1:7">
      <c r="A441">
        <v>200</v>
      </c>
      <c r="B441">
        <v>15</v>
      </c>
      <c r="C441">
        <v>9639</v>
      </c>
      <c r="D441">
        <f>16/200</f>
        <v>0.08</v>
      </c>
      <c r="G441" t="s">
        <v>165</v>
      </c>
    </row>
    <row r="442" spans="1:7">
      <c r="A442">
        <v>400</v>
      </c>
      <c r="B442">
        <v>15</v>
      </c>
      <c r="C442">
        <v>25579</v>
      </c>
      <c r="D442">
        <f>375/400</f>
        <v>0.9375</v>
      </c>
      <c r="G442" t="s">
        <v>166</v>
      </c>
    </row>
    <row r="445" spans="1:7" ht="19">
      <c r="A445" t="s">
        <v>87</v>
      </c>
      <c r="B445" s="11" t="s">
        <v>74</v>
      </c>
    </row>
    <row r="446" spans="1:7">
      <c r="A446" s="2" t="s">
        <v>70</v>
      </c>
      <c r="B446" s="2" t="s">
        <v>71</v>
      </c>
      <c r="C446" s="2" t="s">
        <v>72</v>
      </c>
      <c r="D446" s="2" t="s">
        <v>62</v>
      </c>
      <c r="E446" s="2" t="s">
        <v>75</v>
      </c>
      <c r="F446" s="2" t="s">
        <v>98</v>
      </c>
      <c r="G446" s="2" t="s">
        <v>99</v>
      </c>
    </row>
    <row r="447" spans="1:7">
      <c r="A447">
        <v>200</v>
      </c>
      <c r="B447">
        <v>10</v>
      </c>
      <c r="C447">
        <v>5044</v>
      </c>
      <c r="D447">
        <v>0</v>
      </c>
      <c r="E447">
        <v>0</v>
      </c>
      <c r="F447">
        <v>1</v>
      </c>
      <c r="G447" t="s">
        <v>167</v>
      </c>
    </row>
    <row r="448" spans="1:7">
      <c r="A448">
        <v>200</v>
      </c>
      <c r="B448">
        <v>11</v>
      </c>
      <c r="C448">
        <v>4803</v>
      </c>
      <c r="D448">
        <v>0</v>
      </c>
      <c r="E448">
        <v>0</v>
      </c>
      <c r="F448">
        <v>2</v>
      </c>
      <c r="G448" t="s">
        <v>168</v>
      </c>
    </row>
    <row r="449" spans="1:7">
      <c r="A449">
        <v>200</v>
      </c>
      <c r="B449">
        <v>12</v>
      </c>
      <c r="C449">
        <v>2960</v>
      </c>
      <c r="D449">
        <v>0</v>
      </c>
      <c r="E449">
        <v>0</v>
      </c>
      <c r="F449" t="s">
        <v>171</v>
      </c>
      <c r="G449" t="s">
        <v>169</v>
      </c>
    </row>
    <row r="450" spans="1:7">
      <c r="A450">
        <v>200</v>
      </c>
      <c r="B450">
        <v>12</v>
      </c>
      <c r="C450">
        <v>5622</v>
      </c>
      <c r="D450">
        <v>0</v>
      </c>
      <c r="E450">
        <v>0</v>
      </c>
      <c r="F450">
        <v>4</v>
      </c>
      <c r="G450" t="s">
        <v>170</v>
      </c>
    </row>
    <row r="451" spans="1:7">
      <c r="A451">
        <v>600</v>
      </c>
      <c r="B451">
        <v>12</v>
      </c>
      <c r="C451">
        <v>5322</v>
      </c>
      <c r="D451">
        <v>0</v>
      </c>
      <c r="E451">
        <v>0</v>
      </c>
      <c r="F451">
        <v>5</v>
      </c>
      <c r="G451" t="s">
        <v>172</v>
      </c>
    </row>
    <row r="452" spans="1:7">
      <c r="A452">
        <v>200</v>
      </c>
      <c r="B452">
        <v>13</v>
      </c>
      <c r="C452">
        <v>6071</v>
      </c>
      <c r="D452">
        <f>1/200</f>
        <v>5.0000000000000001E-3</v>
      </c>
      <c r="E452">
        <f>D452*100</f>
        <v>0.5</v>
      </c>
      <c r="F452">
        <v>6</v>
      </c>
      <c r="G452" t="s">
        <v>173</v>
      </c>
    </row>
    <row r="453" spans="1:7">
      <c r="A453">
        <v>400</v>
      </c>
      <c r="B453">
        <v>13</v>
      </c>
      <c r="C453">
        <v>5898</v>
      </c>
      <c r="D453">
        <v>0</v>
      </c>
      <c r="E453">
        <f t="shared" ref="E453:E455" si="6">D453*100</f>
        <v>0</v>
      </c>
      <c r="F453">
        <v>7</v>
      </c>
      <c r="G453" t="s">
        <v>175</v>
      </c>
    </row>
    <row r="454" spans="1:7">
      <c r="A454">
        <v>400</v>
      </c>
      <c r="B454">
        <v>14</v>
      </c>
      <c r="C454">
        <v>6684</v>
      </c>
      <c r="D454">
        <v>0</v>
      </c>
      <c r="E454">
        <f t="shared" si="6"/>
        <v>0</v>
      </c>
      <c r="F454">
        <v>8</v>
      </c>
      <c r="G454" t="s">
        <v>174</v>
      </c>
    </row>
    <row r="455" spans="1:7">
      <c r="A455">
        <v>400</v>
      </c>
      <c r="B455">
        <v>15</v>
      </c>
      <c r="C455">
        <v>4501</v>
      </c>
      <c r="D455">
        <f>2/400</f>
        <v>5.0000000000000001E-3</v>
      </c>
      <c r="E455">
        <f t="shared" si="6"/>
        <v>0.5</v>
      </c>
      <c r="F455">
        <v>9</v>
      </c>
      <c r="G455" t="s">
        <v>176</v>
      </c>
    </row>
    <row r="456" spans="1:7">
      <c r="A456">
        <v>400</v>
      </c>
      <c r="B456">
        <v>16</v>
      </c>
      <c r="C456">
        <v>4934</v>
      </c>
      <c r="D456">
        <v>0</v>
      </c>
      <c r="E456">
        <v>0</v>
      </c>
      <c r="F456">
        <v>10</v>
      </c>
      <c r="G456" t="s">
        <v>177</v>
      </c>
    </row>
    <row r="457" spans="1:7">
      <c r="A457" t="s">
        <v>184</v>
      </c>
    </row>
    <row r="458" spans="1:7">
      <c r="A458">
        <v>400</v>
      </c>
      <c r="B458">
        <v>17</v>
      </c>
      <c r="C458">
        <v>8353</v>
      </c>
      <c r="D458">
        <f>150/400</f>
        <v>0.375</v>
      </c>
      <c r="E458">
        <f>D458*100</f>
        <v>37.5</v>
      </c>
      <c r="F458">
        <v>11</v>
      </c>
      <c r="G458" t="s">
        <v>178</v>
      </c>
    </row>
    <row r="459" spans="1:7">
      <c r="A459">
        <v>400</v>
      </c>
      <c r="B459">
        <v>16</v>
      </c>
      <c r="C459">
        <v>7826</v>
      </c>
      <c r="D459">
        <f>242/400</f>
        <v>0.60499999999999998</v>
      </c>
      <c r="E459">
        <f>D459*100</f>
        <v>60.5</v>
      </c>
      <c r="F459" t="s">
        <v>180</v>
      </c>
      <c r="G459" t="s">
        <v>179</v>
      </c>
    </row>
    <row r="460" spans="1:7">
      <c r="A460">
        <v>300</v>
      </c>
      <c r="B460">
        <v>16</v>
      </c>
      <c r="C460">
        <v>8077</v>
      </c>
      <c r="D460">
        <f>212/300</f>
        <v>0.70666666666666667</v>
      </c>
      <c r="E460">
        <f>D460*100</f>
        <v>70.666666666666671</v>
      </c>
      <c r="F460" t="s">
        <v>182</v>
      </c>
      <c r="G460" t="s">
        <v>181</v>
      </c>
    </row>
    <row r="461" spans="1:7">
      <c r="A461">
        <v>300</v>
      </c>
      <c r="B461">
        <v>15</v>
      </c>
      <c r="C461">
        <v>8260</v>
      </c>
      <c r="D461">
        <f>187/300</f>
        <v>0.62333333333333329</v>
      </c>
      <c r="E461">
        <f>D461*100</f>
        <v>62.333333333333329</v>
      </c>
      <c r="F461">
        <v>14</v>
      </c>
      <c r="G461" t="s">
        <v>183</v>
      </c>
    </row>
    <row r="464" spans="1:7">
      <c r="A464">
        <v>300</v>
      </c>
      <c r="B464">
        <v>14</v>
      </c>
      <c r="C464">
        <v>7963</v>
      </c>
      <c r="D464">
        <f>62/300</f>
        <v>0.20666666666666667</v>
      </c>
      <c r="E464">
        <f>D464*100</f>
        <v>20.666666666666668</v>
      </c>
      <c r="F464">
        <v>1</v>
      </c>
      <c r="G464" t="s">
        <v>185</v>
      </c>
    </row>
    <row r="465" spans="1:7">
      <c r="A465">
        <v>300</v>
      </c>
      <c r="B465">
        <v>13</v>
      </c>
      <c r="C465">
        <v>3378</v>
      </c>
      <c r="D465">
        <v>0</v>
      </c>
      <c r="E465">
        <f t="shared" ref="E465:E480" si="7">D465*100</f>
        <v>0</v>
      </c>
      <c r="F465">
        <v>2</v>
      </c>
      <c r="G465" t="s">
        <v>186</v>
      </c>
    </row>
    <row r="466" spans="1:7">
      <c r="A466">
        <v>400</v>
      </c>
      <c r="B466">
        <v>13</v>
      </c>
      <c r="C466">
        <v>3254</v>
      </c>
      <c r="D466">
        <f>1/300</f>
        <v>3.3333333333333335E-3</v>
      </c>
      <c r="E466">
        <f t="shared" si="7"/>
        <v>0.33333333333333337</v>
      </c>
      <c r="F466">
        <v>3</v>
      </c>
      <c r="G466" t="s">
        <v>188</v>
      </c>
    </row>
    <row r="467" spans="1:7">
      <c r="A467">
        <v>600</v>
      </c>
      <c r="B467">
        <v>13</v>
      </c>
      <c r="C467">
        <v>3234</v>
      </c>
      <c r="D467">
        <v>0</v>
      </c>
      <c r="E467">
        <f t="shared" si="7"/>
        <v>0</v>
      </c>
      <c r="F467">
        <v>4</v>
      </c>
      <c r="G467" t="s">
        <v>187</v>
      </c>
    </row>
    <row r="468" spans="1:7">
      <c r="A468" t="s">
        <v>189</v>
      </c>
      <c r="E468">
        <f t="shared" si="7"/>
        <v>0</v>
      </c>
    </row>
    <row r="469" spans="1:7">
      <c r="A469">
        <v>600</v>
      </c>
      <c r="B469">
        <v>13</v>
      </c>
      <c r="C469">
        <v>6663</v>
      </c>
      <c r="D469">
        <f>1/600</f>
        <v>1.6666666666666668E-3</v>
      </c>
      <c r="E469">
        <f t="shared" si="7"/>
        <v>0.16666666666666669</v>
      </c>
      <c r="F469">
        <v>5</v>
      </c>
      <c r="G469" t="s">
        <v>190</v>
      </c>
    </row>
    <row r="470" spans="1:7">
      <c r="A470">
        <v>400</v>
      </c>
      <c r="B470">
        <v>14</v>
      </c>
      <c r="C470">
        <v>7267</v>
      </c>
      <c r="D470">
        <f>262/400</f>
        <v>0.65500000000000003</v>
      </c>
      <c r="E470">
        <f t="shared" si="7"/>
        <v>65.5</v>
      </c>
      <c r="F470" t="s">
        <v>192</v>
      </c>
      <c r="G470" t="s">
        <v>191</v>
      </c>
    </row>
    <row r="471" spans="1:7">
      <c r="A471">
        <v>100</v>
      </c>
      <c r="B471">
        <v>20</v>
      </c>
      <c r="C471">
        <v>16766</v>
      </c>
      <c r="D471">
        <f>88/100</f>
        <v>0.88</v>
      </c>
      <c r="E471">
        <f t="shared" si="7"/>
        <v>88</v>
      </c>
      <c r="F471">
        <v>7</v>
      </c>
      <c r="G471" t="s">
        <v>194</v>
      </c>
    </row>
    <row r="472" spans="1:7">
      <c r="A472">
        <v>100</v>
      </c>
      <c r="B472">
        <v>22</v>
      </c>
      <c r="C472">
        <v>8736</v>
      </c>
      <c r="D472">
        <f>80/100</f>
        <v>0.8</v>
      </c>
      <c r="E472">
        <f t="shared" si="7"/>
        <v>80</v>
      </c>
      <c r="F472">
        <v>8</v>
      </c>
      <c r="G472" t="s">
        <v>193</v>
      </c>
    </row>
    <row r="473" spans="1:7">
      <c r="A473">
        <v>100</v>
      </c>
      <c r="B473">
        <v>30</v>
      </c>
      <c r="C473">
        <v>7209</v>
      </c>
      <c r="D473">
        <f>77/100</f>
        <v>0.77</v>
      </c>
      <c r="E473">
        <f t="shared" si="7"/>
        <v>77</v>
      </c>
      <c r="F473">
        <v>9</v>
      </c>
      <c r="G473" t="s">
        <v>195</v>
      </c>
    </row>
    <row r="474" spans="1:7">
      <c r="E474">
        <f t="shared" si="7"/>
        <v>0</v>
      </c>
    </row>
    <row r="475" spans="1:7">
      <c r="A475">
        <v>100</v>
      </c>
      <c r="B475">
        <v>40</v>
      </c>
      <c r="C475">
        <v>8161</v>
      </c>
      <c r="D475">
        <f>77/100</f>
        <v>0.77</v>
      </c>
      <c r="E475">
        <f t="shared" si="7"/>
        <v>77</v>
      </c>
      <c r="F475">
        <v>1</v>
      </c>
      <c r="G475" t="s">
        <v>196</v>
      </c>
    </row>
    <row r="476" spans="1:7">
      <c r="A476">
        <v>100</v>
      </c>
      <c r="B476">
        <v>100</v>
      </c>
      <c r="C476">
        <v>14978</v>
      </c>
      <c r="D476">
        <f>78/100</f>
        <v>0.78</v>
      </c>
      <c r="E476">
        <f t="shared" si="7"/>
        <v>78</v>
      </c>
      <c r="F476">
        <v>2</v>
      </c>
      <c r="G476" t="s">
        <v>197</v>
      </c>
    </row>
    <row r="477" spans="1:7">
      <c r="A477">
        <v>100</v>
      </c>
      <c r="B477">
        <v>50</v>
      </c>
      <c r="C477">
        <v>6741</v>
      </c>
      <c r="D477">
        <f>75/100</f>
        <v>0.75</v>
      </c>
      <c r="E477">
        <f t="shared" si="7"/>
        <v>75</v>
      </c>
      <c r="F477">
        <v>3</v>
      </c>
      <c r="G477" t="s">
        <v>198</v>
      </c>
    </row>
    <row r="478" spans="1:7">
      <c r="A478">
        <v>100</v>
      </c>
      <c r="B478">
        <v>13</v>
      </c>
      <c r="C478">
        <v>6594</v>
      </c>
      <c r="D478">
        <v>0</v>
      </c>
      <c r="E478">
        <f t="shared" si="7"/>
        <v>0</v>
      </c>
      <c r="F478">
        <v>4</v>
      </c>
      <c r="G478" t="s">
        <v>199</v>
      </c>
    </row>
    <row r="479" spans="1:7">
      <c r="A479">
        <v>1000</v>
      </c>
      <c r="B479">
        <v>13</v>
      </c>
      <c r="C479">
        <v>4980</v>
      </c>
      <c r="D479">
        <f>666/1000</f>
        <v>0.66600000000000004</v>
      </c>
      <c r="E479">
        <f t="shared" si="7"/>
        <v>66.600000000000009</v>
      </c>
      <c r="F479" t="s">
        <v>201</v>
      </c>
      <c r="G479" t="s">
        <v>200</v>
      </c>
    </row>
    <row r="480" spans="1:7">
      <c r="A480">
        <v>60</v>
      </c>
      <c r="B480">
        <v>60</v>
      </c>
      <c r="C480">
        <v>5748</v>
      </c>
      <c r="D480">
        <f>45/60</f>
        <v>0.75</v>
      </c>
      <c r="E480">
        <f t="shared" si="7"/>
        <v>75</v>
      </c>
      <c r="F48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72EAB-EF19-FC4B-9B6A-CD930ACC5DC9}">
  <dimension ref="A1"/>
  <sheetViews>
    <sheetView workbookViewId="0">
      <selection sqref="A1:A1048576"/>
    </sheetView>
  </sheetViews>
  <sheetFormatPr baseColWidth="10"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9AAE-03E4-C445-A42F-4AF399074101}">
  <dimension ref="A1:H41"/>
  <sheetViews>
    <sheetView topLeftCell="A9" workbookViewId="0">
      <selection activeCell="H3" sqref="H3"/>
    </sheetView>
  </sheetViews>
  <sheetFormatPr baseColWidth="10" defaultRowHeight="16"/>
  <sheetData>
    <row r="1" spans="1:8">
      <c r="A1">
        <v>199</v>
      </c>
      <c r="H1">
        <f>12500*12</f>
        <v>150000</v>
      </c>
    </row>
    <row r="2" spans="1:8">
      <c r="A2">
        <v>3925</v>
      </c>
      <c r="B2">
        <v>3925</v>
      </c>
      <c r="H2">
        <f>H1 - (1900 + 2850)*12</f>
        <v>93000</v>
      </c>
    </row>
    <row r="3" spans="1:8">
      <c r="A3">
        <v>2599.84</v>
      </c>
      <c r="B3">
        <v>2599.84</v>
      </c>
    </row>
    <row r="4" spans="1:8">
      <c r="A4">
        <v>407.41</v>
      </c>
    </row>
    <row r="5" spans="1:8">
      <c r="A5">
        <v>210.56</v>
      </c>
    </row>
    <row r="6" spans="1:8">
      <c r="A6">
        <v>375</v>
      </c>
    </row>
    <row r="7" spans="1:8">
      <c r="A7">
        <v>202.33</v>
      </c>
    </row>
    <row r="8" spans="1:8">
      <c r="A8">
        <v>26.88</v>
      </c>
    </row>
    <row r="9" spans="1:8">
      <c r="A9">
        <v>364.52</v>
      </c>
    </row>
    <row r="10" spans="1:8">
      <c r="A10">
        <v>100</v>
      </c>
    </row>
    <row r="11" spans="1:8">
      <c r="A11">
        <v>3</v>
      </c>
    </row>
    <row r="12" spans="1:8">
      <c r="A12">
        <v>60</v>
      </c>
    </row>
    <row r="13" spans="1:8">
      <c r="A13">
        <v>4436.95</v>
      </c>
    </row>
    <row r="14" spans="1:8">
      <c r="A14">
        <v>128.5</v>
      </c>
    </row>
    <row r="15" spans="1:8">
      <c r="A15">
        <v>171.66</v>
      </c>
    </row>
    <row r="16" spans="1:8">
      <c r="A16">
        <v>136.88999999999999</v>
      </c>
    </row>
    <row r="17" spans="1:4">
      <c r="A17">
        <v>109.79</v>
      </c>
    </row>
    <row r="18" spans="1:4">
      <c r="A18">
        <v>37.270000000000003</v>
      </c>
    </row>
    <row r="19" spans="1:4">
      <c r="B19">
        <v>2000</v>
      </c>
    </row>
    <row r="22" spans="1:4">
      <c r="A22">
        <f>SUM(A1:A18)</f>
        <v>13494.600000000002</v>
      </c>
      <c r="B22">
        <f>SUM(B1:B19)</f>
        <v>8524.84</v>
      </c>
      <c r="C22">
        <f>A22-B22</f>
        <v>4969.760000000002</v>
      </c>
      <c r="D22">
        <f>(C22+1000)*12</f>
        <v>71637.120000000024</v>
      </c>
    </row>
    <row r="25" spans="1:4">
      <c r="A25">
        <v>3925</v>
      </c>
    </row>
    <row r="26" spans="1:4">
      <c r="A26">
        <v>2556.34</v>
      </c>
    </row>
    <row r="27" spans="1:4">
      <c r="A27">
        <v>407.41</v>
      </c>
    </row>
    <row r="28" spans="1:4">
      <c r="A28">
        <v>210.56</v>
      </c>
    </row>
    <row r="29" spans="1:4">
      <c r="A29">
        <v>127.23</v>
      </c>
    </row>
    <row r="30" spans="1:4">
      <c r="A30">
        <v>2416.38</v>
      </c>
    </row>
    <row r="31" spans="1:4">
      <c r="A31">
        <v>1905.77</v>
      </c>
    </row>
    <row r="32" spans="1:4">
      <c r="A32">
        <v>95.37</v>
      </c>
    </row>
    <row r="33" spans="1:2">
      <c r="A33">
        <v>129.77000000000001</v>
      </c>
    </row>
    <row r="34" spans="1:2">
      <c r="A34">
        <v>95.37</v>
      </c>
    </row>
    <row r="35" spans="1:2">
      <c r="A35">
        <v>176.4</v>
      </c>
    </row>
    <row r="36" spans="1:2">
      <c r="A36">
        <v>50</v>
      </c>
    </row>
    <row r="37" spans="1:2">
      <c r="A37">
        <v>171.66</v>
      </c>
    </row>
    <row r="38" spans="1:2">
      <c r="A38">
        <v>25</v>
      </c>
    </row>
    <row r="41" spans="1:2">
      <c r="A41">
        <f>SUM(A25:A38)</f>
        <v>12292.260000000002</v>
      </c>
      <c r="B41">
        <f>A41-A25-A26</f>
        <v>5810.9200000000019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26E8-C365-1E49-B425-11718AE634C5}">
  <dimension ref="A1:J31"/>
  <sheetViews>
    <sheetView workbookViewId="0">
      <selection activeCell="C25" sqref="C25:K31"/>
    </sheetView>
  </sheetViews>
  <sheetFormatPr baseColWidth="10" defaultRowHeight="16"/>
  <sheetData>
    <row r="1" spans="1:2">
      <c r="A1" s="7" t="s">
        <v>38</v>
      </c>
      <c r="B1" s="6"/>
    </row>
    <row r="2" spans="1:2">
      <c r="A2" s="8" t="s">
        <v>40</v>
      </c>
    </row>
    <row r="3" spans="1:2">
      <c r="A3" s="8" t="s">
        <v>39</v>
      </c>
    </row>
    <row r="4" spans="1:2">
      <c r="A4" s="8" t="s">
        <v>44</v>
      </c>
    </row>
    <row r="6" spans="1:2">
      <c r="A6" t="s">
        <v>41</v>
      </c>
    </row>
    <row r="7" spans="1:2">
      <c r="A7" t="s">
        <v>42</v>
      </c>
    </row>
    <row r="8" spans="1:2">
      <c r="A8" t="s">
        <v>43</v>
      </c>
    </row>
    <row r="9" spans="1:2">
      <c r="A9" t="s">
        <v>45</v>
      </c>
    </row>
    <row r="10" spans="1:2">
      <c r="A10" t="s">
        <v>46</v>
      </c>
    </row>
    <row r="25" spans="3:10">
      <c r="C25" t="s">
        <v>2</v>
      </c>
      <c r="D25" t="s">
        <v>0</v>
      </c>
      <c r="E25" t="s">
        <v>1</v>
      </c>
      <c r="F25" t="s">
        <v>4</v>
      </c>
      <c r="G25" t="s">
        <v>3</v>
      </c>
      <c r="H25" t="s">
        <v>5</v>
      </c>
      <c r="I25" t="s">
        <v>6</v>
      </c>
      <c r="J25" t="s">
        <v>7</v>
      </c>
    </row>
    <row r="26" spans="3:10">
      <c r="C26">
        <v>206</v>
      </c>
      <c r="D26">
        <v>20</v>
      </c>
      <c r="E26">
        <v>200</v>
      </c>
      <c r="F26">
        <v>426</v>
      </c>
      <c r="G26">
        <v>74.5</v>
      </c>
      <c r="H26">
        <v>0</v>
      </c>
    </row>
    <row r="27" spans="3:10">
      <c r="C27">
        <v>406</v>
      </c>
      <c r="D27">
        <v>40</v>
      </c>
      <c r="E27">
        <v>200</v>
      </c>
      <c r="F27">
        <v>1271.75</v>
      </c>
      <c r="G27">
        <v>215.1</v>
      </c>
      <c r="H27">
        <v>0</v>
      </c>
    </row>
    <row r="28" spans="3:10">
      <c r="C28">
        <v>606</v>
      </c>
      <c r="D28">
        <v>50</v>
      </c>
      <c r="E28">
        <v>200</v>
      </c>
      <c r="F28">
        <v>1981.3</v>
      </c>
      <c r="G28">
        <v>355.4</v>
      </c>
      <c r="H28">
        <v>0</v>
      </c>
    </row>
    <row r="29" spans="3:10">
      <c r="C29">
        <v>806</v>
      </c>
      <c r="D29">
        <v>60</v>
      </c>
      <c r="E29">
        <v>200</v>
      </c>
      <c r="F29">
        <v>2673.7</v>
      </c>
      <c r="G29">
        <f>712.1-355.4</f>
        <v>356.70000000000005</v>
      </c>
      <c r="H29">
        <v>0</v>
      </c>
    </row>
    <row r="30" spans="3:10">
      <c r="C30">
        <v>1006</v>
      </c>
      <c r="D30">
        <v>80</v>
      </c>
      <c r="E30">
        <v>200</v>
      </c>
      <c r="F30">
        <v>3787.8</v>
      </c>
      <c r="G30">
        <f>1131.93 - 495.78</f>
        <v>636.15000000000009</v>
      </c>
      <c r="H30">
        <v>0</v>
      </c>
    </row>
    <row r="31" spans="3:10">
      <c r="C31">
        <v>1403</v>
      </c>
      <c r="D31">
        <v>100</v>
      </c>
      <c r="E31">
        <v>200</v>
      </c>
      <c r="F31">
        <v>14776.5</v>
      </c>
      <c r="G31">
        <v>1692.2</v>
      </c>
      <c r="H31">
        <v>0</v>
      </c>
      <c r="I31">
        <v>6150</v>
      </c>
      <c r="J31">
        <v>45188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596-990E-C245-9407-CC06BFEFCD7A}">
  <dimension ref="A1"/>
  <sheetViews>
    <sheetView topLeftCell="A176" workbookViewId="0">
      <selection activeCell="A213" sqref="A213"/>
    </sheetView>
  </sheetViews>
  <sheetFormatPr baseColWidth="10" defaultRowHeight="16"/>
  <cols>
    <col min="1" max="1" width="51.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2019-10-22T15:14:49Z</dcterms:created>
  <dcterms:modified xsi:type="dcterms:W3CDTF">2020-02-28T20:49:50Z</dcterms:modified>
</cp:coreProperties>
</file>