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6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ly" sheetId="1" r:id="rId4"/>
    <sheet state="visible" name="Stocks" sheetId="2" r:id="rId5"/>
    <sheet state="visible" name="JAN" sheetId="3" r:id="rId6"/>
    <sheet state="visible" name="FEB" sheetId="4" r:id="rId7"/>
    <sheet state="visible" name="MAR" sheetId="5" r:id="rId8"/>
    <sheet state="visible" name="APR" sheetId="6" r:id="rId9"/>
    <sheet state="visible" name="MAY" sheetId="7" r:id="rId10"/>
    <sheet state="visible" name="JUN" sheetId="8" r:id="rId11"/>
    <sheet state="visible" name="JUL" sheetId="9" r:id="rId12"/>
    <sheet state="visible" name="AUG" sheetId="10" r:id="rId13"/>
    <sheet state="visible" name="SEP" sheetId="11" r:id="rId14"/>
    <sheet state="visible" name="OCT" sheetId="12" r:id="rId15"/>
    <sheet state="visible" name="NOV" sheetId="13" r:id="rId16"/>
    <sheet state="visible" name="DEC" sheetId="14" r:id="rId17"/>
  </sheets>
  <definedNames>
    <definedName localSheetId="6" name="deposit">MAY!$C$15</definedName>
    <definedName localSheetId="9" name="deposit">AUG!$C$15</definedName>
    <definedName localSheetId="10" name="deposit">SEP!$C$15</definedName>
    <definedName localSheetId="8" name="deposit">JUL!$C$15</definedName>
    <definedName localSheetId="5" name="deposit">APR!$C$13</definedName>
    <definedName localSheetId="7" name="deposit">JUN!$C$15</definedName>
    <definedName localSheetId="11" name="deposit">OCT!$C$15</definedName>
    <definedName hidden="1" localSheetId="2" name="_xlnm._FilterDatabase">JAN!$A$7:$J$29</definedName>
    <definedName hidden="1" localSheetId="3" name="_xlnm._FilterDatabase">FEB!$A$7:$K$36</definedName>
    <definedName hidden="1" localSheetId="12" name="_xlnm._FilterDatabase">NOV!$A$7:$G$28</definedName>
    <definedName hidden="1" localSheetId="13" name="_xlnm._FilterDatabase">DEC!$A$7:$K$39</definedName>
  </definedNames>
  <calcPr/>
  <extLst>
    <ext uri="GoogleSheetsCustomDataVersion2">
      <go:sheetsCustomData xmlns:go="http://customooxmlschemas.google.com/" r:id="rId18" roundtripDataChecksum="bQXWx9s5njWzC2rcgTsP9Lk2oHNNry3Czn9w1juoGn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6">
      <text>
        <t xml:space="preserve">======
ID#AAABMUYlAa8
tc={25CA163C-95DC-4710-B65E-6FB6EFFDF816}    (2024-04-22 19:05:19)
[Threaded comment]
Your version of Excel allows you to read this threaded comment; however, any edits to it will get removed if the file is opened in a newer version of Excel. Learn more: https://go.microsoft.com/fwlink/?linkid=870924
Comment:
    Studentloan entl 9615.38+2400</t>
      </text>
    </comment>
    <comment authorId="0" ref="M36">
      <text>
        <t xml:space="preserve">======
ID#AAABMUYlAa4
Frank Diaz Barragan    (2024-04-22 19:05:19)
10K 2023 paid by USACE</t>
      </text>
    </comment>
    <comment authorId="0" ref="O34">
      <text>
        <t xml:space="preserve">======
ID#AAABKeIhTuc
tc={B56F0592-726B-40EC-80EB-FBBD52356D65}    (2024-04-01 02:19:20)
[Threaded comment]
Your version of Excel allows you to read this threaded comment; however, any edits to it will get removed if the file is opened in a newer version of Excel. Learn more: https://go.microsoft.com/fwlink/?linkid=870924
Comment:
    Exclude qualified div cuz are taxed differently</t>
      </text>
    </comment>
    <comment authorId="0" ref="J35">
      <text>
        <t xml:space="preserve">======
ID#AAABKeIhTuQ
tc={0A2CC217-EE05-4064-A220-4E2DB97753AC}    (2024-04-01 02:19:20)
[Threaded comment]
Your version of Excel allows you to read this threaded comment; however, any edits to it will get removed if the file is opened in a newer version of Excel. Learn more: https://go.microsoft.com/fwlink/?linkid=870924
Comment:
    230 from cashrewars travel bofa
2400 tax refund2023
2780loan</t>
      </text>
    </comment>
  </commentList>
  <extLst>
    <ext uri="GoogleSheetsCustomDataVersion2">
      <go:sheetsCustomData xmlns:go="http://customooxmlschemas.google.com/" r:id="rId1" roundtripDataSignature="AMtx7miFY2tkK3gPpzvaFd9qk2wgQdqt+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5">
      <text>
        <t xml:space="preserve">======
ID#AAABGQWLAVQ
    (2021-03-11 12:27:01)
[Threaded comment]
Your version of Excel allows you to read this threaded comment; however, any edits to it will get removed if the file is opened in a newer version of Excel. Learn more: https://go.microsoft.com/fwlink/?linkid=870924
Comment:
    /964.92 price of stock given it was a aprtial sahre</t>
      </text>
    </comment>
  </commentList>
  <extLst>
    <ext uri="GoogleSheetsCustomDataVersion2">
      <go:sheetsCustomData xmlns:go="http://customooxmlschemas.google.com/" r:id="rId1" roundtripDataSignature="AMtx7mic9AVLXB06W9y5ZV0Vuuvz+wPTN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======
ID#AAABKeIhTuY
tc={2F0054DC-A68E-46A0-91EA-0BC19D8EDCF1}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</text>
    </comment>
    <comment authorId="0" ref="A45">
      <text>
        <t xml:space="preserve">======
ID#AAABKeIhTuU
tc={01A4C89A-C59F-4FC7-AA61-66EF7C052D96}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</text>
    </comment>
  </commentList>
  <extLst>
    <ext uri="GoogleSheetsCustomDataVersion2">
      <go:sheetsCustomData xmlns:go="http://customooxmlschemas.google.com/" r:id="rId1" roundtripDataSignature="AMtx7mg0tKYgImYVKG48AnQpTFcU1x8Ek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4">
      <text>
        <t xml:space="preserve">======
ID#AAABNNaKTRM
Frank Diaz Barragan    (2024-05-15 00:56:46)
Ma savings</t>
      </text>
    </comment>
    <comment authorId="0" ref="A48">
      <text>
        <t xml:space="preserve">======
ID#AAABNNaKTRE
tc={2ACED084-2874-43AD-917E-550E79B1476F}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</text>
    </comment>
    <comment authorId="0" ref="A19">
      <text>
        <t xml:space="preserve">======
ID#AAABNNaKTQ4
tc={2CFC3F56-AA97-45DD-B3C7-2E68AD714154}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</text>
    </comment>
    <comment authorId="0" ref="A22">
      <text>
        <t xml:space="preserve">======
ID#AAABNNaKTQ0
tc={DC32E0E3-518A-4CFC-9038-680415B98948}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</text>
    </comment>
  </commentList>
  <extLst>
    <ext uri="GoogleSheetsCustomDataVersion2">
      <go:sheetsCustomData xmlns:go="http://customooxmlschemas.google.com/" r:id="rId1" roundtripDataSignature="AMtx7mg/Zdd2su1JysU+qo38+LroHKhMQg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6">
      <text>
        <t xml:space="preserve">======
ID#AAABNNaKTRI
Frank Diaz Barragan    (2024-05-15 00:56:46)
Ma savings</t>
      </text>
    </comment>
    <comment authorId="0" ref="A24">
      <text>
        <t xml:space="preserve"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</text>
    </comment>
    <comment authorId="0" ref="A21">
      <text>
        <t xml:space="preserve"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</text>
    </comment>
  </commentList>
  <extLst>
    <ext uri="GoogleSheetsCustomDataVersion2">
      <go:sheetsCustomData xmlns:go="http://customooxmlschemas.google.com/" r:id="rId1" roundtripDataSignature="AMtx7mhgklPlTH0qr/AT154G9MoGRJWVnw=="/>
    </ext>
  </extL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2">
      <text>
        <t xml:space="preserve">======
ID#AAABWA-3n2c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</text>
    </comment>
    <comment authorId="0" ref="A27">
      <text>
        <t xml:space="preserve">======
ID#AAABWA-3n2M
Frank Diaz Barragan    (2024-05-15 00:56:46)
Ma savings</t>
      </text>
    </comment>
    <comment authorId="0" ref="A25">
      <text>
        <t xml:space="preserve">======
ID#AAABWA-3n2Q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</text>
    </comment>
  </commentList>
  <extLst>
    <ext uri="GoogleSheetsCustomDataVersion2">
      <go:sheetsCustomData xmlns:go="http://customooxmlschemas.google.com/" r:id="rId1" roundtripDataSignature="AMtx7miYpCL/qrDZiicU36SA0XWDfs9D8w=="/>
    </ext>
  </extL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5">
      <text>
        <t xml:space="preserve">======
ID#AAABWA-3n2U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</text>
    </comment>
    <comment authorId="0" ref="A22">
      <text>
        <t xml:space="preserve">======
ID#AAABWA-3n2Y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</text>
    </comment>
    <comment authorId="0" ref="A27">
      <text>
        <t xml:space="preserve">======
ID#AAABWA-3n2I
Frank Diaz Barragan    (2024-05-15 00:56:46)
Ma savings</t>
      </text>
    </comment>
  </commentList>
  <extLst>
    <ext uri="GoogleSheetsCustomDataVersion2">
      <go:sheetsCustomData xmlns:go="http://customooxmlschemas.google.com/" r:id="rId1" roundtripDataSignature="AMtx7mjRjD0WBQYruI4KUWDkibrxdDyWow=="/>
    </ext>
  </extLst>
</comments>
</file>

<file path=xl/sharedStrings.xml><?xml version="1.0" encoding="utf-8"?>
<sst xmlns="http://schemas.openxmlformats.org/spreadsheetml/2006/main" count="2410" uniqueCount="468">
  <si>
    <t>Personal monthly budget</t>
  </si>
  <si>
    <t>Nov 23 to may24</t>
  </si>
  <si>
    <t>may 1 to Nov 1</t>
  </si>
  <si>
    <t>Montly</t>
  </si>
  <si>
    <t xml:space="preserve">Purchases </t>
  </si>
  <si>
    <t xml:space="preserve">Nico </t>
  </si>
  <si>
    <t>Fabi</t>
  </si>
  <si>
    <t xml:space="preserve">Fran </t>
  </si>
  <si>
    <t>el dorado  insurance</t>
  </si>
  <si>
    <t>Food</t>
  </si>
  <si>
    <t>la chula</t>
  </si>
  <si>
    <t>deuda 1</t>
  </si>
  <si>
    <t>deuda 2</t>
  </si>
  <si>
    <t>Nico 5300 + 59 transfer fee (15meses)  1er pago dec 31 2021 termina mar 2023/// pagoooo a paz</t>
  </si>
  <si>
    <t>5y5noseporque</t>
  </si>
  <si>
    <t>total</t>
  </si>
  <si>
    <t>5mil de 10mil pa casa 214 parkwood</t>
  </si>
  <si>
    <t>50*8anos y 4 messes  pagar dueda. Ahora dec-agosto 9meses no renta y asi paga lo faltante</t>
  </si>
  <si>
    <t xml:space="preserve">Nico 1er pago Jul 29 2022 termina Nov 2030 </t>
  </si>
  <si>
    <t>Totalfood Individual</t>
  </si>
  <si>
    <t>Luz</t>
  </si>
  <si>
    <t>Penker</t>
  </si>
  <si>
    <t>Ma</t>
  </si>
  <si>
    <t>Water</t>
  </si>
  <si>
    <t>600 rent start Jul2024</t>
  </si>
  <si>
    <t>Amazon/other</t>
  </si>
  <si>
    <t>Twc</t>
  </si>
  <si>
    <t>Gas</t>
  </si>
  <si>
    <t>4,418.12 Colombian Peso pago 3millones300 casa ibague</t>
  </si>
  <si>
    <t>Youtub Music</t>
  </si>
  <si>
    <t>At&amp;t</t>
  </si>
  <si>
    <t>Total Comida</t>
  </si>
  <si>
    <t xml:space="preserve">Total Gastos Mes </t>
  </si>
  <si>
    <t xml:space="preserve">Total indiviual </t>
  </si>
  <si>
    <t>Diff</t>
  </si>
  <si>
    <t>DIV BY2 :(</t>
  </si>
  <si>
    <t>payouts</t>
  </si>
  <si>
    <t>pay 50 rearch fund Attn: Martha Price 515 Baldy Hall Buffalo, NY 14260</t>
  </si>
  <si>
    <t xml:space="preserve">Remember May and Oct pay trice </t>
  </si>
  <si>
    <t>Personal care</t>
  </si>
  <si>
    <t>Income Net</t>
  </si>
  <si>
    <t xml:space="preserve">Savings </t>
  </si>
  <si>
    <t>Creditcards Notes</t>
  </si>
  <si>
    <t>loan payments</t>
  </si>
  <si>
    <t>Bi</t>
  </si>
  <si>
    <t>6678 Travel reward crdit card Fabi</t>
  </si>
  <si>
    <t xml:space="preserve">rent </t>
  </si>
  <si>
    <t>Month</t>
  </si>
  <si>
    <t>0855 Fran Citicard rewards</t>
  </si>
  <si>
    <t>utilities&amp;food</t>
  </si>
  <si>
    <t>Year</t>
  </si>
  <si>
    <t>trips/Budget</t>
  </si>
  <si>
    <t>Real&gt;&gt;^^</t>
  </si>
  <si>
    <t xml:space="preserve"> 6674Bofa unlimited cash rewards/done</t>
  </si>
  <si>
    <t>hair cut</t>
  </si>
  <si>
    <t>ma cali</t>
  </si>
  <si>
    <t>2346Faby Bofa/done</t>
  </si>
  <si>
    <t>gas</t>
  </si>
  <si>
    <t>col end year</t>
  </si>
  <si>
    <t>Amex cancel or 95/Done mnomore fee</t>
  </si>
  <si>
    <t>loundryandstuff</t>
  </si>
  <si>
    <t>NC nascar coca</t>
  </si>
  <si>
    <t>6934 Bofa Travel</t>
  </si>
  <si>
    <t xml:space="preserve">savings onalgo </t>
  </si>
  <si>
    <t>3779 Wellsfargo reflect crdit card</t>
  </si>
  <si>
    <t>ma wage</t>
  </si>
  <si>
    <t>phones</t>
  </si>
  <si>
    <t>Annual</t>
  </si>
  <si>
    <t>For Taxes</t>
  </si>
  <si>
    <t>pension col</t>
  </si>
  <si>
    <t>pay again in monthly</t>
  </si>
  <si>
    <t>Net Icome</t>
  </si>
  <si>
    <t xml:space="preserve">CC Debt </t>
  </si>
  <si>
    <t xml:space="preserve">monthly savings </t>
  </si>
  <si>
    <t>% going to Sav</t>
  </si>
  <si>
    <t>Net savings (offccdebt)</t>
  </si>
  <si>
    <t>Gross</t>
  </si>
  <si>
    <t>Jmm</t>
  </si>
  <si>
    <t>Federal</t>
  </si>
  <si>
    <t>State</t>
  </si>
  <si>
    <t>Loanedu</t>
  </si>
  <si>
    <t>&lt;&lt; 50 a month Research Foundation UB 20 years 240 payments start Oct 23 total12k owed</t>
  </si>
  <si>
    <t>Yearly Totals</t>
  </si>
  <si>
    <t>Int/div/G-L</t>
  </si>
  <si>
    <t>possible investment</t>
  </si>
  <si>
    <t>-540mso2millo100</t>
  </si>
  <si>
    <t>tax Gross Inc</t>
  </si>
  <si>
    <t xml:space="preserve">otros </t>
  </si>
  <si>
    <t>Difference between me and tax filing</t>
  </si>
  <si>
    <t>Tot MonthExpenses</t>
  </si>
  <si>
    <t>Refund/Due</t>
  </si>
  <si>
    <t>Yearly</t>
  </si>
  <si>
    <t>Total</t>
  </si>
  <si>
    <t>$790tot</t>
  </si>
  <si>
    <t>Avg netMonth Inc</t>
  </si>
  <si>
    <t>Real Icome Infla adjusted</t>
  </si>
  <si>
    <t>NA</t>
  </si>
  <si>
    <t>LOAN INFORMATION</t>
  </si>
  <si>
    <t>1st Disb</t>
  </si>
  <si>
    <t>Loan</t>
  </si>
  <si>
    <t>Date</t>
  </si>
  <si>
    <t>Beginning</t>
  </si>
  <si>
    <t>Current</t>
  </si>
  <si>
    <t>Accrued</t>
  </si>
  <si>
    <t>Int.</t>
  </si>
  <si>
    <t>Type</t>
  </si>
  <si>
    <t>Principal</t>
  </si>
  <si>
    <t>Interest</t>
  </si>
  <si>
    <t>Total balance</t>
  </si>
  <si>
    <t>Rate</t>
  </si>
  <si>
    <t>DLUNST|O2/10/2022</t>
  </si>
  <si>
    <t>DLUNST |08/22/2022</t>
  </si>
  <si>
    <t>DLUNST|08/31/2022</t>
  </si>
  <si>
    <t>DLSTFD |12/12/2017</t>
  </si>
  <si>
    <t>DLSTFD |06/05/2018</t>
  </si>
  <si>
    <t>DLSTFD |09/11/2018</t>
  </si>
  <si>
    <t>DLUNST 09/11/2018</t>
  </si>
  <si>
    <t>DLUNST 12/04/2018</t>
  </si>
  <si>
    <t>DLSTFD |08/19/2019</t>
  </si>
  <si>
    <t>DLUNST|08/19/2019</t>
  </si>
  <si>
    <t>DLSTFD |08/24/2020</t>
  </si>
  <si>
    <t>DLUNST |08/24/2020</t>
  </si>
  <si>
    <t>DLUNST 06/01/2021</t>
  </si>
  <si>
    <t>DLUNST|08/23/2021</t>
  </si>
  <si>
    <t>DLUNST12/14/2021</t>
  </si>
  <si>
    <t>DLUNST|08/21/2023</t>
  </si>
  <si>
    <t>DLUNST |09/10/2023</t>
  </si>
  <si>
    <t>CullenFund</t>
  </si>
  <si>
    <t>Treach</t>
  </si>
  <si>
    <t>Ny Masters Edu</t>
  </si>
  <si>
    <t>Maters</t>
  </si>
  <si>
    <t>Totals</t>
  </si>
  <si>
    <t>IN SCHOOL</t>
  </si>
  <si>
    <t>IN SCHOOL</t>
  </si>
  <si>
    <t>Available</t>
  </si>
  <si>
    <t>not available(rotht and IRA/long bonds)</t>
  </si>
  <si>
    <t>Stocks/Investmenst</t>
  </si>
  <si>
    <t>Treasuries</t>
  </si>
  <si>
    <t>Cash</t>
  </si>
  <si>
    <t>Tot // Col</t>
  </si>
  <si>
    <t>Debt</t>
  </si>
  <si>
    <t xml:space="preserve">Pay to clear Fico </t>
  </si>
  <si>
    <t>50/50 portfolio</t>
  </si>
  <si>
    <t>Total portfolio</t>
  </si>
  <si>
    <t>Robin hood</t>
  </si>
  <si>
    <t>coments</t>
  </si>
  <si>
    <t>Date of Purchase</t>
  </si>
  <si>
    <t>Stock Price of Purchase</t>
  </si>
  <si>
    <t># shares</t>
  </si>
  <si>
    <t>Total Value of Investment</t>
  </si>
  <si>
    <t>stock value at the date of update</t>
  </si>
  <si>
    <t>D*F equity value today</t>
  </si>
  <si>
    <t xml:space="preserve">Raw Investment </t>
  </si>
  <si>
    <t>Today's value</t>
  </si>
  <si>
    <t>Deposits to accts</t>
  </si>
  <si>
    <t>date of update</t>
  </si>
  <si>
    <t xml:space="preserve">Bonds/Savings </t>
  </si>
  <si>
    <t>Investments/stocks Ira/Roth</t>
  </si>
  <si>
    <t>Disney DIS</t>
  </si>
  <si>
    <t>Bank of Ame BAC</t>
  </si>
  <si>
    <t>fitbiit FIT</t>
  </si>
  <si>
    <t>sold oct 12 2020 at 6.96 per share</t>
  </si>
  <si>
    <t>Jhonson JNJ</t>
  </si>
  <si>
    <t>S&amp;p Global</t>
  </si>
  <si>
    <t>Ametek AME</t>
  </si>
  <si>
    <t>Taiwan semicdr TSM</t>
  </si>
  <si>
    <t xml:space="preserve">why sum of dep = 1577.49 and raw investent is less? Call robinhood  </t>
  </si>
  <si>
    <t>Tencent TCEHY</t>
  </si>
  <si>
    <t>Bancolombia CIB</t>
  </si>
  <si>
    <t>cemex CX</t>
  </si>
  <si>
    <t>Ford Motor F</t>
  </si>
  <si>
    <t>Ecopetorl EC</t>
  </si>
  <si>
    <t>Niu Techngies NIU</t>
  </si>
  <si>
    <t>Tesla TSLA</t>
  </si>
  <si>
    <t>bitcoin BTC</t>
  </si>
  <si>
    <t>Boeing BA</t>
  </si>
  <si>
    <t>Bitcoin Cash BCH</t>
  </si>
  <si>
    <t>SPDR Gold Trust GLD</t>
  </si>
  <si>
    <t>iShares Silver Trust SLV</t>
  </si>
  <si>
    <t>Mondelez MDLZ</t>
  </si>
  <si>
    <t>Alphabet class C GOOG</t>
  </si>
  <si>
    <t>GM</t>
  </si>
  <si>
    <t>JPMorgan U.S.
 Aggregate Bond ETF  JAGG</t>
  </si>
  <si>
    <t>GSIG Goldman Sachs Access Investment  GSIG Grade
 Corporate 1-5 Year Bond ETF</t>
  </si>
  <si>
    <t>Apple AAPL</t>
  </si>
  <si>
    <t>Microsoft  MSFT</t>
  </si>
  <si>
    <t>on september01 need captial one acct 1000</t>
  </si>
  <si>
    <t>Description</t>
  </si>
  <si>
    <t>Summary Amt.</t>
  </si>
  <si>
    <t>Beginning balance as of 01/02/2023</t>
  </si>
  <si>
    <t>Total credits</t>
  </si>
  <si>
    <t>Total debits</t>
  </si>
  <si>
    <t>Ending balance as of 01/27/2023</t>
  </si>
  <si>
    <t>Amount</t>
  </si>
  <si>
    <t>Running Bal.</t>
  </si>
  <si>
    <t>gov</t>
  </si>
  <si>
    <t>shoes merrel</t>
  </si>
  <si>
    <t>bonus wells</t>
  </si>
  <si>
    <t>last pay Jers</t>
  </si>
  <si>
    <t>ajuste income december to be added</t>
  </si>
  <si>
    <t>Beginning balance as of 01/30/2023</t>
  </si>
  <si>
    <t>Ending balance as of 02/24/2023</t>
  </si>
  <si>
    <t>Online Banking payment to CRD 5270 Confirmation# XXXXX30409</t>
  </si>
  <si>
    <t>Online Banking payment to CRD 6674 Confirmation# XXXXX35911</t>
  </si>
  <si>
    <t>Zelle Transfer Conf# h0y2o4jpl; Mami</t>
  </si>
  <si>
    <t>Zelle Transfer Conf# buhw3liob; Nicolas Diaz Hmno</t>
  </si>
  <si>
    <t>CITI CARD ONLINE DES:PAYMENT ID:XXXXXXXXXX52292 INDN:DARIO F DIAZ CO ID:CITICTP WEB</t>
  </si>
  <si>
    <t>Zelle Transfer Conf# bje8ls63k; Dario Francisco Diaz Barragan</t>
  </si>
  <si>
    <t>BKOFAMERICA ATM 01/31 #XXXXX2147 WITHDRWL SUNY-STUDENT UNION WILLIAMSVILLE NY</t>
  </si>
  <si>
    <t>Online Banking payment to CRD 0549 Confirmation# XXXXX41061</t>
  </si>
  <si>
    <t>Zelle Transfer Conf# azwp31j6f; Dario Francisco Diaz Barragan</t>
  </si>
  <si>
    <t>CITI CARD ONLINE DES:PAYMENT ID:XXXXXXXXXX16393 INDN:DARIO F DIAZ CO ID:CITICTP WEB</t>
  </si>
  <si>
    <t>ROBINHOOD DES:Funds ID:XXXXX8271 INDN:Frank Diaz Barragan CO ID:XXXXX64776 WEB</t>
  </si>
  <si>
    <t>WF Credit Card DES:AUTO PAY ID:XXXXXXXXXX3637 INDN:DIAZ BARRAGAN,DARIO F CO ID:50260000 PPD</t>
  </si>
  <si>
    <t>BANK OF AMERICA CREDIT CARD Bill Payment</t>
  </si>
  <si>
    <t>BUFFALO BOARD OF DES:PAYROLL ID:XXXXX0807 INDN:DARIO FRANCISCO DIAZ B CO ID:XXXXX01554 PPD</t>
  </si>
  <si>
    <t>Zelle Transfer Conf# ikxe1zt7b; Dario Francisco Diaz Barragan</t>
  </si>
  <si>
    <t>Online Banking payment to CRD 3747 Confirmation# XXXXX04424</t>
  </si>
  <si>
    <t>Bank of America Credit Card Bill Payment</t>
  </si>
  <si>
    <t>JOURNEY'S END RE DES:DIRECT DEP ID:XXXXX42278839BM INDN:DIAZ BARRAGAN,DARIO CO ID:XXXXX11101 PPD</t>
  </si>
  <si>
    <t>Zelle Transfer Conf# io9eqroef; DARIO</t>
  </si>
  <si>
    <t>Zelle Transfer Conf# YKAIQWS9A; Dario Barragan</t>
  </si>
  <si>
    <t>BKOFAMERICA MOBILE 02/18 XXXXX01432 DEPOSIT *MOBILE NY</t>
  </si>
  <si>
    <t>Zelle Transfer Conf# ow1l1apyt; Mami</t>
  </si>
  <si>
    <t>Zelle Transfer Conf# o92sjpiuy; Mami</t>
  </si>
  <si>
    <t>Online Banking payment to CRD 6674 Confirmation# XXXXX52318</t>
  </si>
  <si>
    <t>WF Credit Card DES:AUTO PAY ID:XXXXXXXXXX0163 INDN:DIAZBARRAGAN,DARIO F CO ID:50260000 PPD</t>
  </si>
  <si>
    <t>Marcus Invest (H DES:ACH ID:XXXXXXXXXX8154 INDN:DARIO DIAZ BARRAGAN CO ID:XXXXX73990 WEB</t>
  </si>
  <si>
    <t>my moms well fargo bonus</t>
  </si>
  <si>
    <t>from wellsfargo 350</t>
  </si>
  <si>
    <t>Net Worth Summary as of date 03/30/2024</t>
  </si>
  <si>
    <t>All Accounts</t>
  </si>
  <si>
    <t xml:space="preserve"> ASSETS</t>
  </si>
  <si>
    <t>Last Updated</t>
  </si>
  <si>
    <t>Currency</t>
  </si>
  <si>
    <t xml:space="preserve">Balance </t>
  </si>
  <si>
    <t xml:space="preserve">			Investments</t>
  </si>
  <si>
    <t>short Treasuries</t>
  </si>
  <si>
    <t>Robinhood-Robinhood Brokerage-brokerageCash-x-8271</t>
  </si>
  <si>
    <t>03/30/2024 11:55 am ET</t>
  </si>
  <si>
    <t>$</t>
  </si>
  <si>
    <t xml:space="preserve">			Cash TOTAL</t>
  </si>
  <si>
    <t>Merrill Lynch Merrill Edge-CMA-Edgex2085-CMA-x-2085</t>
  </si>
  <si>
    <t>03/30/2024 11:54 am ET</t>
  </si>
  <si>
    <t>Chase-Self-Directed-individual-x-3098</t>
  </si>
  <si>
    <t xml:space="preserve">			Cards TOTAL</t>
  </si>
  <si>
    <t>Robinhood-Robinhood Crypto-other-x-2356</t>
  </si>
  <si>
    <t>Treasury Direct-SAVINGS BONDS-OTHER</t>
  </si>
  <si>
    <t>03/30/2024 12:06 pm ET</t>
  </si>
  <si>
    <t>Marcus by Goldman Sachs-Traditional IRA-ira-x-0460</t>
  </si>
  <si>
    <t>03/22/2024 05:51 pm ET</t>
  </si>
  <si>
    <t>Marcus by Goldman Sachs-Roth IRA-ira-x-6917</t>
  </si>
  <si>
    <t>BANCOLOMBIA(pOSSIBLE INVEST IN PESOS NOW IN BONDS)-OTHER</t>
  </si>
  <si>
    <t>03/30/2024 12:16 pm ET</t>
  </si>
  <si>
    <t xml:space="preserve">			Investments TOTAL</t>
  </si>
  <si>
    <t xml:space="preserve"> </t>
  </si>
  <si>
    <t xml:space="preserve">			Cash</t>
  </si>
  <si>
    <t>Bank of America-checking 4283-x-5084</t>
  </si>
  <si>
    <t>03/30/2024 11:40 am ET</t>
  </si>
  <si>
    <t>Capital One-360 Checking-x-8776</t>
  </si>
  <si>
    <t>Capital One-360 Checking-x-8364</t>
  </si>
  <si>
    <t>Wells Fargo-EVERYDAY CHECKING xxx3269-x-3269</t>
  </si>
  <si>
    <t>Bank of America-ADVANTAGE SAVINGS-x-7937-Closed</t>
  </si>
  <si>
    <t>02/20/2023 03:59 am ET</t>
  </si>
  <si>
    <t>Capital One-360 Performance Savings-x-8339</t>
  </si>
  <si>
    <t>Marcus by Goldman Sachs-Online Savings-x-2145</t>
  </si>
  <si>
    <t>03/30/2024 11:42 am ET</t>
  </si>
  <si>
    <t>Wells Fargo-WAY2SAVE SAVINGS xxx6118-x-6118</t>
  </si>
  <si>
    <t xml:space="preserve">			Other Assets</t>
  </si>
  <si>
    <t>Chevy Cruze 2014</t>
  </si>
  <si>
    <t>03/30/2024 12:27 pm ET</t>
  </si>
  <si>
    <t xml:space="preserve">			Other Assets TOTAL</t>
  </si>
  <si>
    <t>Stocks sold aprl22 2024</t>
  </si>
  <si>
    <t xml:space="preserve"> Total Assets</t>
  </si>
  <si>
    <t>amzn</t>
  </si>
  <si>
    <t>BAC</t>
  </si>
  <si>
    <t xml:space="preserve"> LIABILITIES</t>
  </si>
  <si>
    <t>cib</t>
  </si>
  <si>
    <t>goog</t>
  </si>
  <si>
    <t xml:space="preserve">			Cards</t>
  </si>
  <si>
    <t>MU</t>
  </si>
  <si>
    <t>American Express Cards-Blue Cash Preferred-x-1009</t>
  </si>
  <si>
    <t>NVDA</t>
  </si>
  <si>
    <t>American Express Cards-Blue Cash Everyday-x-1007</t>
  </si>
  <si>
    <t>SPY</t>
  </si>
  <si>
    <t>Bank of America-Travel Rewards Visa Signature-x-6934</t>
  </si>
  <si>
    <t>nvo</t>
  </si>
  <si>
    <t>Bank of America-Unlimited Cash Rewards Visa Signature-x-6674</t>
  </si>
  <si>
    <t>msft</t>
  </si>
  <si>
    <t>Bank of America-BankAmericard Platinum Plus Mastercard-x-5270-Closed</t>
  </si>
  <si>
    <t>07/30/2023 02:04 pm ET</t>
  </si>
  <si>
    <t>voo</t>
  </si>
  <si>
    <t>Bank of America-Pasearblue6817-x-6817-Closed</t>
  </si>
  <si>
    <t>02/19/2023 05:36 pm ET</t>
  </si>
  <si>
    <t>Dis</t>
  </si>
  <si>
    <t>Bank of America-Cashrewards red0549-x-0549</t>
  </si>
  <si>
    <t>spy</t>
  </si>
  <si>
    <t>Bank of America-Premium Rewards Visa Signature-x-9785-Closed</t>
  </si>
  <si>
    <t>10/25/2022 11:14 pm ET</t>
  </si>
  <si>
    <t>EC</t>
  </si>
  <si>
    <t>Bank of America-gray1punto5-x-3747-Closed</t>
  </si>
  <si>
    <t>Capital One-Quicksilver-x-8071</t>
  </si>
  <si>
    <t>Chase-CREDIT CARD-x-8247</t>
  </si>
  <si>
    <t>cash&gt;&gt;</t>
  </si>
  <si>
    <t>&lt;&lt;&lt; need to pay cc</t>
  </si>
  <si>
    <t>Chase-CREDIT CARD-x-2219</t>
  </si>
  <si>
    <t>Wells Fargo-WELLS FARGO ACTIVE CASH VISA CARD xxx0163-x-0163</t>
  </si>
  <si>
    <t>03/30/2024 11:56 am ET</t>
  </si>
  <si>
    <t>Wells Fargo-WELLS FARGO AUTOGRAPH VISA CARD xxx3637-x-3637</t>
  </si>
  <si>
    <t>Wells Fargo-WELLS FARGO REFLECT VISA CARD xxx3305-x-3305</t>
  </si>
  <si>
    <t xml:space="preserve">			Loans</t>
  </si>
  <si>
    <t>Loan BPS Collen Fund-Personal</t>
  </si>
  <si>
    <t>03/30/2024 12:25 pm ET</t>
  </si>
  <si>
    <t>NYS Loan Masters Edu-Personal</t>
  </si>
  <si>
    <t>03/30/2024 12:24 pm ET</t>
  </si>
  <si>
    <t>Stu Loan MS Econ Finance-Personal</t>
  </si>
  <si>
    <t>03/30/2024 12:22 pm ET</t>
  </si>
  <si>
    <t>Stu Loans undergrad-Personal</t>
  </si>
  <si>
    <t>03/30/2024 12:21 pm ET</t>
  </si>
  <si>
    <t>TEACh Grant-Personal</t>
  </si>
  <si>
    <t>03/30/2024 12:26 pm ET</t>
  </si>
  <si>
    <t xml:space="preserve">			Loans TOTAL</t>
  </si>
  <si>
    <t xml:space="preserve">			Other Liabilities</t>
  </si>
  <si>
    <t xml:space="preserve">Ma trust </t>
  </si>
  <si>
    <t xml:space="preserve">			Other Liabilities TOTAL</t>
  </si>
  <si>
    <t xml:space="preserve"> Total Liabilities</t>
  </si>
  <si>
    <t xml:space="preserve"> NETWORTH</t>
  </si>
  <si>
    <t>04/26/2024 10:22 pm ET</t>
  </si>
  <si>
    <t>Debt to income ratio</t>
  </si>
  <si>
    <t>Total portfolio/colpesosinv</t>
  </si>
  <si>
    <t>04/26/2024 10:31 pm ET</t>
  </si>
  <si>
    <t xml:space="preserve">Bonds/MoneyMArketSavings </t>
  </si>
  <si>
    <t>Pesos Invest</t>
  </si>
  <si>
    <t>Capital One-360 Performance Savings-x-6414</t>
  </si>
  <si>
    <t>Capital One-360 Performance Savings-x-0946</t>
  </si>
  <si>
    <t>04/26/2024 10:33 pm ET</t>
  </si>
  <si>
    <t>for real&gt;&gt;</t>
  </si>
  <si>
    <t>04/26/2024 10:23 pm ET</t>
  </si>
  <si>
    <t>MOHELA-DL Stafford Unsubsidized-15-Student-x-1246</t>
  </si>
  <si>
    <t>04/26/2024 10:27 pm ET</t>
  </si>
  <si>
    <t>MOHELA-DL Stafford Unsubsidized-19-Student-x-1246</t>
  </si>
  <si>
    <t>MOHELA-DL Stafford Unsubsidized-1-Student-x-1246</t>
  </si>
  <si>
    <t>MOHELA-DL Stafford Unsubsidized-2-Student-x-1246</t>
  </si>
  <si>
    <t>MOHELA-DL Stafford Unsubsidized-4-Student-x-1246</t>
  </si>
  <si>
    <t>MOHELA-DL Stafford Subsidized-5-Student-x-1246</t>
  </si>
  <si>
    <t>04/06/2024 11:00 pm ET</t>
  </si>
  <si>
    <t>MOHELA-DL Stafford Subsidized-7-Student-x-1246</t>
  </si>
  <si>
    <t>MOHELA-DL Stafford Unsubsidized-8-Student-x-1246</t>
  </si>
  <si>
    <t>Total Debt</t>
  </si>
  <si>
    <t>MOHELA-DL Stafford Unsubsidized-9-Student-x-1246</t>
  </si>
  <si>
    <t>MOHELA-DL Stafford Subsidized-10-Student-x-1246</t>
  </si>
  <si>
    <t>Mohela</t>
  </si>
  <si>
    <t>MOHELA-DL Stafford Unsubsidized-11-Student-x-1246</t>
  </si>
  <si>
    <t>MOHELA-DL Stafford Subsidized-12-Student-x-1246</t>
  </si>
  <si>
    <t>MOHELA-DL Stafford Unsubsidized-13-Student-x-1246</t>
  </si>
  <si>
    <t>MOHELA-DL Stafford Unsubsidized-14-Student-x-1246</t>
  </si>
  <si>
    <t>MOHELA-DL Stafford Unsubsidized-16-Student-x-1246</t>
  </si>
  <si>
    <t>MOHELA-DL Stafford Unsubsidized-17-Student-x-1246</t>
  </si>
  <si>
    <t>MOHELA-DL Stafford Subsidized-6-Student-x-1246</t>
  </si>
  <si>
    <t>&lt;&lt;Real Net Worth</t>
  </si>
  <si>
    <t>Net Worth Summary as of date 05/31/2024</t>
  </si>
  <si>
    <t>05/31/2024 10:56 pm ET</t>
  </si>
  <si>
    <t>Robinhood-Robinhood Crypto-other-x-1565</t>
  </si>
  <si>
    <t>Robinhood-Robinhood Roth IRA-ira-x-3101</t>
  </si>
  <si>
    <t>Robinhood-Robinhood Traditional IRA-ira-x-1149</t>
  </si>
  <si>
    <t>05/15/2024 09:56 pm ET</t>
  </si>
  <si>
    <t>05/15/2024 09:53 pm ET</t>
  </si>
  <si>
    <t>American Express Cards-Blue Cash Preferred (xx1009)-x-1009</t>
  </si>
  <si>
    <t>American Express Cards-Blue Cash Everyday (xx1007)-x-1007</t>
  </si>
  <si>
    <t>Bank of America-Travel Rewards Visa Signature-x-1383</t>
  </si>
  <si>
    <t>05/31/2024 10:57 pm ET</t>
  </si>
  <si>
    <r>
      <rPr>
        <rFont val="Calibri"/>
        <color theme="1"/>
        <sz val="11.0"/>
      </rPr>
      <t>Loan BPS Collen Fund-Personal/</t>
    </r>
    <r>
      <rPr>
        <rFont val="Calibri"/>
        <color rgb="FFFF0000"/>
        <sz val="11.0"/>
      </rPr>
      <t>Nopay till further noitice</t>
    </r>
  </si>
  <si>
    <t>Net Worth Summary as of date 06/29/2024</t>
  </si>
  <si>
    <t>Liquid</t>
  </si>
  <si>
    <t>Less Liquid(rotht and IRA/long bonds)</t>
  </si>
  <si>
    <t>Total partial</t>
  </si>
  <si>
    <t>06/29/2024 01:48 pm ET</t>
  </si>
  <si>
    <t>Col</t>
  </si>
  <si>
    <t>06/29/2024 01:22 am ET</t>
  </si>
  <si>
    <t>Total(Liquid/LessLiq)</t>
  </si>
  <si>
    <t>Total Portfolio</t>
  </si>
  <si>
    <t>06/09/2024 03:22 pm ET</t>
  </si>
  <si>
    <t>TreasuryShortyTerm(Bondy)-OTHER</t>
  </si>
  <si>
    <t>06/07/2024 08:08 pm ET</t>
  </si>
  <si>
    <t>06/29/2024 01:50 pm ET</t>
  </si>
  <si>
    <t>06/29/2024 01:43 pm ET</t>
  </si>
  <si>
    <t>06/29/2024 02:07 pm ET</t>
  </si>
  <si>
    <t>Loan BPS Collen Fund-Personal/Nopay till further noitice</t>
  </si>
  <si>
    <t>/Nopay till further noitice</t>
  </si>
  <si>
    <t>07/26/2024 01:05 am ET</t>
  </si>
  <si>
    <t>07/26/2024 04:13 am ET</t>
  </si>
  <si>
    <t>07/25/2024 10:55 pm ET</t>
  </si>
  <si>
    <t xml:space="preserve">Pay to clear FicoCCdebt </t>
  </si>
  <si>
    <t>minus 10k mom</t>
  </si>
  <si>
    <t>07/28/2024 10:34 am ET</t>
  </si>
  <si>
    <t>07/26/2024 10:41 am ET</t>
  </si>
  <si>
    <t>07/28/2024 12:08 am ET</t>
  </si>
  <si>
    <t>07/17/2024 10:28 pm ET</t>
  </si>
  <si>
    <t>American Express-Blue Cash Preferred (xx1017)-x-1017</t>
  </si>
  <si>
    <t>07/25/2024 04:30 pm ET</t>
  </si>
  <si>
    <t>American Express-Blue Cash Preferred (xx1009)-x-1009</t>
  </si>
  <si>
    <t>American Express-Blue Cash Everyday (xx1007)-x-1007</t>
  </si>
  <si>
    <t>07/28/2024 05:49 am ET</t>
  </si>
  <si>
    <t>07/25/2024 12:12 pm ET</t>
  </si>
  <si>
    <t>Chase-CREDIT CARD (x8247)-x-8247</t>
  </si>
  <si>
    <t>07/27/2024 07:45 pm ET</t>
  </si>
  <si>
    <t>Chase-CREDIT CARD (x2219)-x-2219</t>
  </si>
  <si>
    <t>07/27/2024 03:00 pm ET</t>
  </si>
  <si>
    <t>07/03/2024 02:50 pm ET</t>
  </si>
  <si>
    <t>08/31/2024 12:00 pm ET</t>
  </si>
  <si>
    <t>4,127.04 per dollar</t>
  </si>
  <si>
    <t>08/29/2024 12:26 pm ET</t>
  </si>
  <si>
    <t>08/27/2024 01:36 pm ET</t>
  </si>
  <si>
    <t>American Express-Blue Cash Everyday (xx1017)-x-1017</t>
  </si>
  <si>
    <t>08/05/2024 11:47 am ET</t>
  </si>
  <si>
    <t>American Express-Blue Cash Everyday (xx1009)-x-1009</t>
  </si>
  <si>
    <t>Less Liquid(rotht and IRA,TSP/long bonds)</t>
  </si>
  <si>
    <t>short/long Treasuries</t>
  </si>
  <si>
    <t>09/27/2024 10:05 pm ET</t>
  </si>
  <si>
    <t>Cash TOTAL</t>
  </si>
  <si>
    <t>Cards TOTAL</t>
  </si>
  <si>
    <t>Thrift Savings Plan-Civilian-401k</t>
  </si>
  <si>
    <t>09/13/2024 07:35 pm ET</t>
  </si>
  <si>
    <t>Total portfolio/colinv</t>
  </si>
  <si>
    <t>better</t>
  </si>
  <si>
    <t>111millonsoct5</t>
  </si>
  <si>
    <t>per dollar</t>
  </si>
  <si>
    <t>Investments TOTAL</t>
  </si>
  <si>
    <t>Other Assets</t>
  </si>
  <si>
    <t>Other Assets TOTAL</t>
  </si>
  <si>
    <t/>
  </si>
  <si>
    <t>Total Assets</t>
  </si>
  <si>
    <t>LIABILITIES</t>
  </si>
  <si>
    <t>Balance</t>
  </si>
  <si>
    <t>Cards</t>
  </si>
  <si>
    <t>Investments</t>
  </si>
  <si>
    <t>11/01/2024 07:36 pm ET</t>
  </si>
  <si>
    <t>mom 10k back to cash</t>
  </si>
  <si>
    <t>American Express-Blue Cash Everyday-x-1009</t>
  </si>
  <si>
    <t>American Express-Blue Cash Everyday-x-1007</t>
  </si>
  <si>
    <t>10/22/2024 04:23 pm ET</t>
  </si>
  <si>
    <t>Beginning balance as of 10/27/2023</t>
  </si>
  <si>
    <t>Ending balance as of 11/24/2023</t>
  </si>
  <si>
    <t>JOURNEY'S END RE DES:DIRECT DEP ID:XXXXX91024469BM INDN:DIAZ BARRAGAN,DARIO CO ID:XXXXX11101 PPD</t>
  </si>
  <si>
    <t>Zelle payment from Dario Barragan Conf# AX6G4LNAC</t>
  </si>
  <si>
    <t>BKOFAMERICA ATM 10/29 #XXXXX7561 WITHDRWL DELAWARE SHERIDAN KENMORE NY</t>
  </si>
  <si>
    <t>Zelle payment to Nicolas Diaz Hmno for Recibo At&amp;t"; Conf# rt7jjx6uy"</t>
  </si>
  <si>
    <t>Zelle payment to Nicolas Diaz Hmno for Oct rent and ctas"; Conf# nm398m63l"</t>
  </si>
  <si>
    <t>Zelle payment to Mami for Ctas y sueldo"; Conf# otprtxwzu"</t>
  </si>
  <si>
    <t>Online Banking payment to CRD 0549 Confirmation# XXXXX29094</t>
  </si>
  <si>
    <t>NAT'L FUEL GAS DES:UTILITY ID:6744997 INDN:DARIO FRANCISCO DIAZ * CO ID:XXXXX63576 TEL</t>
  </si>
  <si>
    <t>Zelle payment from Dario Barragan Conf# OM7QNLOG6</t>
  </si>
  <si>
    <t>Zelle payment from NICOLAS DIAZ BARRAGAN for compras amazon tarjeta fran diferencia"; Conf# jjekz624x"</t>
  </si>
  <si>
    <t>JOURNEY'S END RE DES:DIRECT DEP ID:XXXXX08471119BM INDN:DIAZ BARRAGAN,DARIO CO ID:XXXXX11101 PPD</t>
  </si>
  <si>
    <t>Bank of America DES:CASHREWARD ID:DIAZ BARRAGAN INDN:XXXXX0060XXXXX21XXXXX0 CO ID:XXXXX90310 PPD</t>
  </si>
  <si>
    <t>Bank of America DES:CASHREWARD ID:BARRAGAN INDN:XXXXX0062XXXXX91XXXXX0 CO ID:XXXXX90310 PPD</t>
  </si>
  <si>
    <t>Zelle payment from NICOLAS DIAZ BARRAGAN for Gym membership"; Conf# lm6pkaqnk"</t>
  </si>
  <si>
    <t>JOURNEY'S END RE DES:DIRECT DEP ID:XXXXX81801479BM INDN:DIAZ BARRAGAN,DARIO CO ID:XXXXX11101 PPD</t>
  </si>
  <si>
    <t>Beginning balance as of 11/24/2023</t>
  </si>
  <si>
    <t>Ending balance as of 12/22/2023</t>
  </si>
  <si>
    <t>Zelle payment to Nicolas Diaz Hmno for Ctas nov 23 att48"; Conf# io8jhkqak"</t>
  </si>
  <si>
    <t>WELLS FARGO CARD DES:CCPYMT ID:XXXXXXXXXX3305 INDN:DIAZBARRAGAN DARIO CO ID:XXXXX50794 WEB</t>
  </si>
  <si>
    <t>Zelle payment to Mami for Nogymmomida"; Conf# ekh68rd6s"</t>
  </si>
  <si>
    <t>Zelle payment from Dario Barragan Conf# 3VQI5Q38T</t>
  </si>
  <si>
    <t>JOURNEY'S END RE DES:DIRECT DEP ID:XXXXX08235659BM INDN:DIAZ BARRAGAN,DARIO CO ID:XXXXX11101 PPD</t>
  </si>
  <si>
    <t>JOURNEY'S END RE DES:DIRECT DEP ID:XXXXX69317989BM INDN:DIAZ BARRAGAN,DARIO CO ID:XXXXX11101 PPD</t>
  </si>
  <si>
    <t>Check 120</t>
  </si>
  <si>
    <t>JOURNEY'S END RE DES:DIRECT DEP ID:XXXXX07040829BM INDN:DIAZ BARRAGAN,DARIO CO ID:XXXXX11101 PPD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</si>
</sst>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&quot;$&quot;* #,##0.00_);_(&quot;$&quot;* \(#,##0.00\);_(&quot;$&quot;* &quot;-&quot;??_);_(@_)"/>
    <numFmt numFmtId="165" formatCode="&quot;$&quot;#,##0.00"/>
    <numFmt numFmtId="166" formatCode="[Red]#&quot; Days Overdue&quot;;[Blue]#&quot; Days Remaining&quot;;[Color10]#&quot; Today&quot;"/>
    <numFmt numFmtId="167" formatCode="[$-409]mmmm\-yy"/>
    <numFmt numFmtId="168" formatCode="&quot;$&quot;#,##0.00_);[Red]\(&quot;$&quot;#,##0.00\)"/>
    <numFmt numFmtId="169" formatCode="[$$-409]#,##0.00"/>
    <numFmt numFmtId="170" formatCode="[$-F800]dddd\,\ mmmm\ dd\,\ yyyy"/>
    <numFmt numFmtId="171" formatCode="#,##0.0000000"/>
  </numFmts>
  <fonts count="44">
    <font>
      <sz val="11.0"/>
      <color rgb="FF000000"/>
      <name val="Calibri"/>
      <scheme val="minor"/>
    </font>
    <font>
      <sz val="11.0"/>
      <color rgb="FF000000"/>
      <name val="Calibri"/>
    </font>
    <font>
      <b/>
      <sz val="40.0"/>
      <color theme="4"/>
      <name val="Calibri"/>
    </font>
    <font/>
    <font>
      <b/>
      <sz val="36.0"/>
      <color rgb="FF244061"/>
      <name val="Calibri"/>
    </font>
    <font>
      <b/>
      <sz val="20.0"/>
      <color theme="4"/>
      <name val="Calibri"/>
    </font>
    <font>
      <b/>
      <sz val="20.0"/>
      <color rgb="FF00B050"/>
      <name val="Calibri"/>
    </font>
    <font>
      <b/>
      <sz val="20.0"/>
      <color rgb="FF7030A0"/>
      <name val="Calibri"/>
    </font>
    <font>
      <b/>
      <sz val="20.0"/>
      <color rgb="FF0070C0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12.0"/>
      <color theme="1"/>
      <name val="Comic Sans MS"/>
    </font>
    <font>
      <sz val="12.0"/>
      <color theme="1"/>
      <name val="Calibri"/>
    </font>
    <font>
      <strike/>
      <sz val="11.0"/>
      <color rgb="FF000000"/>
      <name val="Calibri"/>
    </font>
    <font>
      <sz val="24.0"/>
      <color rgb="FFFF0000"/>
      <name val="Calibri"/>
    </font>
    <font>
      <sz val="12.0"/>
      <color rgb="FFFF0000"/>
      <name val="Calibri"/>
    </font>
    <font>
      <sz val="12.0"/>
      <color rgb="FFFF0000"/>
      <name val="Comic Sans MS"/>
    </font>
    <font>
      <sz val="12.0"/>
      <color rgb="FF0070C0"/>
      <name val="Comic Sans MS"/>
    </font>
    <font>
      <sz val="10.0"/>
      <color rgb="FFFF0000"/>
      <name val="Calibri"/>
    </font>
    <font>
      <sz val="10.0"/>
      <color rgb="FF000000"/>
      <name val="Calibri"/>
    </font>
    <font>
      <strike/>
      <sz val="12.0"/>
      <color rgb="FF0070C0"/>
      <name val="Comic Sans MS"/>
    </font>
    <font>
      <b/>
      <sz val="8.0"/>
      <color theme="1"/>
      <name val="Comic Sans MS"/>
    </font>
    <font>
      <sz val="11.0"/>
      <color rgb="FFFF0000"/>
      <name val="Comic Sans MS"/>
    </font>
    <font>
      <strike/>
      <sz val="12.0"/>
      <color rgb="FFFF0000"/>
      <name val="Comic Sans MS"/>
    </font>
    <font>
      <b/>
      <sz val="12.0"/>
      <color rgb="FF000000"/>
      <name val="Calibri"/>
    </font>
    <font>
      <b/>
      <sz val="9.0"/>
      <color rgb="FF000000"/>
      <name val="Calibri"/>
    </font>
    <font>
      <sz val="12.0"/>
      <color rgb="FFFF00FF"/>
      <name val="Comic Sans MS"/>
    </font>
    <font>
      <sz val="12.0"/>
      <color rgb="FF000000"/>
      <name val="Comic Sans MS"/>
    </font>
    <font>
      <sz val="10.0"/>
      <color theme="1"/>
      <name val="Calibri"/>
    </font>
    <font>
      <b/>
      <sz val="11.0"/>
      <color rgb="FFFF0000"/>
      <name val="Calibri"/>
    </font>
    <font>
      <b/>
      <sz val="11.0"/>
      <color rgb="FF00B0F0"/>
      <name val="Calibri"/>
    </font>
    <font>
      <sz val="12.0"/>
      <color theme="1"/>
      <name val="Arial"/>
    </font>
    <font>
      <b/>
      <sz val="11.0"/>
      <color theme="1"/>
      <name val="Calibri"/>
    </font>
    <font>
      <b/>
      <sz val="11.0"/>
      <color rgb="FF0070C0"/>
      <name val="Calibri"/>
    </font>
    <font>
      <sz val="7.0"/>
      <color rgb="FF000000"/>
      <name val="Roboto"/>
    </font>
    <font>
      <b/>
      <sz val="12.0"/>
      <color rgb="FFFF0000"/>
      <name val="Calibri"/>
    </font>
    <font>
      <b/>
      <sz val="14.0"/>
      <color rgb="FFFF0000"/>
      <name val="Calibri"/>
    </font>
    <font>
      <color theme="1"/>
      <name val="Calibri"/>
      <scheme val="minor"/>
    </font>
    <font>
      <b/>
      <sz val="14.0"/>
      <color rgb="FF0070C0"/>
      <name val="Calibri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</fills>
  <borders count="4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/>
      <top style="thin">
        <color rgb="FFFFFFFF"/>
      </top>
      <bottom style="medium">
        <color rgb="FF000000"/>
      </bottom>
    </border>
    <border>
      <left style="thin">
        <color rgb="FFFFFFFF"/>
      </left>
      <right style="thin">
        <color rgb="FFFFFFFF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 style="thin">
        <color theme="0"/>
      </bottom>
    </border>
    <border>
      <right/>
      <top/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theme="0"/>
      </left>
      <right/>
      <top/>
      <bottom style="thin">
        <color theme="0"/>
      </bottom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theme="1"/>
      </bottom>
    </border>
    <border>
      <left style="thin">
        <color rgb="FFFFFFFF"/>
      </left>
      <right/>
      <top style="thin">
        <color rgb="FFFFFFFF"/>
      </top>
      <bottom style="medium">
        <color theme="1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27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2" fillId="2" fontId="4" numFmtId="17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/>
    </xf>
    <xf borderId="1" fillId="2" fontId="5" numFmtId="0" xfId="0" applyAlignment="1" applyBorder="1" applyFont="1">
      <alignment vertical="center"/>
    </xf>
    <xf borderId="5" fillId="2" fontId="6" numFmtId="0" xfId="0" applyAlignment="1" applyBorder="1" applyFont="1">
      <alignment horizontal="center" vertical="center"/>
    </xf>
    <xf borderId="6" fillId="0" fontId="3" numFmtId="0" xfId="0" applyBorder="1" applyFont="1"/>
    <xf borderId="5" fillId="2" fontId="7" numFmtId="0" xfId="0" applyAlignment="1" applyBorder="1" applyFont="1">
      <alignment horizontal="center" vertical="center"/>
    </xf>
    <xf borderId="5" fillId="2" fontId="8" numFmtId="0" xfId="0" applyAlignment="1" applyBorder="1" applyFont="1">
      <alignment horizontal="center" vertical="center"/>
    </xf>
    <xf borderId="7" fillId="3" fontId="9" numFmtId="0" xfId="0" applyBorder="1" applyFill="1" applyFont="1"/>
    <xf borderId="7" fillId="3" fontId="1" numFmtId="164" xfId="0" applyBorder="1" applyFont="1" applyNumberFormat="1"/>
    <xf borderId="1" fillId="2" fontId="1" numFmtId="164" xfId="0" applyBorder="1" applyFont="1" applyNumberFormat="1"/>
    <xf borderId="7" fillId="4" fontId="1" numFmtId="0" xfId="0" applyAlignment="1" applyBorder="1" applyFill="1" applyFont="1">
      <alignment horizontal="center"/>
    </xf>
    <xf borderId="7" fillId="5" fontId="1" numFmtId="164" xfId="0" applyAlignment="1" applyBorder="1" applyFill="1" applyFont="1" applyNumberFormat="1">
      <alignment readingOrder="0"/>
    </xf>
    <xf borderId="7" fillId="6" fontId="1" numFmtId="164" xfId="0" applyAlignment="1" applyBorder="1" applyFill="1" applyFont="1" applyNumberFormat="1">
      <alignment readingOrder="0"/>
    </xf>
    <xf borderId="7" fillId="6" fontId="1" numFmtId="164" xfId="0" applyBorder="1" applyFont="1" applyNumberFormat="1"/>
    <xf borderId="7" fillId="7" fontId="1" numFmtId="164" xfId="0" applyAlignment="1" applyBorder="1" applyFill="1" applyFont="1" applyNumberFormat="1">
      <alignment readingOrder="0"/>
    </xf>
    <xf borderId="8" fillId="7" fontId="1" numFmtId="164" xfId="0" applyAlignment="1" applyBorder="1" applyFont="1" applyNumberFormat="1">
      <alignment readingOrder="0"/>
    </xf>
    <xf borderId="1" fillId="8" fontId="10" numFmtId="0" xfId="0" applyBorder="1" applyFill="1" applyFont="1"/>
    <xf borderId="1" fillId="2" fontId="9" numFmtId="164" xfId="0" applyBorder="1" applyFont="1" applyNumberFormat="1"/>
    <xf borderId="1" fillId="2" fontId="11" numFmtId="0" xfId="0" applyBorder="1" applyFont="1"/>
    <xf borderId="1" fillId="2" fontId="10" numFmtId="165" xfId="0" applyBorder="1" applyFont="1" applyNumberFormat="1"/>
    <xf borderId="7" fillId="3" fontId="1" numFmtId="0" xfId="0" applyBorder="1" applyFont="1"/>
    <xf borderId="1" fillId="2" fontId="1" numFmtId="165" xfId="0" applyBorder="1" applyFont="1" applyNumberFormat="1"/>
    <xf borderId="1" fillId="2" fontId="10" numFmtId="14" xfId="0" applyBorder="1" applyFont="1" applyNumberFormat="1"/>
    <xf borderId="1" fillId="2" fontId="10" numFmtId="164" xfId="0" applyBorder="1" applyFont="1" applyNumberFormat="1"/>
    <xf borderId="8" fillId="7" fontId="1" numFmtId="164" xfId="0" applyBorder="1" applyFont="1" applyNumberFormat="1"/>
    <xf borderId="7" fillId="3" fontId="12" numFmtId="164" xfId="0" applyBorder="1" applyFont="1" applyNumberFormat="1"/>
    <xf borderId="1" fillId="2" fontId="1" numFmtId="164" xfId="0" applyAlignment="1" applyBorder="1" applyFont="1" applyNumberFormat="1">
      <alignment horizontal="center"/>
    </xf>
    <xf borderId="9" fillId="5" fontId="1" numFmtId="164" xfId="0" applyBorder="1" applyFont="1" applyNumberFormat="1"/>
    <xf borderId="10" fillId="0" fontId="3" numFmtId="0" xfId="0" applyBorder="1" applyFont="1"/>
    <xf borderId="9" fillId="6" fontId="1" numFmtId="164" xfId="0" applyBorder="1" applyFont="1" applyNumberFormat="1"/>
    <xf borderId="9" fillId="7" fontId="1" numFmtId="164" xfId="0" applyAlignment="1" applyBorder="1" applyFont="1" applyNumberFormat="1">
      <alignment horizontal="center"/>
    </xf>
    <xf borderId="7" fillId="5" fontId="1" numFmtId="164" xfId="0" applyBorder="1" applyFont="1" applyNumberFormat="1"/>
    <xf borderId="7" fillId="7" fontId="1" numFmtId="164" xfId="0" applyBorder="1" applyFont="1" applyNumberFormat="1"/>
    <xf borderId="1" fillId="9" fontId="1" numFmtId="0" xfId="0" applyAlignment="1" applyBorder="1" applyFill="1" applyFont="1">
      <alignment horizontal="center"/>
    </xf>
    <xf borderId="1" fillId="8" fontId="1" numFmtId="0" xfId="0" applyBorder="1" applyFont="1"/>
    <xf borderId="1" fillId="2" fontId="1" numFmtId="0" xfId="0" applyAlignment="1" applyBorder="1" applyFont="1">
      <alignment readingOrder="0"/>
    </xf>
    <xf borderId="1" fillId="8" fontId="13" numFmtId="164" xfId="0" applyAlignment="1" applyBorder="1" applyFont="1" applyNumberFormat="1">
      <alignment horizontal="center"/>
    </xf>
    <xf borderId="1" fillId="8" fontId="14" numFmtId="164" xfId="0" applyBorder="1" applyFont="1" applyNumberFormat="1"/>
    <xf borderId="11" fillId="4" fontId="1" numFmtId="0" xfId="0" applyAlignment="1" applyBorder="1" applyFont="1">
      <alignment horizontal="center"/>
    </xf>
    <xf borderId="11" fillId="5" fontId="1" numFmtId="164" xfId="0" applyBorder="1" applyFont="1" applyNumberFormat="1"/>
    <xf borderId="11" fillId="6" fontId="1" numFmtId="164" xfId="0" applyBorder="1" applyFont="1" applyNumberFormat="1"/>
    <xf borderId="11" fillId="7" fontId="1" numFmtId="164" xfId="0" applyAlignment="1" applyBorder="1" applyFont="1" applyNumberFormat="1">
      <alignment readingOrder="0"/>
    </xf>
    <xf borderId="12" fillId="7" fontId="1" numFmtId="164" xfId="0" applyBorder="1" applyFont="1" applyNumberFormat="1"/>
    <xf borderId="1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1" fillId="4" fontId="1" numFmtId="0" xfId="0" applyBorder="1" applyFont="1"/>
    <xf borderId="1" fillId="5" fontId="1" numFmtId="0" xfId="0" applyBorder="1" applyFont="1"/>
    <xf borderId="13" fillId="5" fontId="1" numFmtId="164" xfId="0" applyBorder="1" applyFont="1" applyNumberFormat="1"/>
    <xf borderId="1" fillId="6" fontId="1" numFmtId="0" xfId="0" applyBorder="1" applyFont="1"/>
    <xf borderId="13" fillId="6" fontId="1" numFmtId="164" xfId="0" applyBorder="1" applyFont="1" applyNumberFormat="1"/>
    <xf borderId="1" fillId="7" fontId="1" numFmtId="0" xfId="0" applyBorder="1" applyFont="1"/>
    <xf borderId="13" fillId="7" fontId="1" numFmtId="164" xfId="0" applyBorder="1" applyFont="1" applyNumberFormat="1"/>
    <xf borderId="1" fillId="3" fontId="1" numFmtId="0" xfId="0" applyBorder="1" applyFont="1"/>
    <xf borderId="7" fillId="3" fontId="11" numFmtId="164" xfId="0" applyBorder="1" applyFont="1" applyNumberFormat="1"/>
    <xf borderId="7" fillId="3" fontId="15" numFmtId="0" xfId="0" applyAlignment="1" applyBorder="1" applyFont="1">
      <alignment readingOrder="0"/>
    </xf>
    <xf borderId="1" fillId="10" fontId="1" numFmtId="0" xfId="0" applyBorder="1" applyFill="1" applyFont="1"/>
    <xf borderId="1" fillId="10" fontId="1" numFmtId="164" xfId="0" applyBorder="1" applyFont="1" applyNumberFormat="1"/>
    <xf borderId="1" fillId="10" fontId="11" numFmtId="164" xfId="0" applyBorder="1" applyFont="1" applyNumberFormat="1"/>
    <xf borderId="1" fillId="10" fontId="14" numFmtId="164" xfId="0" applyBorder="1" applyFont="1" applyNumberFormat="1"/>
    <xf borderId="1" fillId="2" fontId="1" numFmtId="0" xfId="0" applyAlignment="1" applyBorder="1" applyFont="1">
      <alignment shrinkToFit="0" wrapText="1"/>
    </xf>
    <xf borderId="1" fillId="2" fontId="11" numFmtId="164" xfId="0" applyBorder="1" applyFont="1" applyNumberFormat="1"/>
    <xf borderId="1" fillId="2" fontId="14" numFmtId="164" xfId="0" applyBorder="1" applyFont="1" applyNumberFormat="1"/>
    <xf borderId="14" fillId="2" fontId="16" numFmtId="0" xfId="0" applyAlignment="1" applyBorder="1" applyFont="1">
      <alignment vertical="center"/>
    </xf>
    <xf borderId="1" fillId="8" fontId="1" numFmtId="164" xfId="0" applyBorder="1" applyFont="1" applyNumberFormat="1"/>
    <xf borderId="1" fillId="8" fontId="11" numFmtId="164" xfId="0" applyBorder="1" applyFont="1" applyNumberFormat="1"/>
    <xf borderId="2" fillId="2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6" fillId="0" fontId="3" numFmtId="0" xfId="0" applyBorder="1" applyFont="1"/>
    <xf borderId="1" fillId="2" fontId="9" numFmtId="0" xfId="0" applyBorder="1" applyFont="1"/>
    <xf borderId="7" fillId="11" fontId="10" numFmtId="0" xfId="0" applyAlignment="1" applyBorder="1" applyFill="1" applyFont="1">
      <alignment horizontal="center"/>
    </xf>
    <xf borderId="8" fillId="11" fontId="17" numFmtId="164" xfId="0" applyAlignment="1" applyBorder="1" applyFont="1" applyNumberFormat="1">
      <alignment horizontal="center" readingOrder="0"/>
    </xf>
    <xf borderId="17" fillId="12" fontId="1" numFmtId="0" xfId="0" applyAlignment="1" applyBorder="1" applyFill="1" applyFont="1">
      <alignment horizontal="center"/>
    </xf>
    <xf borderId="17" fillId="12" fontId="11" numFmtId="164" xfId="0" applyAlignment="1" applyBorder="1" applyFont="1" applyNumberFormat="1">
      <alignment horizontal="center"/>
    </xf>
    <xf borderId="17" fillId="12" fontId="11" numFmtId="0" xfId="0" applyBorder="1" applyFont="1"/>
    <xf borderId="17" fillId="9" fontId="18" numFmtId="14" xfId="0" applyAlignment="1" applyBorder="1" applyFont="1" applyNumberFormat="1">
      <alignment readingOrder="0"/>
    </xf>
    <xf borderId="18" fillId="9" fontId="19" numFmtId="166" xfId="0" applyAlignment="1" applyBorder="1" applyFont="1" applyNumberFormat="1">
      <alignment horizontal="center"/>
    </xf>
    <xf borderId="19" fillId="0" fontId="3" numFmtId="0" xfId="0" applyBorder="1" applyFont="1"/>
    <xf borderId="18" fillId="9" fontId="19" numFmtId="0" xfId="0" applyAlignment="1" applyBorder="1" applyFont="1">
      <alignment horizontal="center" readingOrder="0"/>
    </xf>
    <xf borderId="20" fillId="0" fontId="3" numFmtId="0" xfId="0" applyBorder="1" applyFont="1"/>
    <xf borderId="8" fillId="11" fontId="17" numFmtId="164" xfId="0" applyAlignment="1" applyBorder="1" applyFont="1" applyNumberFormat="1">
      <alignment horizontal="center"/>
    </xf>
    <xf borderId="17" fillId="12" fontId="11" numFmtId="164" xfId="0" applyBorder="1" applyFont="1" applyNumberFormat="1"/>
    <xf borderId="18" fillId="9" fontId="18" numFmtId="0" xfId="0" applyAlignment="1" applyBorder="1" applyFont="1">
      <alignment horizontal="center" readingOrder="0"/>
    </xf>
    <xf borderId="17" fillId="12" fontId="20" numFmtId="164" xfId="0" applyAlignment="1" applyBorder="1" applyFont="1" applyNumberFormat="1">
      <alignment vertical="center"/>
    </xf>
    <xf borderId="1" fillId="2" fontId="21" numFmtId="164" xfId="0" applyBorder="1" applyFont="1" applyNumberFormat="1"/>
    <xf borderId="1" fillId="2" fontId="1" numFmtId="0" xfId="0" applyAlignment="1" applyBorder="1" applyFont="1">
      <alignment horizontal="center" readingOrder="0"/>
    </xf>
    <xf borderId="17" fillId="9" fontId="18" numFmtId="14" xfId="0" applyAlignment="1" applyBorder="1" applyFont="1" applyNumberFormat="1">
      <alignment horizontal="center"/>
    </xf>
    <xf borderId="18" fillId="9" fontId="22" numFmtId="0" xfId="0" applyAlignment="1" applyBorder="1" applyFont="1">
      <alignment horizontal="center"/>
    </xf>
    <xf borderId="17" fillId="2" fontId="1" numFmtId="0" xfId="0" applyBorder="1" applyFont="1"/>
    <xf borderId="21" fillId="2" fontId="1" numFmtId="0" xfId="0" applyBorder="1" applyFont="1"/>
    <xf borderId="17" fillId="2" fontId="23" numFmtId="164" xfId="0" applyBorder="1" applyFont="1" applyNumberFormat="1"/>
    <xf borderId="17" fillId="9" fontId="24" numFmtId="14" xfId="0" applyBorder="1" applyFont="1" applyNumberFormat="1"/>
    <xf borderId="18" fillId="9" fontId="25" numFmtId="0" xfId="0" applyAlignment="1" applyBorder="1" applyFont="1">
      <alignment horizontal="center"/>
    </xf>
    <xf borderId="7" fillId="11" fontId="17" numFmtId="164" xfId="0" applyAlignment="1" applyBorder="1" applyFont="1" applyNumberFormat="1">
      <alignment horizontal="center"/>
    </xf>
    <xf borderId="1" fillId="8" fontId="26" numFmtId="14" xfId="0" applyAlignment="1" applyBorder="1" applyFont="1" applyNumberFormat="1">
      <alignment horizontal="center"/>
    </xf>
    <xf borderId="17" fillId="9" fontId="18" numFmtId="14" xfId="0" applyBorder="1" applyFont="1" applyNumberFormat="1"/>
    <xf borderId="17" fillId="8" fontId="1" numFmtId="0" xfId="0" applyBorder="1" applyFont="1"/>
    <xf borderId="22" fillId="2" fontId="1" numFmtId="0" xfId="0" applyBorder="1" applyFont="1"/>
    <xf borderId="17" fillId="8" fontId="27" numFmtId="164" xfId="0" applyAlignment="1" applyBorder="1" applyFont="1" applyNumberFormat="1">
      <alignment horizontal="center"/>
    </xf>
    <xf borderId="23" fillId="8" fontId="14" numFmtId="164" xfId="0" applyBorder="1" applyFont="1" applyNumberFormat="1"/>
    <xf borderId="18" fillId="9" fontId="19" numFmtId="0" xfId="0" applyAlignment="1" applyBorder="1" applyFont="1">
      <alignment horizontal="center"/>
    </xf>
    <xf borderId="17" fillId="8" fontId="26" numFmtId="14" xfId="0" applyAlignment="1" applyBorder="1" applyFont="1" applyNumberFormat="1">
      <alignment horizontal="center"/>
    </xf>
    <xf borderId="23" fillId="8" fontId="9" numFmtId="164" xfId="0" applyBorder="1" applyFont="1" applyNumberFormat="1"/>
    <xf borderId="17" fillId="8" fontId="28" numFmtId="14" xfId="0" applyBorder="1" applyFont="1" applyNumberFormat="1"/>
    <xf borderId="17" fillId="2" fontId="28" numFmtId="0" xfId="0" applyBorder="1" applyFont="1"/>
    <xf borderId="17" fillId="8" fontId="14" numFmtId="164" xfId="0" applyBorder="1" applyFont="1" applyNumberFormat="1"/>
    <xf borderId="22" fillId="8" fontId="14" numFmtId="164" xfId="0" applyBorder="1" applyFont="1" applyNumberFormat="1"/>
    <xf borderId="1" fillId="8" fontId="10" numFmtId="164" xfId="0" applyBorder="1" applyFont="1" applyNumberFormat="1"/>
    <xf borderId="1" fillId="8" fontId="9" numFmtId="0" xfId="0" applyBorder="1" applyFont="1"/>
    <xf borderId="21" fillId="8" fontId="9" numFmtId="164" xfId="0" applyBorder="1" applyFont="1" applyNumberFormat="1"/>
    <xf borderId="21" fillId="8" fontId="14" numFmtId="164" xfId="0" applyBorder="1" applyFont="1" applyNumberFormat="1"/>
    <xf borderId="1" fillId="8" fontId="14" numFmtId="0" xfId="0" applyBorder="1" applyFont="1"/>
    <xf borderId="23" fillId="8" fontId="18" numFmtId="0" xfId="0" applyBorder="1" applyFont="1"/>
    <xf borderId="24" fillId="13" fontId="1" numFmtId="0" xfId="0" applyAlignment="1" applyBorder="1" applyFill="1" applyFont="1">
      <alignment horizontal="center"/>
    </xf>
    <xf borderId="25" fillId="13" fontId="1" numFmtId="0" xfId="0" applyAlignment="1" applyBorder="1" applyFont="1">
      <alignment horizontal="center"/>
    </xf>
    <xf borderId="25" fillId="13" fontId="1" numFmtId="0" xfId="0" applyAlignment="1" applyBorder="1" applyFont="1">
      <alignment horizontal="center" readingOrder="0"/>
    </xf>
    <xf borderId="25" fillId="13" fontId="10" numFmtId="164" xfId="0" applyAlignment="1" applyBorder="1" applyFont="1" applyNumberFormat="1">
      <alignment horizontal="center"/>
    </xf>
    <xf borderId="26" fillId="13" fontId="10" numFmtId="164" xfId="0" applyAlignment="1" applyBorder="1" applyFont="1" applyNumberFormat="1">
      <alignment horizontal="center"/>
    </xf>
    <xf borderId="24" fillId="13" fontId="10" numFmtId="164" xfId="0" applyAlignment="1" applyBorder="1" applyFont="1" applyNumberFormat="1">
      <alignment horizontal="center"/>
    </xf>
    <xf borderId="23" fillId="8" fontId="17" numFmtId="0" xfId="0" applyBorder="1" applyFont="1"/>
    <xf borderId="22" fillId="14" fontId="10" numFmtId="167" xfId="0" applyAlignment="1" applyBorder="1" applyFill="1" applyFont="1" applyNumberFormat="1">
      <alignment horizontal="center"/>
    </xf>
    <xf borderId="22" fillId="5" fontId="1" numFmtId="164" xfId="0" applyBorder="1" applyFont="1" applyNumberFormat="1"/>
    <xf borderId="27" fillId="5" fontId="1" numFmtId="164" xfId="0" applyBorder="1" applyFont="1" applyNumberFormat="1"/>
    <xf borderId="27" fillId="5" fontId="1" numFmtId="10" xfId="0" applyAlignment="1" applyBorder="1" applyFont="1" applyNumberFormat="1">
      <alignment horizontal="center"/>
    </xf>
    <xf borderId="27" fillId="5" fontId="10" numFmtId="164" xfId="0" applyBorder="1" applyFont="1" applyNumberFormat="1"/>
    <xf borderId="22" fillId="15" fontId="14" numFmtId="164" xfId="0" applyBorder="1" applyFill="1" applyFont="1" applyNumberFormat="1"/>
    <xf borderId="28" fillId="15" fontId="10" numFmtId="167" xfId="0" applyBorder="1" applyFont="1" applyNumberFormat="1"/>
    <xf borderId="17" fillId="5" fontId="1" numFmtId="164" xfId="0" applyBorder="1" applyFont="1" applyNumberFormat="1"/>
    <xf borderId="29" fillId="5" fontId="1" numFmtId="164" xfId="0" applyBorder="1" applyFont="1" applyNumberFormat="1"/>
    <xf borderId="23" fillId="8" fontId="29" numFmtId="0" xfId="0" applyAlignment="1" applyBorder="1" applyFont="1">
      <alignment readingOrder="0"/>
    </xf>
    <xf borderId="17" fillId="14" fontId="10" numFmtId="167" xfId="0" applyAlignment="1" applyBorder="1" applyFont="1" applyNumberFormat="1">
      <alignment horizontal="center"/>
    </xf>
    <xf borderId="23" fillId="5" fontId="9" numFmtId="164" xfId="0" applyBorder="1" applyFont="1" applyNumberFormat="1"/>
    <xf borderId="1" fillId="15" fontId="14" numFmtId="164" xfId="0" applyBorder="1" applyFont="1" applyNumberFormat="1"/>
    <xf borderId="1" fillId="8" fontId="30" numFmtId="164" xfId="0" applyBorder="1" applyFont="1" applyNumberFormat="1"/>
    <xf borderId="30" fillId="11" fontId="10" numFmtId="0" xfId="0" applyAlignment="1" applyBorder="1" applyFont="1">
      <alignment horizontal="center"/>
    </xf>
    <xf borderId="31" fillId="11" fontId="17" numFmtId="164" xfId="0" applyAlignment="1" applyBorder="1" applyFont="1" applyNumberFormat="1">
      <alignment horizontal="center"/>
    </xf>
    <xf borderId="23" fillId="8" fontId="1" numFmtId="164" xfId="0" applyBorder="1" applyFont="1" applyNumberFormat="1"/>
    <xf borderId="1" fillId="8" fontId="21" numFmtId="164" xfId="0" applyBorder="1" applyFont="1" applyNumberFormat="1"/>
    <xf borderId="32" fillId="11" fontId="1" numFmtId="164" xfId="0" applyAlignment="1" applyBorder="1" applyFont="1" applyNumberFormat="1">
      <alignment horizontal="center" readingOrder="0"/>
    </xf>
    <xf borderId="32" fillId="11" fontId="31" numFmtId="164" xfId="0" applyAlignment="1" applyBorder="1" applyFont="1" applyNumberFormat="1">
      <alignment horizontal="center"/>
    </xf>
    <xf borderId="23" fillId="5" fontId="1" numFmtId="164" xfId="0" applyBorder="1" applyFont="1" applyNumberFormat="1"/>
    <xf borderId="1" fillId="15" fontId="26" numFmtId="164" xfId="0" applyBorder="1" applyFont="1" applyNumberFormat="1"/>
    <xf borderId="32" fillId="11" fontId="1" numFmtId="164" xfId="0" applyAlignment="1" applyBorder="1" applyFont="1" applyNumberFormat="1">
      <alignment horizontal="center"/>
    </xf>
    <xf borderId="1" fillId="15" fontId="1" numFmtId="164" xfId="0" applyBorder="1" applyFont="1" applyNumberFormat="1"/>
    <xf borderId="1" fillId="8" fontId="32" numFmtId="164" xfId="0" applyBorder="1" applyFont="1" applyNumberFormat="1"/>
    <xf borderId="1" fillId="15" fontId="1" numFmtId="0" xfId="0" applyBorder="1" applyFont="1"/>
    <xf borderId="1" fillId="8" fontId="10" numFmtId="165" xfId="0" applyAlignment="1" applyBorder="1" applyFont="1" applyNumberFormat="1">
      <alignment readingOrder="0"/>
    </xf>
    <xf borderId="17" fillId="14" fontId="1" numFmtId="167" xfId="0" applyAlignment="1" applyBorder="1" applyFont="1" applyNumberFormat="1">
      <alignment horizontal="center"/>
    </xf>
    <xf borderId="23" fillId="5" fontId="1" numFmtId="164" xfId="0" applyAlignment="1" applyBorder="1" applyFont="1" applyNumberFormat="1">
      <alignment readingOrder="0"/>
    </xf>
    <xf borderId="33" fillId="15" fontId="10" numFmtId="167" xfId="0" applyBorder="1" applyFont="1" applyNumberFormat="1"/>
    <xf borderId="34" fillId="5" fontId="1" numFmtId="164" xfId="0" applyBorder="1" applyFont="1" applyNumberFormat="1"/>
    <xf borderId="35" fillId="5" fontId="1" numFmtId="164" xfId="0" applyBorder="1" applyFont="1" applyNumberFormat="1"/>
    <xf borderId="1" fillId="2" fontId="1" numFmtId="10" xfId="0" applyBorder="1" applyFont="1" applyNumberFormat="1"/>
    <xf quotePrefix="1" borderId="1" fillId="2" fontId="10" numFmtId="165" xfId="0" applyBorder="1" applyFont="1" applyNumberFormat="1"/>
    <xf borderId="1" fillId="8" fontId="10" numFmtId="165" xfId="0" applyBorder="1" applyFont="1" applyNumberFormat="1"/>
    <xf borderId="17" fillId="15" fontId="10" numFmtId="167" xfId="0" applyBorder="1" applyFont="1" applyNumberFormat="1"/>
    <xf borderId="17" fillId="15" fontId="1" numFmtId="165" xfId="0" applyBorder="1" applyFont="1" applyNumberFormat="1"/>
    <xf borderId="17" fillId="15" fontId="1" numFmtId="10" xfId="0" applyAlignment="1" applyBorder="1" applyFont="1" applyNumberFormat="1">
      <alignment horizontal="center"/>
    </xf>
    <xf borderId="23" fillId="15" fontId="21" numFmtId="164" xfId="0" applyBorder="1" applyFont="1" applyNumberFormat="1"/>
    <xf borderId="23" fillId="15" fontId="10" numFmtId="164" xfId="0" applyBorder="1" applyFont="1" applyNumberFormat="1"/>
    <xf borderId="1" fillId="15" fontId="10" numFmtId="165" xfId="0" applyBorder="1" applyFont="1" applyNumberFormat="1"/>
    <xf borderId="17" fillId="15" fontId="1" numFmtId="165" xfId="0" applyAlignment="1" applyBorder="1" applyFont="1" applyNumberFormat="1">
      <alignment readingOrder="0"/>
    </xf>
    <xf borderId="1" fillId="2" fontId="10" numFmtId="0" xfId="0" applyBorder="1" applyFont="1"/>
    <xf borderId="17" fillId="2" fontId="5" numFmtId="0" xfId="0" applyAlignment="1" applyBorder="1" applyFont="1">
      <alignment horizontal="left" vertical="center"/>
    </xf>
    <xf borderId="17" fillId="2" fontId="5" numFmtId="0" xfId="0" applyAlignment="1" applyBorder="1" applyFont="1">
      <alignment horizontal="center" vertical="center"/>
    </xf>
    <xf borderId="17" fillId="2" fontId="10" numFmtId="0" xfId="0" applyBorder="1" applyFont="1"/>
    <xf borderId="17" fillId="2" fontId="10" numFmtId="14" xfId="0" applyBorder="1" applyFont="1" applyNumberFormat="1"/>
    <xf borderId="17" fillId="2" fontId="10" numFmtId="164" xfId="0" applyBorder="1" applyFont="1" applyNumberFormat="1"/>
    <xf borderId="17" fillId="2" fontId="26" numFmtId="164" xfId="0" applyBorder="1" applyFont="1" applyNumberFormat="1"/>
    <xf borderId="1" fillId="2" fontId="26" numFmtId="164" xfId="0" applyBorder="1" applyFont="1" applyNumberFormat="1"/>
    <xf borderId="17" fillId="15" fontId="1" numFmtId="0" xfId="0" applyAlignment="1" applyBorder="1" applyFont="1">
      <alignment horizontal="center"/>
    </xf>
    <xf borderId="17" fillId="15" fontId="10" numFmtId="0" xfId="0" applyAlignment="1" applyBorder="1" applyFont="1">
      <alignment horizontal="center" vertical="center"/>
    </xf>
    <xf borderId="17" fillId="15" fontId="10" numFmtId="0" xfId="0" applyAlignment="1" applyBorder="1" applyFont="1">
      <alignment horizontal="center"/>
    </xf>
    <xf borderId="17" fillId="14" fontId="1" numFmtId="0" xfId="0" applyAlignment="1" applyBorder="1" applyFont="1">
      <alignment horizontal="left" vertical="center"/>
    </xf>
    <xf borderId="17" fillId="16" fontId="10" numFmtId="168" xfId="0" applyAlignment="1" applyBorder="1" applyFill="1" applyFont="1" applyNumberFormat="1">
      <alignment horizontal="center" vertical="center"/>
    </xf>
    <xf borderId="17" fillId="16" fontId="10" numFmtId="168" xfId="0" applyAlignment="1" applyBorder="1" applyFont="1" applyNumberFormat="1">
      <alignment horizontal="center"/>
    </xf>
    <xf borderId="17" fillId="16" fontId="1" numFmtId="168" xfId="0" applyAlignment="1" applyBorder="1" applyFont="1" applyNumberFormat="1">
      <alignment horizontal="center"/>
    </xf>
    <xf borderId="17" fillId="16" fontId="11" numFmtId="10" xfId="0" applyBorder="1" applyFont="1" applyNumberFormat="1"/>
    <xf borderId="17" fillId="14" fontId="10" numFmtId="0" xfId="0" applyAlignment="1" applyBorder="1" applyFont="1">
      <alignment horizontal="left" vertical="center"/>
    </xf>
    <xf borderId="17" fillId="2" fontId="10" numFmtId="168" xfId="0" applyBorder="1" applyFont="1" applyNumberFormat="1"/>
    <xf borderId="17" fillId="16" fontId="11" numFmtId="168" xfId="0" applyAlignment="1" applyBorder="1" applyFont="1" applyNumberFormat="1">
      <alignment horizontal="center" vertical="center"/>
    </xf>
    <xf borderId="17" fillId="16" fontId="17" numFmtId="168" xfId="0" applyAlignment="1" applyBorder="1" applyFont="1" applyNumberFormat="1">
      <alignment horizontal="center" vertical="center"/>
    </xf>
    <xf borderId="17" fillId="16" fontId="20" numFmtId="168" xfId="0" applyAlignment="1" applyBorder="1" applyFont="1" applyNumberFormat="1">
      <alignment horizontal="center" vertical="center"/>
    </xf>
    <xf borderId="17" fillId="16" fontId="17" numFmtId="10" xfId="0" applyAlignment="1" applyBorder="1" applyFont="1" applyNumberFormat="1">
      <alignment horizontal="center" vertical="center"/>
    </xf>
    <xf borderId="17" fillId="2" fontId="10" numFmtId="164" xfId="0" applyAlignment="1" applyBorder="1" applyFont="1" applyNumberFormat="1">
      <alignment horizontal="center" vertical="center"/>
    </xf>
    <xf borderId="17" fillId="2" fontId="10" numFmtId="169" xfId="0" applyAlignment="1" applyBorder="1" applyFont="1" applyNumberFormat="1">
      <alignment horizontal="center" vertical="center"/>
    </xf>
    <xf borderId="17" fillId="2" fontId="10" numFmtId="3" xfId="0" applyAlignment="1" applyBorder="1" applyFont="1" applyNumberFormat="1">
      <alignment horizontal="center" vertical="center"/>
    </xf>
    <xf borderId="17" fillId="2" fontId="10" numFmtId="3" xfId="0" applyAlignment="1" applyBorder="1" applyFont="1" applyNumberFormat="1">
      <alignment horizontal="center"/>
    </xf>
    <xf borderId="1" fillId="2" fontId="10" numFmtId="164" xfId="0" applyAlignment="1" applyBorder="1" applyFont="1" applyNumberFormat="1">
      <alignment horizontal="center"/>
    </xf>
    <xf borderId="1" fillId="2" fontId="10" numFmtId="169" xfId="0" applyAlignment="1" applyBorder="1" applyFont="1" applyNumberFormat="1">
      <alignment horizontal="center"/>
    </xf>
    <xf borderId="1" fillId="2" fontId="10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9" numFmtId="0" xfId="0" applyFont="1"/>
    <xf borderId="0" fillId="0" fontId="1" numFmtId="164" xfId="0" applyFont="1" applyNumberFormat="1"/>
    <xf borderId="0" fillId="0" fontId="1" numFmtId="0" xfId="0" applyFont="1"/>
    <xf borderId="0" fillId="0" fontId="11" numFmtId="0" xfId="0" applyFont="1"/>
    <xf borderId="0" fillId="0" fontId="11" numFmtId="164" xfId="0" applyFont="1" applyNumberFormat="1"/>
    <xf borderId="36" fillId="17" fontId="10" numFmtId="0" xfId="0" applyAlignment="1" applyBorder="1" applyFill="1" applyFont="1">
      <alignment horizontal="center" shrinkToFit="0" vertical="center" wrapText="1"/>
    </xf>
    <xf borderId="36" fillId="17" fontId="10" numFmtId="170" xfId="0" applyAlignment="1" applyBorder="1" applyFont="1" applyNumberFormat="1">
      <alignment horizontal="center" shrinkToFit="0" vertical="center" wrapText="1"/>
    </xf>
    <xf borderId="36" fillId="17" fontId="1" numFmtId="0" xfId="0" applyAlignment="1" applyBorder="1" applyFont="1">
      <alignment horizontal="center" shrinkToFit="0" vertical="center" wrapText="1"/>
    </xf>
    <xf borderId="37" fillId="17" fontId="1" numFmtId="165" xfId="0" applyAlignment="1" applyBorder="1" applyFont="1" applyNumberFormat="1">
      <alignment horizontal="center" shrinkToFit="0" vertical="center" wrapText="1"/>
    </xf>
    <xf borderId="1" fillId="17" fontId="1" numFmtId="0" xfId="0" applyAlignment="1" applyBorder="1" applyFont="1">
      <alignment horizontal="center" shrinkToFit="0" vertical="center" wrapText="1"/>
    </xf>
    <xf borderId="1" fillId="17" fontId="1" numFmtId="14" xfId="0" applyAlignment="1" applyBorder="1" applyFont="1" applyNumberFormat="1">
      <alignment horizontal="center" shrinkToFit="0" vertical="center" wrapText="1"/>
    </xf>
    <xf borderId="36" fillId="0" fontId="10" numFmtId="0" xfId="0" applyAlignment="1" applyBorder="1" applyFont="1">
      <alignment horizontal="center" vertical="center"/>
    </xf>
    <xf borderId="36" fillId="0" fontId="10" numFmtId="170" xfId="0" applyAlignment="1" applyBorder="1" applyFont="1" applyNumberFormat="1">
      <alignment horizontal="center" vertical="center"/>
    </xf>
    <xf borderId="36" fillId="0" fontId="10" numFmtId="164" xfId="0" applyAlignment="1" applyBorder="1" applyFont="1" applyNumberFormat="1">
      <alignment horizontal="center" vertical="center"/>
    </xf>
    <xf borderId="36" fillId="0" fontId="1" numFmtId="171" xfId="0" applyAlignment="1" applyBorder="1" applyFont="1" applyNumberFormat="1">
      <alignment horizontal="center" vertical="center"/>
    </xf>
    <xf borderId="38" fillId="0" fontId="1" numFmtId="169" xfId="0" applyAlignment="1" applyBorder="1" applyFont="1" applyNumberFormat="1">
      <alignment horizontal="center"/>
    </xf>
    <xf borderId="39" fillId="0" fontId="1" numFmtId="165" xfId="0" applyAlignment="1" applyBorder="1" applyFont="1" applyNumberFormat="1">
      <alignment horizontal="center"/>
    </xf>
    <xf borderId="40" fillId="0" fontId="1" numFmtId="169" xfId="0" applyAlignment="1" applyBorder="1" applyFont="1" applyNumberFormat="1">
      <alignment horizontal="center"/>
    </xf>
    <xf borderId="36" fillId="0" fontId="1" numFmtId="169" xfId="0" applyAlignment="1" applyBorder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9" numFmtId="169" xfId="0" applyAlignment="1" applyFont="1" applyNumberFormat="1">
      <alignment horizontal="center"/>
    </xf>
    <xf borderId="0" fillId="0" fontId="1" numFmtId="170" xfId="0" applyAlignment="1" applyFont="1" applyNumberFormat="1">
      <alignment horizontal="center"/>
    </xf>
    <xf borderId="36" fillId="0" fontId="10" numFmtId="171" xfId="0" applyAlignment="1" applyBorder="1" applyFont="1" applyNumberFormat="1">
      <alignment horizontal="center" vertical="center"/>
    </xf>
    <xf borderId="36" fillId="0" fontId="1" numFmtId="0" xfId="0" applyAlignment="1" applyBorder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0" numFmtId="171" xfId="0" applyAlignment="1" applyFont="1" applyNumberFormat="1">
      <alignment horizontal="center" vertical="center"/>
    </xf>
    <xf borderId="36" fillId="0" fontId="26" numFmtId="171" xfId="0" applyAlignment="1" applyBorder="1" applyFont="1" applyNumberFormat="1">
      <alignment horizontal="center" vertical="center"/>
    </xf>
    <xf borderId="36" fillId="0" fontId="1" numFmtId="170" xfId="0" applyAlignment="1" applyBorder="1" applyFont="1" applyNumberFormat="1">
      <alignment horizontal="center"/>
    </xf>
    <xf borderId="36" fillId="0" fontId="1" numFmtId="164" xfId="0" applyAlignment="1" applyBorder="1" applyFont="1" applyNumberFormat="1">
      <alignment horizontal="center"/>
    </xf>
    <xf borderId="0" fillId="0" fontId="33" numFmtId="0" xfId="0" applyAlignment="1" applyFont="1">
      <alignment horizontal="center" shrinkToFit="0" vertical="center" wrapText="1"/>
    </xf>
    <xf borderId="36" fillId="0" fontId="10" numFmtId="170" xfId="0" applyAlignment="1" applyBorder="1" applyFont="1" applyNumberFormat="1">
      <alignment horizontal="center"/>
    </xf>
    <xf borderId="0" fillId="0" fontId="10" numFmtId="171" xfId="0" applyAlignment="1" applyFont="1" applyNumberFormat="1">
      <alignment horizontal="center"/>
    </xf>
    <xf borderId="36" fillId="0" fontId="10" numFmtId="0" xfId="0" applyAlignment="1" applyBorder="1" applyFont="1">
      <alignment horizontal="center"/>
    </xf>
    <xf borderId="36" fillId="0" fontId="1" numFmtId="171" xfId="0" applyAlignment="1" applyBorder="1" applyFont="1" applyNumberFormat="1">
      <alignment horizontal="center"/>
    </xf>
    <xf borderId="36" fillId="0" fontId="1" numFmtId="0" xfId="0" applyAlignment="1" applyBorder="1" applyFont="1">
      <alignment horizontal="center" shrinkToFit="0" wrapText="1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0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Font="1" applyNumberFormat="1"/>
    <xf borderId="0" fillId="0" fontId="1" numFmtId="14" xfId="0" applyFont="1" applyNumberFormat="1"/>
    <xf borderId="0" fillId="0" fontId="12" numFmtId="0" xfId="0" applyAlignment="1" applyFont="1">
      <alignment horizontal="center"/>
    </xf>
    <xf borderId="0" fillId="0" fontId="12" numFmtId="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34" numFmtId="0" xfId="0" applyFont="1"/>
    <xf borderId="0" fillId="0" fontId="1" numFmtId="15" xfId="0" applyFont="1" applyNumberFormat="1"/>
    <xf borderId="0" fillId="0" fontId="1" numFmtId="168" xfId="0" applyFont="1" applyNumberFormat="1"/>
    <xf borderId="0" fillId="0" fontId="35" numFmtId="0" xfId="0" applyFont="1"/>
    <xf borderId="0" fillId="0" fontId="35" numFmtId="164" xfId="0" applyFont="1" applyNumberFormat="1"/>
    <xf borderId="0" fillId="0" fontId="1" numFmtId="0" xfId="0" applyAlignment="1" applyFont="1">
      <alignment shrinkToFit="0" wrapText="1"/>
    </xf>
    <xf borderId="0" fillId="0" fontId="36" numFmtId="168" xfId="0" applyFont="1" applyNumberFormat="1"/>
    <xf borderId="0" fillId="0" fontId="1" numFmtId="1" xfId="0" applyFont="1" applyNumberFormat="1"/>
    <xf borderId="0" fillId="0" fontId="1" numFmtId="9" xfId="0" applyFont="1" applyNumberFormat="1"/>
    <xf borderId="0" fillId="0" fontId="37" numFmtId="0" xfId="0" applyFont="1"/>
    <xf borderId="0" fillId="0" fontId="38" numFmtId="0" xfId="0" applyFont="1"/>
    <xf borderId="0" fillId="0" fontId="38" numFmtId="4" xfId="0" applyFont="1" applyNumberFormat="1"/>
    <xf borderId="0" fillId="0" fontId="21" numFmtId="4" xfId="0" applyFont="1" applyNumberFormat="1"/>
    <xf borderId="0" fillId="0" fontId="37" numFmtId="164" xfId="0" applyFont="1" applyNumberFormat="1"/>
    <xf borderId="0" fillId="0" fontId="39" numFmtId="0" xfId="0" applyFont="1"/>
    <xf borderId="0" fillId="0" fontId="40" numFmtId="0" xfId="0" applyFont="1"/>
    <xf borderId="0" fillId="0" fontId="40" numFmtId="164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9" numFmtId="4" xfId="0" applyAlignment="1" applyFont="1" applyNumberFormat="1">
      <alignment readingOrder="0"/>
    </xf>
    <xf borderId="0" fillId="0" fontId="40" numFmtId="0" xfId="0" applyAlignment="1" applyFont="1">
      <alignment readingOrder="0"/>
    </xf>
    <xf borderId="0" fillId="0" fontId="42" numFmtId="0" xfId="0" applyAlignment="1" applyFont="1">
      <alignment readingOrder="0" shrinkToFit="0" vertical="bottom" wrapText="0"/>
    </xf>
    <xf borderId="0" fillId="0" fontId="41" numFmtId="0" xfId="0" applyAlignment="1" applyFont="1">
      <alignment shrinkToFit="0" vertical="bottom" wrapText="0"/>
    </xf>
    <xf borderId="0" fillId="0" fontId="39" numFmtId="4" xfId="0" applyFont="1" applyNumberFormat="1"/>
    <xf borderId="0" fillId="0" fontId="11" numFmtId="4" xfId="0" applyAlignment="1" applyFont="1" applyNumberFormat="1">
      <alignment readingOrder="0"/>
    </xf>
    <xf borderId="0" fillId="0" fontId="43" numFmtId="0" xfId="0" applyAlignment="1" applyFont="1">
      <alignment vertical="bottom"/>
    </xf>
    <xf borderId="0" fillId="0" fontId="43" numFmtId="0" xfId="0" applyAlignment="1" applyFont="1">
      <alignment vertical="bottom"/>
    </xf>
    <xf borderId="0" fillId="0" fontId="43" numFmtId="4" xfId="0" applyAlignment="1" applyFont="1" applyNumberFormat="1">
      <alignment horizontal="right" vertical="bottom"/>
    </xf>
    <xf borderId="0" fillId="0" fontId="43" numFmtId="0" xfId="0" applyAlignment="1" applyFont="1">
      <alignment horizontal="right" vertical="bottom"/>
    </xf>
    <xf borderId="0" fillId="0" fontId="43" numFmtId="4" xfId="0" applyAlignment="1" applyFont="1" applyNumberFormat="1">
      <alignment horizontal="right" readingOrder="0" vertical="bottom"/>
    </xf>
    <xf borderId="0" fillId="0" fontId="43" numFmtId="0" xfId="0" applyAlignment="1" applyFont="1">
      <alignment vertical="bottom"/>
    </xf>
    <xf borderId="0" fillId="0" fontId="12" numFmtId="0" xfId="0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0" i="0" sz="1000">
                      <a:solidFill>
                        <a:srgbClr val="4F81B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0" i="0" sz="1000">
                      <a:solidFill>
                        <a:srgbClr val="C0504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0" i="0" sz="1000">
                      <a:solidFill>
                        <a:srgbClr val="9BBB59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Stocks!$A$9:$C$9</c:f>
            </c:strRef>
          </c:cat>
          <c:val>
            <c:numRef>
              <c:f>Stocks!$A$10:$C$10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i="0" sz="1000">
                      <a:solidFill>
                        <a:srgbClr val="4F81B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i="0" sz="1000">
                      <a:solidFill>
                        <a:srgbClr val="C0504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1" i="0" sz="1000">
                      <a:solidFill>
                        <a:srgbClr val="9BBB59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Stocks!$A$9:$C$9</c:f>
            </c:strRef>
          </c:cat>
          <c:val>
            <c:numRef>
              <c:f>Stocks!$A$10:$C$10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i="0" sz="1000">
                      <a:solidFill>
                        <a:srgbClr val="4F81B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i="0" sz="1000">
                      <a:solidFill>
                        <a:srgbClr val="C0504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1" i="0" sz="1000">
                      <a:solidFill>
                        <a:srgbClr val="9BBB59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txPr>
                <a:bodyPr/>
                <a:lstStyle/>
                <a:p>
                  <a:pPr lvl="0">
                    <a:defRPr b="1" i="0" sz="1000">
                      <a:solidFill>
                        <a:srgbClr val="8064A2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APR!$F$11:$I$11</c:f>
            </c:strRef>
          </c:cat>
          <c:val>
            <c:numRef>
              <c:f>APR!$F$12:$I$12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Big Portfolio of debt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i="0" sz="1000">
                      <a:solidFill>
                        <a:srgbClr val="4F81B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i="0" sz="1000">
                      <a:solidFill>
                        <a:srgbClr val="C0504D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1" i="0" sz="1000">
                      <a:solidFill>
                        <a:srgbClr val="9BBB59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txPr>
                <a:bodyPr/>
                <a:lstStyle/>
                <a:p>
                  <a:pPr lvl="0">
                    <a:defRPr b="1" i="0" sz="1000">
                      <a:solidFill>
                        <a:srgbClr val="8064A2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txPr>
                <a:bodyPr/>
                <a:lstStyle/>
                <a:p>
                  <a:pPr lvl="0">
                    <a:defRPr b="1" i="0" sz="1000">
                      <a:solidFill>
                        <a:srgbClr val="4BACC6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APR!$F$67:$J$67</c:f>
            </c:strRef>
          </c:cat>
          <c:val>
            <c:numRef>
              <c:f>APR!$F$68:$J$68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Assets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MAY!$F$11:$I$11</c:f>
            </c:strRef>
          </c:cat>
          <c:val>
            <c:numRef>
              <c:f>MAY!$F$12:$I$12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Debt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MAY!$F$69:$J$69</c:f>
            </c:strRef>
          </c:cat>
          <c:val>
            <c:numRef>
              <c:f>MAY!$F$70:$J$70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Assets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JUN!$F$12:$I$12</c:f>
            </c:strRef>
          </c:cat>
          <c:val>
            <c:numRef>
              <c:f>JUN!$F$13:$I$13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Debt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JUN!$F$70:$J$70</c:f>
            </c:strRef>
          </c:cat>
          <c:val>
            <c:numRef>
              <c:f>JUN!$F$71:$J$71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Assets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JUL!$F$12:$I$12</c:f>
            </c:strRef>
          </c:cat>
          <c:val>
            <c:numRef>
              <c:f>JUL!$F$13:$I$13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Debt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JUL!$F$72:$J$72</c:f>
            </c:strRef>
          </c:cat>
          <c:val>
            <c:numRef>
              <c:f>JUL!$F$73:$J$73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Assets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AUG!$F$12:$I$12</c:f>
            </c:strRef>
          </c:cat>
          <c:val>
            <c:numRef>
              <c:f>AUG!$F$13:$I$13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Debt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AUG!$F$72:$J$72</c:f>
            </c:strRef>
          </c:cat>
          <c:val>
            <c:numRef>
              <c:f>AUG!$F$73:$J$73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Assets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SEP!$F$12:$I$12</c:f>
            </c:strRef>
          </c:cat>
          <c:val>
            <c:numRef>
              <c:f>SEP!$F$13:$I$13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Debt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SEP!$F$74:$J$74</c:f>
            </c:strRef>
          </c:cat>
          <c:val>
            <c:numRef>
              <c:f>SEP!$F$75:$J$75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Assets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OCT!$F$12:$I$12</c:f>
            </c:strRef>
          </c:cat>
          <c:val>
            <c:numRef>
              <c:f>OCT!$F$13:$I$13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Big Portfolio of Debt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9029695818946884"/>
          <c:y val="0.23840334987028353"/>
          <c:w val="0.8138466673597697"/>
          <c:h val="0.647933366710664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OCT!$F$74:$J$74</c:f>
            </c:strRef>
          </c:cat>
          <c:val>
            <c:numRef>
              <c:f>OCT!$F$75:$J$75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</xdr:row>
      <xdr:rowOff>514350</xdr:rowOff>
    </xdr:from>
    <xdr:ext cx="685800" cy="685800"/>
    <xdr:pic>
      <xdr:nvPicPr>
        <xdr:cNvPr descr="Money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10</xdr:row>
      <xdr:rowOff>38100</xdr:rowOff>
    </xdr:from>
    <xdr:ext cx="4552950" cy="2695575"/>
    <xdr:graphicFrame>
      <xdr:nvGraphicFramePr>
        <xdr:cNvPr id="109704506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12</xdr:row>
      <xdr:rowOff>38100</xdr:rowOff>
    </xdr:from>
    <xdr:ext cx="5791200" cy="2657475"/>
    <xdr:graphicFrame>
      <xdr:nvGraphicFramePr>
        <xdr:cNvPr id="161499074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13</xdr:row>
      <xdr:rowOff>0</xdr:rowOff>
    </xdr:from>
    <xdr:ext cx="6457950" cy="3200400"/>
    <xdr:graphicFrame>
      <xdr:nvGraphicFramePr>
        <xdr:cNvPr id="147811647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68</xdr:row>
      <xdr:rowOff>171450</xdr:rowOff>
    </xdr:from>
    <xdr:ext cx="7305675" cy="3514725"/>
    <xdr:graphicFrame>
      <xdr:nvGraphicFramePr>
        <xdr:cNvPr id="105930677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15</xdr:row>
      <xdr:rowOff>0</xdr:rowOff>
    </xdr:from>
    <xdr:ext cx="6457950" cy="3200400"/>
    <xdr:graphicFrame>
      <xdr:nvGraphicFramePr>
        <xdr:cNvPr id="53995650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70</xdr:row>
      <xdr:rowOff>171450</xdr:rowOff>
    </xdr:from>
    <xdr:ext cx="7305675" cy="3514725"/>
    <xdr:graphicFrame>
      <xdr:nvGraphicFramePr>
        <xdr:cNvPr id="124990695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15</xdr:row>
      <xdr:rowOff>0</xdr:rowOff>
    </xdr:from>
    <xdr:ext cx="6457950" cy="3200400"/>
    <xdr:graphicFrame>
      <xdr:nvGraphicFramePr>
        <xdr:cNvPr id="1115647030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71</xdr:row>
      <xdr:rowOff>171450</xdr:rowOff>
    </xdr:from>
    <xdr:ext cx="7305675" cy="3514725"/>
    <xdr:graphicFrame>
      <xdr:nvGraphicFramePr>
        <xdr:cNvPr id="1051402337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15</xdr:row>
      <xdr:rowOff>0</xdr:rowOff>
    </xdr:from>
    <xdr:ext cx="6457950" cy="3200400"/>
    <xdr:graphicFrame>
      <xdr:nvGraphicFramePr>
        <xdr:cNvPr id="123781545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73</xdr:row>
      <xdr:rowOff>171450</xdr:rowOff>
    </xdr:from>
    <xdr:ext cx="7305675" cy="3514725"/>
    <xdr:graphicFrame>
      <xdr:nvGraphicFramePr>
        <xdr:cNvPr id="194730277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15</xdr:row>
      <xdr:rowOff>0</xdr:rowOff>
    </xdr:from>
    <xdr:ext cx="6457950" cy="3200400"/>
    <xdr:graphicFrame>
      <xdr:nvGraphicFramePr>
        <xdr:cNvPr id="1017241960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73</xdr:row>
      <xdr:rowOff>171450</xdr:rowOff>
    </xdr:from>
    <xdr:ext cx="7305675" cy="3514725"/>
    <xdr:graphicFrame>
      <xdr:nvGraphicFramePr>
        <xdr:cNvPr id="139420277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16</xdr:row>
      <xdr:rowOff>28575</xdr:rowOff>
    </xdr:from>
    <xdr:ext cx="6457950" cy="3200400"/>
    <xdr:graphicFrame>
      <xdr:nvGraphicFramePr>
        <xdr:cNvPr id="1503299590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75</xdr:row>
      <xdr:rowOff>171450</xdr:rowOff>
    </xdr:from>
    <xdr:ext cx="7305675" cy="3514725"/>
    <xdr:graphicFrame>
      <xdr:nvGraphicFramePr>
        <xdr:cNvPr id="1660736991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16</xdr:row>
      <xdr:rowOff>28575</xdr:rowOff>
    </xdr:from>
    <xdr:ext cx="6457950" cy="3200400"/>
    <xdr:graphicFrame>
      <xdr:nvGraphicFramePr>
        <xdr:cNvPr id="444765552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885825</xdr:colOff>
      <xdr:row>75</xdr:row>
      <xdr:rowOff>171450</xdr:rowOff>
    </xdr:from>
    <xdr:ext cx="7305675" cy="3514725"/>
    <xdr:graphicFrame>
      <xdr:nvGraphicFramePr>
        <xdr:cNvPr id="1234676230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3" width="16.0"/>
    <col customWidth="1" min="4" max="4" width="18.14"/>
    <col customWidth="1" min="5" max="5" width="11.29"/>
    <col customWidth="1" min="6" max="6" width="12.43"/>
    <col customWidth="1" min="7" max="7" width="12.14"/>
    <col customWidth="1" min="8" max="8" width="14.71"/>
    <col customWidth="1" min="10" max="10" width="11.57"/>
    <col customWidth="1" min="11" max="11" width="14.57"/>
    <col customWidth="1" min="12" max="12" width="13.14"/>
    <col customWidth="1" min="13" max="13" width="12.86"/>
    <col customWidth="1" min="14" max="14" width="18.43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5.25" customHeight="1">
      <c r="A2" s="2" t="s">
        <v>0</v>
      </c>
      <c r="B2" s="3"/>
      <c r="C2" s="3"/>
      <c r="D2" s="3"/>
      <c r="E2" s="3"/>
      <c r="F2" s="3"/>
      <c r="G2" s="4"/>
      <c r="H2" s="5">
        <v>45566.0</v>
      </c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6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7" t="s">
        <v>4</v>
      </c>
      <c r="B4" s="8" t="s">
        <v>5</v>
      </c>
      <c r="C4" s="9"/>
      <c r="D4" s="10" t="s">
        <v>6</v>
      </c>
      <c r="E4" s="9"/>
      <c r="F4" s="11" t="s">
        <v>7</v>
      </c>
      <c r="G4" s="9"/>
      <c r="H4" s="12" t="s">
        <v>8</v>
      </c>
      <c r="I4" s="13">
        <v>503.2</v>
      </c>
      <c r="J4" s="14">
        <f t="shared" ref="J4:J5" si="1">I4/6</f>
        <v>83.86666667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5" t="s">
        <v>9</v>
      </c>
      <c r="B5" s="16">
        <v>24.74</v>
      </c>
      <c r="C5" s="16">
        <v>40.36</v>
      </c>
      <c r="D5" s="17">
        <v>180.18</v>
      </c>
      <c r="E5" s="18"/>
      <c r="F5" s="19"/>
      <c r="G5" s="20"/>
      <c r="H5" s="12" t="s">
        <v>10</v>
      </c>
      <c r="I5" s="13">
        <v>618.2</v>
      </c>
      <c r="J5" s="14">
        <f t="shared" si="1"/>
        <v>103.0333333</v>
      </c>
      <c r="K5" s="21" t="s">
        <v>11</v>
      </c>
      <c r="L5" s="22">
        <v>2500.0</v>
      </c>
      <c r="M5" s="22"/>
      <c r="N5" s="14"/>
      <c r="O5" s="23"/>
      <c r="P5" s="23"/>
      <c r="Q5" s="14"/>
      <c r="R5" s="14"/>
      <c r="S5" s="14"/>
      <c r="T5" s="24"/>
      <c r="U5" s="1"/>
      <c r="V5" s="1"/>
      <c r="W5" s="1"/>
      <c r="X5" s="1"/>
      <c r="Y5" s="1"/>
      <c r="Z5" s="1"/>
    </row>
    <row r="6" ht="15.0" customHeight="1">
      <c r="A6" s="15" t="s">
        <v>9</v>
      </c>
      <c r="B6" s="16">
        <v>14.46</v>
      </c>
      <c r="C6" s="16">
        <v>44.65</v>
      </c>
      <c r="D6" s="17">
        <v>165.06</v>
      </c>
      <c r="E6" s="18"/>
      <c r="F6" s="19"/>
      <c r="G6" s="20"/>
      <c r="H6" s="25"/>
      <c r="I6" s="13">
        <f>SUM(I4:I5)</f>
        <v>1121.4</v>
      </c>
      <c r="J6" s="1"/>
      <c r="K6" s="21" t="s">
        <v>12</v>
      </c>
      <c r="L6" s="24">
        <v>5359.0</v>
      </c>
      <c r="M6" s="26"/>
      <c r="N6" s="27"/>
      <c r="O6" s="24" t="s">
        <v>13</v>
      </c>
      <c r="P6" s="24"/>
      <c r="Q6" s="24"/>
      <c r="R6" s="28"/>
      <c r="S6" s="1"/>
      <c r="T6" s="1"/>
      <c r="U6" s="24"/>
      <c r="V6" s="1"/>
      <c r="W6" s="1"/>
      <c r="X6" s="1"/>
      <c r="Y6" s="1"/>
      <c r="Z6" s="1"/>
    </row>
    <row r="7" ht="15.0" customHeight="1">
      <c r="A7" s="15" t="s">
        <v>9</v>
      </c>
      <c r="B7" s="16">
        <v>9.98</v>
      </c>
      <c r="C7" s="16">
        <f>26.88+10</f>
        <v>36.88</v>
      </c>
      <c r="D7" s="17">
        <v>16.36</v>
      </c>
      <c r="E7" s="18"/>
      <c r="F7" s="19"/>
      <c r="G7" s="29"/>
      <c r="H7" s="25" t="s">
        <v>14</v>
      </c>
      <c r="I7" s="13"/>
      <c r="J7" s="1"/>
      <c r="K7" s="21"/>
      <c r="L7" s="6" t="s">
        <v>15</v>
      </c>
      <c r="M7" s="26">
        <f>N5+L6</f>
        <v>5359</v>
      </c>
      <c r="N7" s="28"/>
      <c r="O7" s="24"/>
      <c r="P7" s="24"/>
      <c r="Q7" s="24"/>
      <c r="R7" s="28"/>
      <c r="S7" s="24"/>
      <c r="T7" s="24"/>
      <c r="U7" s="24"/>
      <c r="V7" s="1"/>
      <c r="W7" s="1"/>
      <c r="X7" s="1"/>
      <c r="Y7" s="1"/>
      <c r="Z7" s="1"/>
    </row>
    <row r="8" ht="15.0" customHeight="1">
      <c r="A8" s="15" t="s">
        <v>9</v>
      </c>
      <c r="B8" s="16">
        <v>33.71</v>
      </c>
      <c r="C8" s="16">
        <f>180.55+19.43</f>
        <v>199.98</v>
      </c>
      <c r="D8" s="18"/>
      <c r="E8" s="18"/>
      <c r="F8" s="19"/>
      <c r="G8" s="29"/>
      <c r="H8" s="25"/>
      <c r="I8" s="30">
        <f>SUM(I6:I7)</f>
        <v>1121.4</v>
      </c>
      <c r="J8" s="1"/>
      <c r="K8" s="21" t="s">
        <v>16</v>
      </c>
      <c r="L8" s="31">
        <v>5000.0</v>
      </c>
      <c r="M8" s="26" t="s">
        <v>17</v>
      </c>
      <c r="N8" s="28">
        <v>50.0</v>
      </c>
      <c r="O8" s="24" t="s">
        <v>18</v>
      </c>
      <c r="P8" s="24"/>
      <c r="Q8" s="24"/>
      <c r="R8" s="28"/>
      <c r="S8" s="24"/>
      <c r="T8" s="24"/>
      <c r="U8" s="24"/>
      <c r="V8" s="1"/>
      <c r="W8" s="1"/>
      <c r="X8" s="1"/>
      <c r="Y8" s="1"/>
      <c r="Z8" s="1"/>
    </row>
    <row r="9" ht="15.0" customHeight="1">
      <c r="A9" s="15" t="s">
        <v>19</v>
      </c>
      <c r="B9" s="32">
        <f>SUM(B5:C8)</f>
        <v>404.76</v>
      </c>
      <c r="C9" s="33"/>
      <c r="D9" s="34">
        <f>SUM(D5:E8)</f>
        <v>361.6</v>
      </c>
      <c r="E9" s="33"/>
      <c r="F9" s="35">
        <f>SUM(F5:G8)</f>
        <v>0</v>
      </c>
      <c r="G9" s="3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5" t="s">
        <v>20</v>
      </c>
      <c r="B10" s="16">
        <v>36.43</v>
      </c>
      <c r="C10" s="36"/>
      <c r="D10" s="18"/>
      <c r="E10" s="18"/>
      <c r="F10" s="37"/>
      <c r="G10" s="37"/>
      <c r="H10" s="38" t="s">
        <v>21</v>
      </c>
      <c r="I10" s="38" t="s">
        <v>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5" t="s">
        <v>23</v>
      </c>
      <c r="B11" s="16"/>
      <c r="C11" s="36"/>
      <c r="D11" s="18"/>
      <c r="E11" s="18"/>
      <c r="F11" s="37"/>
      <c r="G11" s="37"/>
      <c r="H11" s="14" t="s">
        <v>24</v>
      </c>
      <c r="I11" s="1"/>
      <c r="J11" s="1"/>
      <c r="K11" s="1"/>
      <c r="L11" s="1"/>
      <c r="M11" s="1"/>
      <c r="N11" s="1"/>
      <c r="O11" s="39"/>
      <c r="P11" s="39"/>
      <c r="Q11" s="39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5" t="s">
        <v>25</v>
      </c>
      <c r="B12" s="16">
        <v>32.21</v>
      </c>
      <c r="C12" s="16">
        <f>7.05+2</f>
        <v>9.05</v>
      </c>
      <c r="D12" s="18"/>
      <c r="E12" s="18"/>
      <c r="F12" s="37"/>
      <c r="G12" s="37"/>
      <c r="H12" s="1"/>
      <c r="I12" s="1"/>
      <c r="J12" s="1"/>
      <c r="K12" s="1"/>
      <c r="L12" s="1"/>
      <c r="M12" s="1"/>
      <c r="N12" s="1"/>
      <c r="O12" s="39"/>
      <c r="P12" s="39"/>
      <c r="Q12" s="39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5" t="s">
        <v>26</v>
      </c>
      <c r="B13" s="36"/>
      <c r="C13" s="36"/>
      <c r="D13" s="18"/>
      <c r="E13" s="18"/>
      <c r="F13" s="37">
        <v>24.99</v>
      </c>
      <c r="G13" s="37"/>
      <c r="H13" s="1"/>
      <c r="I13" s="1"/>
      <c r="J13" s="1"/>
      <c r="K13" s="1"/>
      <c r="L13" s="1"/>
      <c r="M13" s="1"/>
      <c r="N13" s="1"/>
      <c r="O13" s="39"/>
      <c r="P13" s="39"/>
      <c r="Q13" s="39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5" t="s">
        <v>27</v>
      </c>
      <c r="B14" s="36"/>
      <c r="C14" s="36"/>
      <c r="D14" s="18"/>
      <c r="E14" s="18"/>
      <c r="F14" s="19">
        <v>69.0</v>
      </c>
      <c r="G14" s="37"/>
      <c r="H14" s="40" t="s">
        <v>28</v>
      </c>
      <c r="I14" s="1"/>
      <c r="J14" s="1"/>
      <c r="K14" s="1"/>
      <c r="L14" s="1"/>
      <c r="M14" s="1"/>
      <c r="N14" s="1"/>
      <c r="O14" s="39"/>
      <c r="P14" s="41"/>
      <c r="Q14" s="39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5" t="s">
        <v>29</v>
      </c>
      <c r="B15" s="36"/>
      <c r="C15" s="36"/>
      <c r="D15" s="18"/>
      <c r="E15" s="18"/>
      <c r="F15" s="37">
        <v>22.99</v>
      </c>
      <c r="G15" s="29"/>
      <c r="H15" s="1"/>
      <c r="I15" s="1"/>
      <c r="J15" s="1"/>
      <c r="K15" s="1"/>
      <c r="L15" s="1"/>
      <c r="M15" s="1"/>
      <c r="N15" s="1"/>
      <c r="O15" s="39"/>
      <c r="P15" s="42"/>
      <c r="Q15" s="39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43" t="s">
        <v>30</v>
      </c>
      <c r="B16" s="44"/>
      <c r="C16" s="44"/>
      <c r="D16" s="45"/>
      <c r="E16" s="45"/>
      <c r="F16" s="46">
        <v>157.32</v>
      </c>
      <c r="G16" s="47"/>
      <c r="H16" s="48" t="s">
        <v>31</v>
      </c>
      <c r="I16" s="49" t="s">
        <v>32</v>
      </c>
      <c r="J16" s="4"/>
      <c r="K16" s="1"/>
      <c r="L16" s="1"/>
      <c r="M16" s="1"/>
      <c r="N16" s="1"/>
      <c r="O16" s="39"/>
      <c r="P16" s="42"/>
      <c r="Q16" s="39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50" t="s">
        <v>33</v>
      </c>
      <c r="B17" s="51"/>
      <c r="C17" s="52">
        <f>SUM(B10:C16,B9)</f>
        <v>482.45</v>
      </c>
      <c r="D17" s="53"/>
      <c r="E17" s="54">
        <f>SUM(D10:E16,D9)</f>
        <v>361.6</v>
      </c>
      <c r="F17" s="55"/>
      <c r="G17" s="56">
        <f>SUM(F10:G15,F9)</f>
        <v>116.98</v>
      </c>
      <c r="H17" s="13">
        <f>SUM(B9:G9)</f>
        <v>766.36</v>
      </c>
      <c r="I17" s="13">
        <f>C17+E17+G17</f>
        <v>961.03</v>
      </c>
      <c r="J17" s="25"/>
      <c r="K17" s="1"/>
      <c r="L17" s="1"/>
      <c r="M17" s="1"/>
      <c r="N17" s="1"/>
      <c r="O17" s="39"/>
      <c r="P17" s="42"/>
      <c r="Q17" s="39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57"/>
      <c r="B18" s="25" t="s">
        <v>34</v>
      </c>
      <c r="C18" s="13">
        <f>C17-I18</f>
        <v>162.1066667</v>
      </c>
      <c r="D18" s="25"/>
      <c r="E18" s="13">
        <f>E17-I18</f>
        <v>41.25666667</v>
      </c>
      <c r="F18" s="25"/>
      <c r="G18" s="13">
        <f>G17-I18</f>
        <v>-203.3633333</v>
      </c>
      <c r="H18" s="58">
        <f t="shared" ref="H18:I18" si="2">H17/3</f>
        <v>255.4533333</v>
      </c>
      <c r="I18" s="58">
        <f t="shared" si="2"/>
        <v>320.3433333</v>
      </c>
      <c r="J18" s="59" t="s">
        <v>35</v>
      </c>
      <c r="K18" s="1"/>
      <c r="L18" s="1"/>
      <c r="M18" s="1"/>
      <c r="N18" s="1"/>
      <c r="O18" s="39"/>
      <c r="P18" s="42"/>
      <c r="Q18" s="39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60"/>
      <c r="B19" s="60"/>
      <c r="C19" s="61">
        <f>57.1-600-C18</f>
        <v>-705.0066667</v>
      </c>
      <c r="D19" s="60" t="str">
        <f>FORMULATEXT(C19)</f>
        <v>=57.1-600-C18</v>
      </c>
      <c r="E19" s="61">
        <f>-250+39.82-E18-746.92</f>
        <v>-998.3566667</v>
      </c>
      <c r="F19" s="60" t="str">
        <f>FORMULATEXT(E19)</f>
        <v>=-250+39.82-E18-746.92</v>
      </c>
      <c r="G19" s="61"/>
      <c r="H19" s="62"/>
      <c r="I19" s="62"/>
      <c r="J19" s="60"/>
      <c r="K19" s="60"/>
      <c r="L19" s="60"/>
      <c r="M19" s="60"/>
      <c r="N19" s="60"/>
      <c r="O19" s="60"/>
      <c r="P19" s="63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26.25" customHeight="1">
      <c r="A20" s="1" t="s">
        <v>36</v>
      </c>
      <c r="B20" s="64" t="s">
        <v>37</v>
      </c>
      <c r="C20" s="14"/>
      <c r="D20" s="1"/>
      <c r="E20" s="14"/>
      <c r="F20" s="1"/>
      <c r="G20" s="14"/>
      <c r="H20" s="65"/>
      <c r="I20" s="65"/>
      <c r="J20" s="1"/>
      <c r="K20" s="1"/>
      <c r="L20" s="1"/>
      <c r="M20" s="1"/>
      <c r="N20" s="1"/>
      <c r="O20" s="1"/>
      <c r="P20" s="6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2.25" customHeight="1">
      <c r="A21" s="1"/>
      <c r="B21" s="1"/>
      <c r="C21" s="67" t="s">
        <v>38</v>
      </c>
      <c r="D21" s="14">
        <f>2400*2</f>
        <v>4800</v>
      </c>
      <c r="E21" s="68"/>
      <c r="F21" s="39"/>
      <c r="G21" s="68"/>
      <c r="H21" s="69"/>
      <c r="I21" s="69"/>
      <c r="J21" s="39"/>
      <c r="K21" s="39"/>
      <c r="L21" s="1"/>
      <c r="M21" s="1"/>
      <c r="N21" s="1"/>
      <c r="O21" s="39"/>
      <c r="P21" s="42"/>
      <c r="Q21" s="39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70" t="s">
        <v>39</v>
      </c>
      <c r="B22" s="4"/>
      <c r="C22" s="71" t="s">
        <v>40</v>
      </c>
      <c r="D22" s="72"/>
      <c r="E22" s="7" t="s">
        <v>41</v>
      </c>
      <c r="F22" s="1"/>
      <c r="G22" s="1"/>
      <c r="H22" s="1"/>
      <c r="I22" s="7" t="s">
        <v>42</v>
      </c>
      <c r="J22" s="7"/>
      <c r="K22" s="39"/>
      <c r="L22" s="39"/>
      <c r="M22" s="39"/>
      <c r="N22" s="1"/>
      <c r="O22" s="1"/>
      <c r="P22" s="1"/>
      <c r="Q22" s="1"/>
      <c r="R22" s="73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74" t="s">
        <v>43</v>
      </c>
      <c r="B23" s="75">
        <v>0.0</v>
      </c>
      <c r="C23" s="76" t="s">
        <v>44</v>
      </c>
      <c r="D23" s="77">
        <f>1150+437.67</f>
        <v>1587.67</v>
      </c>
      <c r="E23" s="78"/>
      <c r="F23" s="1"/>
      <c r="G23" s="1"/>
      <c r="H23" s="1"/>
      <c r="I23" s="79">
        <v>46082.0</v>
      </c>
      <c r="J23" s="80">
        <f t="shared" ref="J23:J29" si="3">TODAY()-I23</f>
        <v>-485</v>
      </c>
      <c r="K23" s="81"/>
      <c r="L23" s="82" t="s">
        <v>45</v>
      </c>
      <c r="M23" s="83"/>
      <c r="N23" s="8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4" t="s">
        <v>46</v>
      </c>
      <c r="B24" s="84">
        <v>-600.0</v>
      </c>
      <c r="C24" s="76" t="s">
        <v>47</v>
      </c>
      <c r="D24" s="77">
        <f>D23*2.17</f>
        <v>3445.2439</v>
      </c>
      <c r="E24" s="85">
        <f t="shared" ref="E24:E25" si="4">D24+B36</f>
        <v>1430.3839</v>
      </c>
      <c r="F24" s="14">
        <f>E24*0.9*12+(600*6)+(200*4)</f>
        <v>19848.14612</v>
      </c>
      <c r="G24" s="1"/>
      <c r="H24" s="1"/>
      <c r="I24" s="79">
        <v>46041.0</v>
      </c>
      <c r="J24" s="80">
        <f t="shared" si="3"/>
        <v>-444</v>
      </c>
      <c r="K24" s="81"/>
      <c r="L24" s="86" t="s">
        <v>48</v>
      </c>
      <c r="M24" s="83"/>
      <c r="N24" s="8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74" t="s">
        <v>49</v>
      </c>
      <c r="B25" s="84">
        <f>-I18</f>
        <v>-320.3433333</v>
      </c>
      <c r="C25" s="76" t="s">
        <v>50</v>
      </c>
      <c r="D25" s="77">
        <f>D23*26</f>
        <v>41279.42</v>
      </c>
      <c r="E25" s="87">
        <f t="shared" si="4"/>
        <v>17101.1</v>
      </c>
      <c r="F25" s="88">
        <f>E25*0.9+(600*6)+(200*6)</f>
        <v>20190.99</v>
      </c>
      <c r="G25" s="89" t="s">
        <v>51</v>
      </c>
      <c r="H25" s="1" t="s">
        <v>52</v>
      </c>
      <c r="I25" s="90"/>
      <c r="J25" s="80">
        <f t="shared" si="3"/>
        <v>45597</v>
      </c>
      <c r="K25" s="81"/>
      <c r="L25" s="91" t="s">
        <v>53</v>
      </c>
      <c r="M25" s="83"/>
      <c r="N25" s="8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74" t="s">
        <v>54</v>
      </c>
      <c r="B26" s="84">
        <v>-36.0</v>
      </c>
      <c r="C26" s="92"/>
      <c r="D26" s="93"/>
      <c r="E26" s="94"/>
      <c r="F26" s="88" t="s">
        <v>55</v>
      </c>
      <c r="G26" s="1">
        <v>1500.0</v>
      </c>
      <c r="H26" s="1">
        <v>942.0</v>
      </c>
      <c r="I26" s="95"/>
      <c r="J26" s="80">
        <f t="shared" si="3"/>
        <v>45597</v>
      </c>
      <c r="K26" s="81"/>
      <c r="L26" s="96" t="s">
        <v>56</v>
      </c>
      <c r="M26" s="83"/>
      <c r="N26" s="8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74" t="s">
        <v>57</v>
      </c>
      <c r="B27" s="97">
        <f>-(J4+70)</f>
        <v>-153.8666667</v>
      </c>
      <c r="C27" s="39"/>
      <c r="D27" s="1"/>
      <c r="E27" s="98"/>
      <c r="F27" s="42" t="s">
        <v>58</v>
      </c>
      <c r="G27" s="40">
        <v>3000.0</v>
      </c>
      <c r="H27" s="1"/>
      <c r="I27" s="99"/>
      <c r="J27" s="80">
        <f t="shared" si="3"/>
        <v>45597</v>
      </c>
      <c r="K27" s="81"/>
      <c r="L27" s="91" t="s">
        <v>59</v>
      </c>
      <c r="M27" s="83"/>
      <c r="N27" s="8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74" t="s">
        <v>60</v>
      </c>
      <c r="B28" s="84">
        <f>-2.17*2400*0.1</f>
        <v>-520.8</v>
      </c>
      <c r="C28" s="100"/>
      <c r="D28" s="101"/>
      <c r="E28" s="102"/>
      <c r="F28" s="103" t="s">
        <v>61</v>
      </c>
      <c r="G28" s="1">
        <v>1000.0</v>
      </c>
      <c r="H28" s="1">
        <v>795.0</v>
      </c>
      <c r="I28" s="99">
        <v>45778.0</v>
      </c>
      <c r="J28" s="80">
        <f t="shared" si="3"/>
        <v>-181</v>
      </c>
      <c r="K28" s="81"/>
      <c r="L28" s="104" t="s">
        <v>62</v>
      </c>
      <c r="M28" s="83"/>
      <c r="N28" s="8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74" t="s">
        <v>63</v>
      </c>
      <c r="B29" s="84">
        <v>-20.0</v>
      </c>
      <c r="C29" s="100"/>
      <c r="D29" s="92"/>
      <c r="E29" s="105"/>
      <c r="F29" s="106"/>
      <c r="G29" s="1">
        <v>500.0</v>
      </c>
      <c r="H29" s="1"/>
      <c r="I29" s="99">
        <v>45839.0</v>
      </c>
      <c r="J29" s="80">
        <f t="shared" si="3"/>
        <v>-242</v>
      </c>
      <c r="K29" s="81"/>
      <c r="L29" s="104" t="s">
        <v>64</v>
      </c>
      <c r="M29" s="83"/>
      <c r="N29" s="8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74" t="s">
        <v>65</v>
      </c>
      <c r="B30" s="84">
        <v>-250.0</v>
      </c>
      <c r="C30" s="107"/>
      <c r="D30" s="108"/>
      <c r="E30" s="105"/>
      <c r="F30" s="109"/>
      <c r="G30" s="110">
        <f t="shared" ref="G30:H30" si="5">SUM(G26:G29)</f>
        <v>6000</v>
      </c>
      <c r="H30" s="110">
        <f t="shared" si="5"/>
        <v>1737</v>
      </c>
      <c r="I30" s="42"/>
      <c r="J30" s="42"/>
      <c r="K30" s="42"/>
      <c r="L30" s="111"/>
      <c r="M30" s="111"/>
      <c r="N30" s="39"/>
      <c r="O30" s="39"/>
      <c r="P30" s="39"/>
      <c r="Q30" s="112"/>
      <c r="R30" s="1"/>
      <c r="S30" s="1"/>
      <c r="T30" s="1"/>
      <c r="U30" s="1"/>
      <c r="V30" s="1"/>
      <c r="W30" s="1"/>
      <c r="X30" s="1"/>
      <c r="Y30" s="1"/>
      <c r="Z30" s="1"/>
    </row>
    <row r="31">
      <c r="A31" s="74" t="s">
        <v>66</v>
      </c>
      <c r="B31" s="84">
        <v>-61.0</v>
      </c>
      <c r="C31" s="107"/>
      <c r="D31" s="70" t="s">
        <v>67</v>
      </c>
      <c r="E31" s="4"/>
      <c r="F31" s="113">
        <f>10300.96+7796.14+2086.76+664.65+21.59+10</f>
        <v>20880.1</v>
      </c>
      <c r="G31" s="1"/>
      <c r="H31" s="114"/>
      <c r="I31" s="114"/>
      <c r="J31" s="42"/>
      <c r="K31" s="42"/>
      <c r="L31" s="115" t="s">
        <v>68</v>
      </c>
      <c r="M31" s="111"/>
      <c r="N31" s="21"/>
      <c r="O31" s="68"/>
      <c r="P31" s="39"/>
      <c r="Q31" s="39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4" t="s">
        <v>69</v>
      </c>
      <c r="B32" s="84">
        <v>-52.85</v>
      </c>
      <c r="C32" s="116" t="s">
        <v>70</v>
      </c>
      <c r="D32" s="117" t="s">
        <v>47</v>
      </c>
      <c r="E32" s="118" t="s">
        <v>71</v>
      </c>
      <c r="F32" s="118" t="s">
        <v>72</v>
      </c>
      <c r="G32" s="119" t="s">
        <v>73</v>
      </c>
      <c r="H32" s="119" t="s">
        <v>74</v>
      </c>
      <c r="I32" s="119" t="s">
        <v>75</v>
      </c>
      <c r="J32" s="118" t="s">
        <v>76</v>
      </c>
      <c r="K32" s="120" t="s">
        <v>77</v>
      </c>
      <c r="L32" s="121"/>
      <c r="M32" s="42"/>
      <c r="N32" s="122"/>
      <c r="O32" s="121" t="s">
        <v>78</v>
      </c>
      <c r="P32" s="121" t="s">
        <v>79</v>
      </c>
      <c r="Q32" s="39"/>
      <c r="R32" s="39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4" t="s">
        <v>80</v>
      </c>
      <c r="B33" s="84"/>
      <c r="C33" s="123" t="s">
        <v>81</v>
      </c>
      <c r="D33" s="124">
        <v>45292.0</v>
      </c>
      <c r="E33" s="125">
        <v>3840.1</v>
      </c>
      <c r="F33" s="126">
        <f>10352.96+7796.14+2086.76+664.65+21.59+10</f>
        <v>20932.1</v>
      </c>
      <c r="G33" s="126">
        <f>E33-2014.86</f>
        <v>1825.24</v>
      </c>
      <c r="H33" s="127">
        <f t="shared" ref="H33:H44" si="6">G33/E33</f>
        <v>0.4753105388</v>
      </c>
      <c r="I33" s="126">
        <f>IF(F33-F31 &gt; 0, E33-(F33-F31), E33)</f>
        <v>3788.1</v>
      </c>
      <c r="J33" s="128">
        <f t="shared" ref="J33:J34" si="7">2400*2</f>
        <v>4800</v>
      </c>
      <c r="K33" s="128">
        <f t="shared" ref="K33:K46" si="8">J33*0.1</f>
        <v>480</v>
      </c>
      <c r="L33" s="129" t="s">
        <v>82</v>
      </c>
      <c r="M33" s="42"/>
      <c r="N33" s="130" t="s">
        <v>83</v>
      </c>
      <c r="O33" s="131">
        <f>2647   +   185   +   46</f>
        <v>2878</v>
      </c>
      <c r="P33" s="132"/>
      <c r="Q33" s="112"/>
      <c r="R33" s="39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74" t="s">
        <v>84</v>
      </c>
      <c r="B34" s="75"/>
      <c r="C34" s="133" t="s">
        <v>85</v>
      </c>
      <c r="D34" s="134">
        <v>45323.0</v>
      </c>
      <c r="E34" s="131">
        <f>1150+440.3+429.91+1150</f>
        <v>3170.21</v>
      </c>
      <c r="F34" s="135">
        <f>10398.96+7796.14+2086.76+664.65+21.59+10</f>
        <v>20978.1</v>
      </c>
      <c r="G34" s="126">
        <f>E34-2500</f>
        <v>670.21</v>
      </c>
      <c r="H34" s="127">
        <f t="shared" si="6"/>
        <v>0.2114087079</v>
      </c>
      <c r="I34" s="126">
        <f t="shared" ref="I34:I44" si="9">IF(F34-F33 &gt; 0, E34-(F34-F33), E34)</f>
        <v>3124.21</v>
      </c>
      <c r="J34" s="128">
        <f t="shared" si="7"/>
        <v>4800</v>
      </c>
      <c r="K34" s="128">
        <f t="shared" si="8"/>
        <v>480</v>
      </c>
      <c r="L34" s="136"/>
      <c r="M34" s="137"/>
      <c r="N34" s="130" t="s">
        <v>86</v>
      </c>
      <c r="O34" s="131">
        <f>24720+O33</f>
        <v>27598</v>
      </c>
      <c r="P34" s="132">
        <v>26122.0</v>
      </c>
      <c r="Q34" s="68"/>
      <c r="R34" s="39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38" t="s">
        <v>87</v>
      </c>
      <c r="B35" s="139">
        <v>0.0</v>
      </c>
      <c r="C35" s="140"/>
      <c r="D35" s="134">
        <v>45352.0</v>
      </c>
      <c r="E35" s="131">
        <f>399.89+1150+292.67+1150</f>
        <v>2992.56</v>
      </c>
      <c r="F35" s="135">
        <v>21553.15</v>
      </c>
      <c r="G35" s="126">
        <f t="shared" ref="G35:G44" si="10">E35-2014.86</f>
        <v>977.7</v>
      </c>
      <c r="H35" s="127">
        <f t="shared" si="6"/>
        <v>0.3267102414</v>
      </c>
      <c r="I35" s="126">
        <f t="shared" si="9"/>
        <v>2417.51</v>
      </c>
      <c r="J35" s="128">
        <f>2400+2784.62+250</f>
        <v>5434.62</v>
      </c>
      <c r="K35" s="128">
        <f t="shared" si="8"/>
        <v>543.462</v>
      </c>
      <c r="L35" s="136"/>
      <c r="M35" s="141"/>
      <c r="N35" s="130" t="s">
        <v>88</v>
      </c>
      <c r="O35" s="131">
        <f>J45-O34</f>
        <v>45344.5</v>
      </c>
      <c r="P35" s="132"/>
      <c r="Q35" s="39"/>
      <c r="R35" s="39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42" t="s">
        <v>89</v>
      </c>
      <c r="B36" s="143">
        <f>SUM(B23:B35)</f>
        <v>-2014.86</v>
      </c>
      <c r="C36" s="111"/>
      <c r="D36" s="134">
        <v>45383.0</v>
      </c>
      <c r="E36" s="131">
        <f>399.89+1150+437.32+1150</f>
        <v>3137.21</v>
      </c>
      <c r="F36" s="144">
        <v>18153.0</v>
      </c>
      <c r="G36" s="126">
        <f t="shared" si="10"/>
        <v>1122.35</v>
      </c>
      <c r="H36" s="127">
        <f t="shared" si="6"/>
        <v>0.3577541829</v>
      </c>
      <c r="I36" s="126">
        <f t="shared" si="9"/>
        <v>3137.21</v>
      </c>
      <c r="J36" s="126">
        <f>12015.38+2400</f>
        <v>14415.38</v>
      </c>
      <c r="K36" s="128">
        <f t="shared" si="8"/>
        <v>1441.538</v>
      </c>
      <c r="L36" s="145"/>
      <c r="M36" s="111">
        <f>J36+J35-2400*4-250</f>
        <v>10000</v>
      </c>
      <c r="N36" s="130" t="s">
        <v>90</v>
      </c>
      <c r="O36" s="131">
        <v>1872.0</v>
      </c>
      <c r="P36" s="132">
        <v>528.0</v>
      </c>
      <c r="Q36" s="39"/>
      <c r="R36" s="39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46" t="s">
        <v>91</v>
      </c>
      <c r="B37" s="143">
        <f>B36*12</f>
        <v>-24178.32</v>
      </c>
      <c r="C37" s="111"/>
      <c r="D37" s="134">
        <v>45413.0</v>
      </c>
      <c r="E37" s="131">
        <f>437.32*3+1150*3</f>
        <v>4761.96</v>
      </c>
      <c r="F37" s="144">
        <v>17896.49</v>
      </c>
      <c r="G37" s="126">
        <f t="shared" si="10"/>
        <v>2747.1</v>
      </c>
      <c r="H37" s="127">
        <f t="shared" si="6"/>
        <v>0.5768843081</v>
      </c>
      <c r="I37" s="126">
        <f t="shared" si="9"/>
        <v>4761.96</v>
      </c>
      <c r="J37" s="128">
        <f>2400*3</f>
        <v>7200</v>
      </c>
      <c r="K37" s="128">
        <f t="shared" si="8"/>
        <v>720</v>
      </c>
      <c r="L37" s="147"/>
      <c r="M37" s="39"/>
      <c r="N37" s="130" t="s">
        <v>92</v>
      </c>
      <c r="O37" s="131">
        <f>O36+P36</f>
        <v>2400</v>
      </c>
      <c r="P37" s="132"/>
      <c r="Q37" s="92"/>
      <c r="R37" s="92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8"/>
      <c r="B38" s="68"/>
      <c r="C38" s="111"/>
      <c r="D38" s="134">
        <v>45444.0</v>
      </c>
      <c r="E38" s="131">
        <f t="shared" ref="E38:E41" si="11">437.31*2+1150*2</f>
        <v>3174.62</v>
      </c>
      <c r="F38" s="144">
        <v>19730.21</v>
      </c>
      <c r="G38" s="126">
        <f t="shared" si="10"/>
        <v>1159.76</v>
      </c>
      <c r="H38" s="127">
        <f t="shared" si="6"/>
        <v>0.3653224638</v>
      </c>
      <c r="I38" s="126">
        <f t="shared" si="9"/>
        <v>1340.9</v>
      </c>
      <c r="J38" s="128">
        <f t="shared" ref="J38:J41" si="12">2400*2</f>
        <v>4800</v>
      </c>
      <c r="K38" s="128">
        <f t="shared" si="8"/>
        <v>480</v>
      </c>
      <c r="L38" s="145"/>
      <c r="M38" s="14"/>
      <c r="N38" s="130"/>
      <c r="O38" s="131"/>
      <c r="P38" s="132"/>
      <c r="Q38" s="92"/>
      <c r="R38" s="92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8"/>
      <c r="B39" s="1"/>
      <c r="C39" s="1"/>
      <c r="D39" s="134">
        <v>45474.0</v>
      </c>
      <c r="E39" s="131">
        <f t="shared" si="11"/>
        <v>3174.62</v>
      </c>
      <c r="F39" s="144">
        <v>22135.36</v>
      </c>
      <c r="G39" s="126">
        <f t="shared" si="10"/>
        <v>1159.76</v>
      </c>
      <c r="H39" s="127">
        <f t="shared" si="6"/>
        <v>0.3653224638</v>
      </c>
      <c r="I39" s="126">
        <f t="shared" si="9"/>
        <v>769.47</v>
      </c>
      <c r="J39" s="128">
        <f t="shared" si="12"/>
        <v>4800</v>
      </c>
      <c r="K39" s="128">
        <f t="shared" si="8"/>
        <v>480</v>
      </c>
      <c r="L39" s="149"/>
      <c r="M39" s="1"/>
      <c r="N39" s="130"/>
      <c r="O39" s="131"/>
      <c r="P39" s="132"/>
      <c r="Q39" s="92"/>
      <c r="R39" s="92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1"/>
      <c r="B40" s="150"/>
      <c r="C40" s="1"/>
      <c r="D40" s="134">
        <v>45505.0</v>
      </c>
      <c r="E40" s="131">
        <f t="shared" si="11"/>
        <v>3174.62</v>
      </c>
      <c r="F40" s="144">
        <f>AUG!D59</f>
        <v>24325.28</v>
      </c>
      <c r="G40" s="126">
        <f t="shared" si="10"/>
        <v>1159.76</v>
      </c>
      <c r="H40" s="127">
        <f t="shared" si="6"/>
        <v>0.3653224638</v>
      </c>
      <c r="I40" s="126">
        <f t="shared" si="9"/>
        <v>984.7</v>
      </c>
      <c r="J40" s="128">
        <f t="shared" si="12"/>
        <v>4800</v>
      </c>
      <c r="K40" s="128">
        <f t="shared" si="8"/>
        <v>480</v>
      </c>
      <c r="L40" s="149"/>
      <c r="M40" s="1"/>
      <c r="N40" s="130"/>
      <c r="O40" s="131"/>
      <c r="P40" s="132"/>
      <c r="Q40" s="92"/>
      <c r="R40" s="92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1"/>
      <c r="B41" s="111"/>
      <c r="C41" s="1"/>
      <c r="D41" s="151">
        <v>45536.0</v>
      </c>
      <c r="E41" s="131">
        <f t="shared" si="11"/>
        <v>3174.62</v>
      </c>
      <c r="F41" s="152">
        <v>26295.43</v>
      </c>
      <c r="G41" s="126">
        <f t="shared" si="10"/>
        <v>1159.76</v>
      </c>
      <c r="H41" s="127">
        <f t="shared" si="6"/>
        <v>0.3653224638</v>
      </c>
      <c r="I41" s="126">
        <f t="shared" si="9"/>
        <v>1204.47</v>
      </c>
      <c r="J41" s="128">
        <f t="shared" si="12"/>
        <v>4800</v>
      </c>
      <c r="K41" s="128">
        <f t="shared" si="8"/>
        <v>480</v>
      </c>
      <c r="L41" s="149"/>
      <c r="M41" s="1"/>
      <c r="N41" s="153"/>
      <c r="O41" s="154"/>
      <c r="P41" s="155"/>
      <c r="Q41" s="92"/>
      <c r="R41" s="92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1"/>
      <c r="B42" s="111"/>
      <c r="C42" s="1"/>
      <c r="D42" s="134">
        <v>45566.0</v>
      </c>
      <c r="E42" s="131">
        <f>437.31+600+600+600+987.31+1199.98+550</f>
        <v>4974.6</v>
      </c>
      <c r="F42" s="152">
        <v>26386.48</v>
      </c>
      <c r="G42" s="126">
        <f t="shared" si="10"/>
        <v>2959.74</v>
      </c>
      <c r="H42" s="127">
        <f t="shared" si="6"/>
        <v>0.5949704499</v>
      </c>
      <c r="I42" s="126">
        <f t="shared" si="9"/>
        <v>4883.55</v>
      </c>
      <c r="J42" s="128">
        <f>2400*2+2692.5</f>
        <v>7492.5</v>
      </c>
      <c r="K42" s="128">
        <f t="shared" si="8"/>
        <v>749.25</v>
      </c>
      <c r="L42" s="14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1"/>
      <c r="B43" s="111"/>
      <c r="C43" s="21"/>
      <c r="D43" s="134">
        <v>45597.0</v>
      </c>
      <c r="E43" s="131">
        <f t="shared" ref="E43:E44" si="13">437.31*2+1150*2</f>
        <v>3174.62</v>
      </c>
      <c r="F43" s="144"/>
      <c r="G43" s="126">
        <f t="shared" si="10"/>
        <v>1159.76</v>
      </c>
      <c r="H43" s="127">
        <f t="shared" si="6"/>
        <v>0.3653224638</v>
      </c>
      <c r="I43" s="126">
        <f t="shared" si="9"/>
        <v>3174.62</v>
      </c>
      <c r="J43" s="128">
        <f t="shared" ref="J43:J44" si="14">2400*2</f>
        <v>4800</v>
      </c>
      <c r="K43" s="128">
        <f t="shared" si="8"/>
        <v>480</v>
      </c>
      <c r="L43" s="149"/>
      <c r="M43" s="28"/>
      <c r="N43" s="24"/>
      <c r="O43" s="24"/>
      <c r="P43" s="24"/>
      <c r="Q43" s="15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1"/>
      <c r="B44" s="111"/>
      <c r="C44" s="21"/>
      <c r="D44" s="134">
        <v>45627.0</v>
      </c>
      <c r="E44" s="131">
        <f t="shared" si="13"/>
        <v>3174.62</v>
      </c>
      <c r="F44" s="144">
        <f>F43*(1+0.01)</f>
        <v>0</v>
      </c>
      <c r="G44" s="126">
        <f t="shared" si="10"/>
        <v>1159.76</v>
      </c>
      <c r="H44" s="127">
        <f t="shared" si="6"/>
        <v>0.3653224638</v>
      </c>
      <c r="I44" s="126">
        <f t="shared" si="9"/>
        <v>3174.62</v>
      </c>
      <c r="J44" s="128">
        <f t="shared" si="14"/>
        <v>4800</v>
      </c>
      <c r="K44" s="128">
        <f t="shared" si="8"/>
        <v>480</v>
      </c>
      <c r="L44" s="149"/>
      <c r="M44" s="28"/>
      <c r="N44" s="24"/>
      <c r="O44" s="24">
        <f>K35+O37*0.1</f>
        <v>783.462</v>
      </c>
      <c r="P44" s="157" t="s">
        <v>93</v>
      </c>
      <c r="Q44" s="15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1"/>
      <c r="B45" s="158">
        <f>L45+B37</f>
        <v>17746.04</v>
      </c>
      <c r="C45" s="21"/>
      <c r="D45" s="159" t="s">
        <v>94</v>
      </c>
      <c r="E45" s="160">
        <f t="shared" ref="E45:I45" si="15">AVERAGE(E33:E44)</f>
        <v>3493.696667</v>
      </c>
      <c r="F45" s="160">
        <f t="shared" si="15"/>
        <v>19853.23636</v>
      </c>
      <c r="G45" s="160">
        <f t="shared" si="15"/>
        <v>1438.408333</v>
      </c>
      <c r="H45" s="161">
        <f t="shared" si="15"/>
        <v>0.394581101</v>
      </c>
      <c r="I45" s="160">
        <f t="shared" si="15"/>
        <v>2730.11</v>
      </c>
      <c r="J45" s="162">
        <f>SUM(J33:J44)</f>
        <v>72942.5</v>
      </c>
      <c r="K45" s="163">
        <f t="shared" si="8"/>
        <v>7294.25</v>
      </c>
      <c r="L45" s="164">
        <f>SUM(E33:E44)</f>
        <v>41924.36</v>
      </c>
      <c r="M45" s="28"/>
      <c r="N45" s="24"/>
      <c r="O45" s="24"/>
      <c r="P45" s="24"/>
      <c r="Q45" s="15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59" t="s">
        <v>95</v>
      </c>
      <c r="E46" s="160">
        <f t="shared" ref="E46:G46" si="16">E45/(1+0.037)</f>
        <v>3369.042109</v>
      </c>
      <c r="F46" s="160">
        <f t="shared" si="16"/>
        <v>19144.87595</v>
      </c>
      <c r="G46" s="160">
        <f t="shared" si="16"/>
        <v>1387.086146</v>
      </c>
      <c r="H46" s="165" t="s">
        <v>96</v>
      </c>
      <c r="I46" s="160">
        <f t="shared" ref="I46:J46" si="17">I45/(1+0.037)</f>
        <v>2632.700096</v>
      </c>
      <c r="J46" s="160">
        <f t="shared" si="17"/>
        <v>70339.92285</v>
      </c>
      <c r="K46" s="163">
        <f t="shared" si="8"/>
        <v>7033.992285</v>
      </c>
      <c r="L46" s="160">
        <f>L45/(1+0.037)</f>
        <v>40428.5053</v>
      </c>
      <c r="M46" s="28"/>
      <c r="N46" s="166"/>
      <c r="O46" s="28">
        <f>J35-384.62</f>
        <v>5050</v>
      </c>
      <c r="P46" s="166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8">
        <f>SUM(E33:E44)</f>
        <v>41924.36</v>
      </c>
      <c r="F47" s="27"/>
      <c r="G47" s="28">
        <f>G45*12</f>
        <v>17260.9</v>
      </c>
      <c r="H47" s="127">
        <f>G47/E47</f>
        <v>0.4117152892</v>
      </c>
      <c r="I47" s="28">
        <f>I45*12</f>
        <v>32761.32</v>
      </c>
      <c r="J47" s="28"/>
      <c r="K47" s="166"/>
      <c r="L47" s="166"/>
      <c r="M47" s="2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67" t="s">
        <v>97</v>
      </c>
      <c r="B48" s="168"/>
      <c r="C48" s="92"/>
      <c r="D48" s="92"/>
      <c r="E48" s="169"/>
      <c r="F48" s="170"/>
      <c r="G48" s="171"/>
      <c r="H48" s="28">
        <f>K42-90</f>
        <v>659.25</v>
      </c>
      <c r="I48" s="28"/>
      <c r="J48" s="28"/>
      <c r="K48" s="166"/>
      <c r="L48" s="166"/>
      <c r="M48" s="16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92" t="s">
        <v>98</v>
      </c>
      <c r="B49" s="92"/>
      <c r="C49" s="92"/>
      <c r="D49" s="92"/>
      <c r="E49" s="169"/>
      <c r="F49" s="170"/>
      <c r="G49" s="171"/>
      <c r="H49" s="28"/>
      <c r="I49" s="28"/>
      <c r="J49" s="28"/>
      <c r="K49" s="166"/>
      <c r="L49" s="166"/>
      <c r="M49" s="16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92" t="s">
        <v>99</v>
      </c>
      <c r="B50" s="92"/>
      <c r="C50" s="92"/>
      <c r="D50" s="92"/>
      <c r="E50" s="169"/>
      <c r="F50" s="92"/>
      <c r="G50" s="172"/>
      <c r="H50" s="173">
        <v>246.41</v>
      </c>
      <c r="I50" s="28"/>
      <c r="J50" s="28"/>
      <c r="K50" s="166"/>
      <c r="L50" s="166"/>
      <c r="M50" s="16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74" t="s">
        <v>100</v>
      </c>
      <c r="B51" s="175" t="s">
        <v>101</v>
      </c>
      <c r="C51" s="176" t="s">
        <v>102</v>
      </c>
      <c r="D51" s="176" t="s">
        <v>103</v>
      </c>
      <c r="E51" s="176"/>
      <c r="F51" s="174" t="s">
        <v>104</v>
      </c>
      <c r="G51" s="171"/>
      <c r="H51" s="28"/>
      <c r="I51" s="28"/>
      <c r="J51" s="28"/>
      <c r="K51" s="166"/>
      <c r="L51" s="166"/>
      <c r="M51" s="16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74" t="s">
        <v>105</v>
      </c>
      <c r="B52" s="175" t="s">
        <v>106</v>
      </c>
      <c r="C52" s="176" t="s">
        <v>106</v>
      </c>
      <c r="D52" s="176" t="s">
        <v>107</v>
      </c>
      <c r="E52" s="174" t="s">
        <v>108</v>
      </c>
      <c r="F52" s="174" t="s">
        <v>109</v>
      </c>
      <c r="G52" s="171"/>
      <c r="H52" s="28"/>
      <c r="I52" s="28"/>
      <c r="J52" s="28"/>
      <c r="K52" s="166"/>
      <c r="L52" s="166"/>
      <c r="M52" s="16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77" t="s">
        <v>110</v>
      </c>
      <c r="B53" s="178">
        <v>8589.0</v>
      </c>
      <c r="C53" s="179">
        <v>8589.0</v>
      </c>
      <c r="D53" s="179">
        <v>88.2</v>
      </c>
      <c r="E53" s="180">
        <v>8677.2</v>
      </c>
      <c r="F53" s="181">
        <v>0.0528</v>
      </c>
      <c r="G53" s="171"/>
      <c r="H53" s="28"/>
      <c r="I53" s="28"/>
      <c r="J53" s="28"/>
      <c r="K53" s="166"/>
      <c r="L53" s="166"/>
      <c r="M53" s="16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77" t="s">
        <v>111</v>
      </c>
      <c r="B54" s="179">
        <v>11843.0</v>
      </c>
      <c r="C54" s="179">
        <v>11843.0</v>
      </c>
      <c r="D54" s="179">
        <v>150.66</v>
      </c>
      <c r="E54" s="180">
        <v>11993.66</v>
      </c>
      <c r="F54" s="181">
        <v>0.0654</v>
      </c>
      <c r="G54" s="171"/>
      <c r="H54" s="28"/>
      <c r="I54" s="28"/>
      <c r="J54" s="28"/>
      <c r="K54" s="166"/>
      <c r="L54" s="166"/>
      <c r="M54" s="16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77" t="s">
        <v>112</v>
      </c>
      <c r="B55" s="179">
        <v>8657.0</v>
      </c>
      <c r="C55" s="179">
        <v>8657.0</v>
      </c>
      <c r="D55" s="179">
        <v>110.12</v>
      </c>
      <c r="E55" s="180">
        <v>8767.12</v>
      </c>
      <c r="F55" s="181">
        <v>0.0654</v>
      </c>
      <c r="G55" s="171"/>
      <c r="H55" s="28"/>
      <c r="I55" s="28"/>
      <c r="J55" s="28"/>
      <c r="K55" s="166"/>
      <c r="L55" s="166"/>
      <c r="M55" s="16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77" t="s">
        <v>113</v>
      </c>
      <c r="B56" s="179">
        <v>531.0</v>
      </c>
      <c r="C56" s="179">
        <v>531.0</v>
      </c>
      <c r="D56" s="180">
        <v>0.0</v>
      </c>
      <c r="E56" s="180">
        <v>531.0</v>
      </c>
      <c r="F56" s="181">
        <v>0.0445</v>
      </c>
      <c r="G56" s="171"/>
      <c r="H56" s="28"/>
      <c r="I56" s="28"/>
      <c r="J56" s="28"/>
      <c r="K56" s="166"/>
      <c r="L56" s="166"/>
      <c r="M56" s="16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77" t="s">
        <v>114</v>
      </c>
      <c r="B57" s="179">
        <v>2113.0</v>
      </c>
      <c r="C57" s="179">
        <v>2113.0</v>
      </c>
      <c r="D57" s="180">
        <v>0.0</v>
      </c>
      <c r="E57" s="180">
        <v>2113.0</v>
      </c>
      <c r="F57" s="181">
        <v>0.0445</v>
      </c>
      <c r="G57" s="171"/>
      <c r="H57" s="28"/>
      <c r="I57" s="28"/>
      <c r="J57" s="28"/>
      <c r="K57" s="166"/>
      <c r="L57" s="166"/>
      <c r="M57" s="16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77" t="s">
        <v>115</v>
      </c>
      <c r="B58" s="179">
        <v>4500.0</v>
      </c>
      <c r="C58" s="179">
        <v>4500.0</v>
      </c>
      <c r="D58" s="180">
        <v>0.0</v>
      </c>
      <c r="E58" s="180">
        <v>4500.0</v>
      </c>
      <c r="F58" s="181">
        <v>0.0505</v>
      </c>
      <c r="G58" s="171"/>
      <c r="H58" s="28"/>
      <c r="I58" s="28"/>
      <c r="J58" s="28"/>
      <c r="K58" s="166"/>
      <c r="L58" s="166"/>
      <c r="M58" s="16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77" t="s">
        <v>116</v>
      </c>
      <c r="B59" s="179">
        <v>930.0</v>
      </c>
      <c r="C59" s="179">
        <v>907.59</v>
      </c>
      <c r="D59" s="180">
        <v>8.9</v>
      </c>
      <c r="E59" s="180">
        <v>916.49</v>
      </c>
      <c r="F59" s="181">
        <v>0.0505</v>
      </c>
      <c r="G59" s="171"/>
      <c r="H59" s="28"/>
      <c r="I59" s="28"/>
      <c r="J59" s="28"/>
      <c r="K59" s="166"/>
      <c r="L59" s="166"/>
      <c r="M59" s="16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77" t="s">
        <v>117</v>
      </c>
      <c r="B60" s="179">
        <v>654.0</v>
      </c>
      <c r="C60" s="179">
        <v>636.2</v>
      </c>
      <c r="D60" s="180">
        <v>6.24</v>
      </c>
      <c r="E60" s="180">
        <v>642.44</v>
      </c>
      <c r="F60" s="181">
        <v>0.0505</v>
      </c>
      <c r="G60" s="171"/>
      <c r="H60" s="28"/>
      <c r="I60" s="28"/>
      <c r="J60" s="28"/>
      <c r="K60" s="166"/>
      <c r="L60" s="166"/>
      <c r="M60" s="16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82" t="s">
        <v>118</v>
      </c>
      <c r="B61" s="179">
        <v>4500.0</v>
      </c>
      <c r="C61" s="179">
        <v>4500.0</v>
      </c>
      <c r="D61" s="180">
        <v>0.0</v>
      </c>
      <c r="E61" s="180">
        <v>4500.0</v>
      </c>
      <c r="F61" s="181">
        <v>0.0453</v>
      </c>
      <c r="G61" s="171"/>
      <c r="H61" s="28"/>
      <c r="I61" s="28"/>
      <c r="J61" s="28"/>
      <c r="K61" s="166"/>
      <c r="L61" s="166"/>
      <c r="M61" s="16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82" t="s">
        <v>119</v>
      </c>
      <c r="B62" s="179">
        <v>5899.0</v>
      </c>
      <c r="C62" s="179">
        <v>5896.67</v>
      </c>
      <c r="D62" s="180">
        <v>51.94</v>
      </c>
      <c r="E62" s="180">
        <v>5948.61</v>
      </c>
      <c r="F62" s="181">
        <v>0.0453</v>
      </c>
      <c r="G62" s="171"/>
      <c r="H62" s="28"/>
      <c r="I62" s="28"/>
      <c r="J62" s="28"/>
      <c r="K62" s="166"/>
      <c r="L62" s="166"/>
      <c r="M62" s="16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82" t="s">
        <v>120</v>
      </c>
      <c r="B63" s="179">
        <v>5500.0</v>
      </c>
      <c r="C63" s="179">
        <v>5500.0</v>
      </c>
      <c r="D63" s="180">
        <v>0.0</v>
      </c>
      <c r="E63" s="180">
        <v>5500.0</v>
      </c>
      <c r="F63" s="181">
        <v>0.0275</v>
      </c>
      <c r="G63" s="171"/>
      <c r="H63" s="28"/>
      <c r="I63" s="28"/>
      <c r="J63" s="28"/>
      <c r="K63" s="166"/>
      <c r="L63" s="166"/>
      <c r="M63" s="16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82" t="s">
        <v>121</v>
      </c>
      <c r="B64" s="179">
        <v>6615.0</v>
      </c>
      <c r="C64" s="179">
        <v>6613.65</v>
      </c>
      <c r="D64" s="180">
        <v>35.36</v>
      </c>
      <c r="E64" s="180">
        <v>6649.01</v>
      </c>
      <c r="F64" s="181">
        <v>0.0275</v>
      </c>
      <c r="G64" s="171"/>
      <c r="H64" s="28"/>
      <c r="I64" s="28"/>
      <c r="J64" s="28"/>
      <c r="K64" s="166"/>
      <c r="L64" s="166"/>
      <c r="M64" s="16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82" t="s">
        <v>122</v>
      </c>
      <c r="B65" s="179">
        <v>6429.0</v>
      </c>
      <c r="C65" s="179">
        <v>6429.0</v>
      </c>
      <c r="D65" s="180">
        <v>53.76</v>
      </c>
      <c r="E65" s="180">
        <v>6482.76</v>
      </c>
      <c r="F65" s="181">
        <v>0.043</v>
      </c>
      <c r="G65" s="171"/>
      <c r="H65" s="28"/>
      <c r="I65" s="28"/>
      <c r="J65" s="28"/>
      <c r="K65" s="166"/>
      <c r="L65" s="166"/>
      <c r="M65" s="16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82" t="s">
        <v>123</v>
      </c>
      <c r="B66" s="179">
        <v>2000.0</v>
      </c>
      <c r="C66" s="179">
        <v>2000.0</v>
      </c>
      <c r="D66" s="180">
        <v>20.52</v>
      </c>
      <c r="E66" s="180">
        <v>2020.52</v>
      </c>
      <c r="F66" s="181">
        <v>0.0528</v>
      </c>
      <c r="G66" s="171"/>
      <c r="H66" s="28"/>
      <c r="I66" s="28"/>
      <c r="J66" s="28"/>
      <c r="K66" s="166"/>
      <c r="L66" s="166"/>
      <c r="M66" s="16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82" t="s">
        <v>124</v>
      </c>
      <c r="B67" s="179">
        <v>1400.0</v>
      </c>
      <c r="C67" s="179">
        <v>1400.0</v>
      </c>
      <c r="D67" s="180">
        <v>14.36</v>
      </c>
      <c r="E67" s="180">
        <v>1414.36</v>
      </c>
      <c r="F67" s="181">
        <v>0.0528</v>
      </c>
      <c r="G67" s="171"/>
      <c r="H67" s="28"/>
      <c r="I67" s="28"/>
      <c r="J67" s="28"/>
      <c r="K67" s="166"/>
      <c r="L67" s="166"/>
      <c r="M67" s="16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82" t="s">
        <v>125</v>
      </c>
      <c r="B68" s="179">
        <v>5957.0</v>
      </c>
      <c r="C68" s="179">
        <v>5957.0</v>
      </c>
      <c r="D68" s="180">
        <v>81.67</v>
      </c>
      <c r="E68" s="180">
        <v>6038.67</v>
      </c>
      <c r="F68" s="181">
        <v>0.0705</v>
      </c>
      <c r="G68" s="171"/>
      <c r="H68" s="28"/>
      <c r="I68" s="28"/>
      <c r="J68" s="28"/>
      <c r="K68" s="166"/>
      <c r="L68" s="166"/>
      <c r="M68" s="16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82" t="s">
        <v>126</v>
      </c>
      <c r="B69" s="179">
        <v>5957.0</v>
      </c>
      <c r="C69" s="179">
        <v>5957.0</v>
      </c>
      <c r="D69" s="180">
        <v>71.32</v>
      </c>
      <c r="E69" s="180">
        <v>6028.32</v>
      </c>
      <c r="F69" s="181">
        <v>0.0705</v>
      </c>
      <c r="G69" s="183">
        <f>SUM(B53:B69)</f>
        <v>82074</v>
      </c>
      <c r="H69" s="28"/>
      <c r="I69" s="28"/>
      <c r="J69" s="28"/>
      <c r="K69" s="166"/>
      <c r="L69" s="166"/>
      <c r="M69" s="16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82" t="s">
        <v>127</v>
      </c>
      <c r="B70" s="179">
        <v>12000.0</v>
      </c>
      <c r="C70" s="179">
        <v>12000.0</v>
      </c>
      <c r="D70" s="180">
        <v>0.0</v>
      </c>
      <c r="E70" s="180">
        <f t="shared" ref="E70:E73" si="18">C70+D70</f>
        <v>12000</v>
      </c>
      <c r="F70" s="181">
        <v>0.0</v>
      </c>
      <c r="G70" s="171"/>
      <c r="H70" s="28"/>
      <c r="I70" s="28"/>
      <c r="J70" s="28"/>
      <c r="K70" s="166"/>
      <c r="L70" s="166"/>
      <c r="M70" s="16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82" t="s">
        <v>128</v>
      </c>
      <c r="B71" s="179">
        <v>5658.0</v>
      </c>
      <c r="C71" s="179">
        <v>5658.0</v>
      </c>
      <c r="D71" s="180">
        <v>25.0</v>
      </c>
      <c r="E71" s="180">
        <f t="shared" si="18"/>
        <v>5683</v>
      </c>
      <c r="F71" s="181">
        <v>0.0505</v>
      </c>
      <c r="G71" s="171"/>
      <c r="H71" s="28"/>
      <c r="I71" s="28"/>
      <c r="J71" s="28"/>
      <c r="K71" s="166"/>
      <c r="L71" s="166"/>
      <c r="M71" s="16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82" t="s">
        <v>129</v>
      </c>
      <c r="B72" s="179">
        <f>5655+2827.5+5435</f>
        <v>13917.5</v>
      </c>
      <c r="C72" s="179">
        <v>19022.5</v>
      </c>
      <c r="D72" s="180">
        <v>30.0</v>
      </c>
      <c r="E72" s="180">
        <f t="shared" si="18"/>
        <v>19052.5</v>
      </c>
      <c r="F72" s="181">
        <v>0.0453</v>
      </c>
      <c r="G72" s="171"/>
      <c r="H72" s="28"/>
      <c r="I72" s="28"/>
      <c r="J72" s="28"/>
      <c r="K72" s="166"/>
      <c r="L72" s="166"/>
      <c r="M72" s="16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82" t="s">
        <v>130</v>
      </c>
      <c r="B73" s="179">
        <v>5000.0</v>
      </c>
      <c r="C73" s="179">
        <v>5000.0</v>
      </c>
      <c r="D73" s="180">
        <v>56.0</v>
      </c>
      <c r="E73" s="180">
        <f t="shared" si="18"/>
        <v>5056</v>
      </c>
      <c r="F73" s="181">
        <v>0.0705</v>
      </c>
      <c r="G73" s="171"/>
      <c r="H73" s="28"/>
      <c r="I73" s="28"/>
      <c r="J73" s="28"/>
      <c r="K73" s="166"/>
      <c r="L73" s="166"/>
      <c r="M73" s="16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75" t="s">
        <v>131</v>
      </c>
      <c r="B74" s="184">
        <f t="shared" ref="B74:E74" si="19">SUM(B53:B73)</f>
        <v>118649.5</v>
      </c>
      <c r="C74" s="185">
        <f t="shared" si="19"/>
        <v>123710.61</v>
      </c>
      <c r="D74" s="185">
        <f t="shared" si="19"/>
        <v>804.05</v>
      </c>
      <c r="E74" s="186">
        <f t="shared" si="19"/>
        <v>124514.66</v>
      </c>
      <c r="F74" s="187">
        <f>AVERAGE(F53:F73)</f>
        <v>0.04883809524</v>
      </c>
      <c r="G74" s="171"/>
      <c r="H74" s="28"/>
      <c r="I74" s="28"/>
      <c r="J74" s="28"/>
      <c r="K74" s="166"/>
      <c r="L74" s="166"/>
      <c r="M74" s="16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92"/>
      <c r="B75" s="188"/>
      <c r="C75" s="189"/>
      <c r="D75" s="190"/>
      <c r="E75" s="169"/>
      <c r="F75" s="170"/>
      <c r="G75" s="171"/>
      <c r="H75" s="28"/>
      <c r="I75" s="28"/>
      <c r="J75" s="28"/>
      <c r="K75" s="166"/>
      <c r="L75" s="166"/>
      <c r="M75" s="16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92"/>
      <c r="B76" s="188"/>
      <c r="C76" s="189"/>
      <c r="D76" s="191"/>
      <c r="E76" s="169"/>
      <c r="F76" s="170"/>
      <c r="G76" s="171"/>
      <c r="H76" s="28"/>
      <c r="I76" s="28"/>
      <c r="J76" s="28"/>
      <c r="K76" s="166"/>
      <c r="L76" s="166"/>
      <c r="M76" s="16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92"/>
      <c r="C77" s="193"/>
      <c r="D77" s="194"/>
      <c r="E77" s="166"/>
      <c r="F77" s="27"/>
      <c r="G77" s="28"/>
      <c r="H77" s="28"/>
      <c r="I77" s="28"/>
      <c r="J77" s="28"/>
      <c r="K77" s="166"/>
      <c r="L77" s="166"/>
      <c r="M77" s="16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92"/>
      <c r="C78" s="193"/>
      <c r="D78" s="194"/>
      <c r="E78" s="166"/>
      <c r="F78" s="27"/>
      <c r="G78" s="28"/>
      <c r="H78" s="28"/>
      <c r="I78" s="28"/>
      <c r="J78" s="28"/>
      <c r="K78" s="166"/>
      <c r="L78" s="166"/>
      <c r="M78" s="16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92"/>
      <c r="C79" s="193"/>
      <c r="D79" s="194"/>
      <c r="E79" s="166"/>
      <c r="F79" s="27"/>
      <c r="G79" s="28"/>
      <c r="H79" s="28"/>
      <c r="I79" s="28"/>
      <c r="J79" s="28"/>
      <c r="K79" s="166"/>
      <c r="L79" s="166"/>
      <c r="M79" s="16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92"/>
      <c r="C80" s="194"/>
      <c r="D80" s="166"/>
      <c r="E80" s="166"/>
      <c r="F80" s="28"/>
      <c r="G80" s="28"/>
      <c r="H80" s="28"/>
      <c r="I80" s="28"/>
      <c r="J80" s="28"/>
      <c r="K80" s="166"/>
      <c r="L80" s="166"/>
      <c r="M80" s="16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8"/>
      <c r="C81" s="166"/>
      <c r="D81" s="166"/>
      <c r="E81" s="166"/>
      <c r="F81" s="28"/>
      <c r="G81" s="28"/>
      <c r="H81" s="28"/>
      <c r="I81" s="28"/>
      <c r="J81" s="28"/>
      <c r="K81" s="166"/>
      <c r="L81" s="166"/>
      <c r="M81" s="16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8"/>
      <c r="C82" s="166"/>
      <c r="D82" s="166"/>
      <c r="E82" s="166"/>
      <c r="F82" s="28"/>
      <c r="G82" s="28"/>
      <c r="H82" s="28"/>
      <c r="I82" s="28"/>
      <c r="J82" s="28"/>
      <c r="K82" s="166"/>
      <c r="L82" s="166"/>
      <c r="M82" s="16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8"/>
      <c r="C83" s="166"/>
      <c r="D83" s="166"/>
      <c r="E83" s="166"/>
      <c r="F83" s="28"/>
      <c r="G83" s="28"/>
      <c r="H83" s="28"/>
      <c r="I83" s="28"/>
      <c r="J83" s="28"/>
      <c r="K83" s="166"/>
      <c r="L83" s="166"/>
      <c r="M83" s="16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8"/>
      <c r="C84" s="166"/>
      <c r="D84" s="166"/>
      <c r="E84" s="166"/>
      <c r="F84" s="28"/>
      <c r="G84" s="28"/>
      <c r="H84" s="28"/>
      <c r="I84" s="28"/>
      <c r="J84" s="28"/>
      <c r="K84" s="166"/>
      <c r="L84" s="166"/>
      <c r="M84" s="16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8"/>
      <c r="C85" s="166"/>
      <c r="D85" s="166"/>
      <c r="E85" s="166"/>
      <c r="F85" s="28"/>
      <c r="G85" s="28"/>
      <c r="H85" s="28"/>
      <c r="I85" s="28"/>
      <c r="J85" s="28"/>
      <c r="K85" s="166"/>
      <c r="L85" s="166"/>
      <c r="M85" s="16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8"/>
      <c r="C86" s="166"/>
      <c r="D86" s="166"/>
      <c r="E86" s="166"/>
      <c r="F86" s="28"/>
      <c r="G86" s="28"/>
      <c r="H86" s="28"/>
      <c r="I86" s="28"/>
      <c r="J86" s="28"/>
      <c r="K86" s="166"/>
      <c r="L86" s="166"/>
      <c r="M86" s="16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8"/>
      <c r="C87" s="166"/>
      <c r="D87" s="166"/>
      <c r="E87" s="166"/>
      <c r="F87" s="28"/>
      <c r="G87" s="28"/>
      <c r="H87" s="28"/>
      <c r="I87" s="28"/>
      <c r="J87" s="28"/>
      <c r="K87" s="166"/>
      <c r="L87" s="166"/>
      <c r="M87" s="16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8"/>
      <c r="C88" s="166"/>
      <c r="D88" s="166"/>
      <c r="E88" s="166"/>
      <c r="F88" s="28"/>
      <c r="G88" s="28"/>
      <c r="H88" s="28"/>
      <c r="I88" s="28"/>
      <c r="J88" s="28"/>
      <c r="K88" s="166"/>
      <c r="L88" s="166"/>
      <c r="M88" s="16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8"/>
      <c r="C89" s="166"/>
      <c r="D89" s="166"/>
      <c r="E89" s="166"/>
      <c r="F89" s="28"/>
      <c r="G89" s="28"/>
      <c r="H89" s="28"/>
      <c r="I89" s="28"/>
      <c r="J89" s="28"/>
      <c r="K89" s="166"/>
      <c r="L89" s="166"/>
      <c r="M89" s="16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8"/>
      <c r="C90" s="166"/>
      <c r="D90" s="166"/>
      <c r="E90" s="166"/>
      <c r="F90" s="28"/>
      <c r="G90" s="28"/>
      <c r="H90" s="28"/>
      <c r="I90" s="28"/>
      <c r="J90" s="28"/>
      <c r="K90" s="166"/>
      <c r="L90" s="166"/>
      <c r="M90" s="16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8"/>
      <c r="C91" s="166"/>
      <c r="D91" s="166"/>
      <c r="E91" s="166"/>
      <c r="F91" s="28"/>
      <c r="G91" s="28"/>
      <c r="H91" s="28"/>
      <c r="I91" s="28"/>
      <c r="J91" s="28"/>
      <c r="K91" s="166"/>
      <c r="L91" s="166"/>
      <c r="M91" s="16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8"/>
      <c r="C92" s="166"/>
      <c r="D92" s="166"/>
      <c r="E92" s="166"/>
      <c r="F92" s="28"/>
      <c r="G92" s="28"/>
      <c r="H92" s="28"/>
      <c r="I92" s="28"/>
      <c r="J92" s="28"/>
      <c r="K92" s="166"/>
      <c r="L92" s="166"/>
      <c r="M92" s="16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8"/>
      <c r="C93" s="166"/>
      <c r="D93" s="166"/>
      <c r="E93" s="166"/>
      <c r="F93" s="28"/>
      <c r="G93" s="28"/>
      <c r="H93" s="28"/>
      <c r="I93" s="28"/>
      <c r="J93" s="28"/>
      <c r="K93" s="166"/>
      <c r="L93" s="166"/>
      <c r="M93" s="16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8"/>
      <c r="C94" s="166"/>
      <c r="D94" s="166"/>
      <c r="E94" s="166"/>
      <c r="F94" s="28"/>
      <c r="G94" s="28"/>
      <c r="H94" s="28"/>
      <c r="I94" s="28"/>
      <c r="J94" s="28"/>
      <c r="K94" s="166"/>
      <c r="L94" s="166"/>
      <c r="M94" s="16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8"/>
      <c r="C95" s="166"/>
      <c r="D95" s="166"/>
      <c r="E95" s="166"/>
      <c r="F95" s="28"/>
      <c r="G95" s="28"/>
      <c r="H95" s="28"/>
      <c r="I95" s="28"/>
      <c r="J95" s="28"/>
      <c r="K95" s="166"/>
      <c r="L95" s="166"/>
      <c r="M95" s="16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8"/>
      <c r="C96" s="166"/>
      <c r="D96" s="166"/>
      <c r="E96" s="166"/>
      <c r="F96" s="28"/>
      <c r="G96" s="28"/>
      <c r="H96" s="28"/>
      <c r="I96" s="28"/>
      <c r="J96" s="28"/>
      <c r="K96" s="166"/>
      <c r="L96" s="166"/>
      <c r="M96" s="16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8"/>
      <c r="C97" s="166"/>
      <c r="D97" s="166"/>
      <c r="E97" s="166"/>
      <c r="F97" s="28"/>
      <c r="G97" s="28"/>
      <c r="H97" s="28"/>
      <c r="I97" s="28"/>
      <c r="J97" s="28"/>
      <c r="K97" s="166"/>
      <c r="L97" s="166"/>
      <c r="M97" s="16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8"/>
      <c r="C98" s="166"/>
      <c r="D98" s="166"/>
      <c r="E98" s="166"/>
      <c r="F98" s="28"/>
      <c r="G98" s="28"/>
      <c r="H98" s="28"/>
      <c r="I98" s="28"/>
      <c r="J98" s="28"/>
      <c r="K98" s="166"/>
      <c r="L98" s="166"/>
      <c r="M98" s="16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8"/>
      <c r="C99" s="166"/>
      <c r="D99" s="166"/>
      <c r="E99" s="166"/>
      <c r="F99" s="28"/>
      <c r="G99" s="28"/>
      <c r="H99" s="28"/>
      <c r="I99" s="28"/>
      <c r="J99" s="28"/>
      <c r="K99" s="166"/>
      <c r="L99" s="166"/>
      <c r="M99" s="16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8"/>
      <c r="C100" s="166"/>
      <c r="D100" s="166"/>
      <c r="E100" s="166"/>
      <c r="F100" s="28"/>
      <c r="G100" s="28"/>
      <c r="H100" s="28"/>
      <c r="I100" s="28"/>
      <c r="J100" s="28"/>
      <c r="K100" s="166"/>
      <c r="L100" s="166"/>
      <c r="M100" s="16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8"/>
      <c r="C101" s="166"/>
      <c r="D101" s="166"/>
      <c r="E101" s="166"/>
      <c r="F101" s="28"/>
      <c r="G101" s="28"/>
      <c r="H101" s="28"/>
      <c r="I101" s="28"/>
      <c r="J101" s="28"/>
      <c r="K101" s="166"/>
      <c r="L101" s="166"/>
      <c r="M101" s="16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8"/>
      <c r="C102" s="166"/>
      <c r="D102" s="166"/>
      <c r="E102" s="166"/>
      <c r="F102" s="28"/>
      <c r="G102" s="28"/>
      <c r="H102" s="28"/>
      <c r="I102" s="28"/>
      <c r="J102" s="28"/>
      <c r="K102" s="166"/>
      <c r="L102" s="166"/>
      <c r="M102" s="16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8"/>
      <c r="C103" s="166"/>
      <c r="D103" s="166"/>
      <c r="E103" s="166"/>
      <c r="F103" s="28"/>
      <c r="G103" s="28"/>
      <c r="H103" s="28"/>
      <c r="I103" s="28"/>
      <c r="J103" s="28"/>
      <c r="K103" s="166"/>
      <c r="L103" s="166"/>
      <c r="M103" s="16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8"/>
      <c r="C104" s="166"/>
      <c r="D104" s="166"/>
      <c r="E104" s="166"/>
      <c r="F104" s="28"/>
      <c r="G104" s="28"/>
      <c r="H104" s="28"/>
      <c r="I104" s="28"/>
      <c r="J104" s="28"/>
      <c r="K104" s="166"/>
      <c r="L104" s="166"/>
      <c r="M104" s="16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8"/>
      <c r="C105" s="166"/>
      <c r="D105" s="166"/>
      <c r="E105" s="166"/>
      <c r="F105" s="28"/>
      <c r="G105" s="28"/>
      <c r="H105" s="28"/>
      <c r="I105" s="28"/>
      <c r="J105" s="28"/>
      <c r="K105" s="166"/>
      <c r="L105" s="166"/>
      <c r="M105" s="16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8"/>
      <c r="C106" s="166"/>
      <c r="D106" s="166"/>
      <c r="E106" s="166"/>
      <c r="F106" s="28"/>
      <c r="G106" s="28"/>
      <c r="H106" s="28"/>
      <c r="I106" s="28"/>
      <c r="J106" s="28"/>
      <c r="K106" s="166"/>
      <c r="L106" s="166"/>
      <c r="M106" s="16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8"/>
      <c r="C107" s="166"/>
      <c r="D107" s="166"/>
      <c r="E107" s="166"/>
      <c r="F107" s="28"/>
      <c r="G107" s="28"/>
      <c r="H107" s="28"/>
      <c r="I107" s="28"/>
      <c r="J107" s="28"/>
      <c r="K107" s="166"/>
      <c r="L107" s="166"/>
      <c r="M107" s="16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8"/>
      <c r="C108" s="166"/>
      <c r="D108" s="1"/>
      <c r="E108" s="166"/>
      <c r="F108" s="28"/>
      <c r="G108" s="28"/>
      <c r="H108" s="28"/>
      <c r="I108" s="28"/>
      <c r="J108" s="28"/>
      <c r="K108" s="166"/>
      <c r="L108" s="166"/>
      <c r="M108" s="16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4"/>
      <c r="C109" s="1"/>
      <c r="D109" s="1"/>
      <c r="E109" s="1"/>
      <c r="F109" s="1"/>
      <c r="G109" s="1"/>
      <c r="H109" s="1"/>
      <c r="I109" s="1"/>
      <c r="J109" s="1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4"/>
      <c r="C110" s="1"/>
      <c r="D110" s="1"/>
      <c r="E110" s="1"/>
      <c r="F110" s="1"/>
      <c r="G110" s="1"/>
      <c r="H110" s="1"/>
      <c r="I110" s="1"/>
      <c r="J110" s="1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4"/>
      <c r="C111" s="1"/>
      <c r="D111" s="1"/>
      <c r="E111" s="1"/>
      <c r="F111" s="1"/>
      <c r="G111" s="1"/>
      <c r="H111" s="1"/>
      <c r="I111" s="1"/>
      <c r="J111" s="1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4"/>
      <c r="C112" s="1"/>
      <c r="D112" s="1"/>
      <c r="E112" s="1"/>
      <c r="F112" s="1"/>
      <c r="G112" s="1"/>
      <c r="H112" s="1"/>
      <c r="I112" s="1"/>
      <c r="J112" s="1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4"/>
      <c r="C113" s="1"/>
      <c r="D113" s="1"/>
      <c r="E113" s="1"/>
      <c r="F113" s="1"/>
      <c r="G113" s="1"/>
      <c r="H113" s="1"/>
      <c r="I113" s="1"/>
      <c r="J113" s="1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132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132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132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132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132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132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132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132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132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132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132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132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132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132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132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132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133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2:G2"/>
    <mergeCell ref="H2:J2"/>
    <mergeCell ref="B4:C4"/>
    <mergeCell ref="D4:E4"/>
    <mergeCell ref="F4:G4"/>
    <mergeCell ref="B9:C9"/>
    <mergeCell ref="D9:E9"/>
    <mergeCell ref="F9:G9"/>
    <mergeCell ref="I16:J16"/>
    <mergeCell ref="A22:B22"/>
    <mergeCell ref="C22:D22"/>
    <mergeCell ref="J23:K23"/>
    <mergeCell ref="L23:N23"/>
    <mergeCell ref="L24:N24"/>
    <mergeCell ref="J28:K28"/>
    <mergeCell ref="L28:N28"/>
    <mergeCell ref="J29:K29"/>
    <mergeCell ref="L29:N29"/>
    <mergeCell ref="D31:E31"/>
    <mergeCell ref="J24:K24"/>
    <mergeCell ref="J25:K25"/>
    <mergeCell ref="L25:N25"/>
    <mergeCell ref="J26:K26"/>
    <mergeCell ref="L26:N26"/>
    <mergeCell ref="J27:K27"/>
    <mergeCell ref="L27:N27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6" max="6" width="22.57"/>
    <col customWidth="1" min="7" max="7" width="18.43"/>
    <col customWidth="1" min="8" max="8" width="29.14"/>
    <col customWidth="1" min="9" max="9" width="13.14"/>
    <col customWidth="1" min="10" max="10" width="19.14"/>
    <col customWidth="1" min="11" max="13" width="16.14"/>
    <col customWidth="1" min="14" max="14" width="17.14"/>
    <col customWidth="1" min="15" max="16" width="13.43"/>
    <col customWidth="1" min="17" max="17" width="8.57"/>
    <col customWidth="1" min="18" max="18" width="19.86"/>
  </cols>
  <sheetData>
    <row r="1" ht="15.0" customHeight="1">
      <c r="B1" s="195" t="s">
        <v>134</v>
      </c>
      <c r="C1" s="195" t="s">
        <v>135</v>
      </c>
      <c r="D1" s="195" t="s">
        <v>92</v>
      </c>
    </row>
    <row r="2" ht="15.0" customHeight="1">
      <c r="A2" s="196" t="s">
        <v>136</v>
      </c>
      <c r="B2" s="197">
        <f>25000+21000+2800</f>
        <v>48800</v>
      </c>
      <c r="C2" s="197">
        <v>4700.0</v>
      </c>
      <c r="D2" s="197">
        <f t="shared" ref="D2:D4" si="1">B2+C2</f>
        <v>53500</v>
      </c>
      <c r="F2" s="196">
        <f>47000+2500+19000</f>
        <v>68500</v>
      </c>
    </row>
    <row r="3" ht="15.0" customHeight="1">
      <c r="A3" s="196" t="s">
        <v>137</v>
      </c>
      <c r="B3" s="197">
        <v>21400.0</v>
      </c>
      <c r="C3" s="197">
        <v>6400.0</v>
      </c>
      <c r="D3" s="197">
        <f t="shared" si="1"/>
        <v>27800</v>
      </c>
    </row>
    <row r="4" ht="15.0" customHeight="1">
      <c r="A4" s="196" t="s">
        <v>138</v>
      </c>
      <c r="B4" s="197">
        <f>178+6000+1500+580+300+10</f>
        <v>8568</v>
      </c>
      <c r="D4" s="197">
        <f t="shared" si="1"/>
        <v>8568</v>
      </c>
      <c r="E4" s="197">
        <f>B3+B4+C5</f>
        <v>34288</v>
      </c>
      <c r="F4" s="198">
        <f>250000*0.3</f>
        <v>75000</v>
      </c>
    </row>
    <row r="5" ht="15.0" customHeight="1">
      <c r="A5" s="196" t="s">
        <v>139</v>
      </c>
      <c r="B5" s="197">
        <f>SUM(B2:B4)</f>
        <v>78768</v>
      </c>
      <c r="C5" s="197">
        <v>4320.0</v>
      </c>
      <c r="D5" s="197">
        <f>SUM(D2:D4)</f>
        <v>89868</v>
      </c>
      <c r="E5" s="197">
        <f>B6*0.047</f>
        <v>-940</v>
      </c>
    </row>
    <row r="6" ht="15.0" customHeight="1">
      <c r="A6" s="199" t="s">
        <v>140</v>
      </c>
      <c r="B6" s="200">
        <v>-20000.0</v>
      </c>
      <c r="C6" s="199"/>
      <c r="D6" s="200">
        <f>B5+B6+C5</f>
        <v>63088</v>
      </c>
      <c r="E6" s="199" t="s">
        <v>141</v>
      </c>
    </row>
    <row r="7" ht="15.0" customHeight="1">
      <c r="A7" s="198" t="s">
        <v>142</v>
      </c>
      <c r="B7" s="197">
        <f>D2</f>
        <v>53500</v>
      </c>
      <c r="C7" s="197">
        <f>D3</f>
        <v>27800</v>
      </c>
      <c r="D7" s="197">
        <f>B7+C7+D4</f>
        <v>89868</v>
      </c>
    </row>
    <row r="8" ht="27.0" customHeight="1">
      <c r="A8" s="196" t="s">
        <v>143</v>
      </c>
      <c r="B8" s="197">
        <f>D5</f>
        <v>89868</v>
      </c>
      <c r="F8" s="201" t="s">
        <v>144</v>
      </c>
      <c r="G8" s="201" t="s">
        <v>145</v>
      </c>
      <c r="H8" s="202" t="s">
        <v>146</v>
      </c>
      <c r="I8" s="201" t="s">
        <v>147</v>
      </c>
      <c r="J8" s="203" t="s">
        <v>148</v>
      </c>
      <c r="K8" s="203" t="s">
        <v>149</v>
      </c>
      <c r="L8" s="204" t="s">
        <v>150</v>
      </c>
      <c r="M8" s="203" t="s">
        <v>151</v>
      </c>
      <c r="N8" s="203" t="s">
        <v>152</v>
      </c>
      <c r="O8" s="205" t="s">
        <v>153</v>
      </c>
      <c r="P8" s="195" t="s">
        <v>154</v>
      </c>
      <c r="Q8" s="195"/>
      <c r="R8" s="206" t="s">
        <v>155</v>
      </c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</row>
    <row r="9">
      <c r="A9" s="196" t="s">
        <v>138</v>
      </c>
      <c r="B9" s="196" t="s">
        <v>156</v>
      </c>
      <c r="C9" s="196" t="s">
        <v>157</v>
      </c>
      <c r="F9" s="207" t="s">
        <v>158</v>
      </c>
      <c r="G9" s="207"/>
      <c r="H9" s="208">
        <v>43763.0</v>
      </c>
      <c r="I9" s="209">
        <v>131.2</v>
      </c>
      <c r="J9" s="210">
        <v>1.0</v>
      </c>
      <c r="K9" s="211">
        <f t="shared" ref="K9:K48" si="2">J9*I9</f>
        <v>131.2</v>
      </c>
      <c r="L9" s="212">
        <v>187.5</v>
      </c>
      <c r="M9" s="213">
        <f t="shared" ref="M9:M10" si="3">J9*L9</f>
        <v>187.5</v>
      </c>
      <c r="N9" s="214">
        <f t="array" ref="N9">SUM(K9:K46-K11)</f>
        <v>1669.85544</v>
      </c>
      <c r="O9" s="215">
        <f>SUM(M9:M51)</f>
        <v>2603.880685</v>
      </c>
      <c r="P9" s="198">
        <f>443+1577.49</f>
        <v>2020.49</v>
      </c>
      <c r="Q9" s="216">
        <f>O9-P9</f>
        <v>583.3906852</v>
      </c>
      <c r="R9" s="217">
        <v>44297.0</v>
      </c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</row>
    <row r="10">
      <c r="A10" s="197">
        <f>B4</f>
        <v>8568</v>
      </c>
      <c r="B10" s="197">
        <f>D3</f>
        <v>27800</v>
      </c>
      <c r="C10" s="197">
        <f>D2</f>
        <v>53500</v>
      </c>
      <c r="F10" s="207" t="s">
        <v>159</v>
      </c>
      <c r="G10" s="207"/>
      <c r="H10" s="208">
        <v>43763.0</v>
      </c>
      <c r="I10" s="209">
        <v>31.79</v>
      </c>
      <c r="J10" s="218">
        <v>1.015224</v>
      </c>
      <c r="K10" s="211">
        <f t="shared" si="2"/>
        <v>32.27397096</v>
      </c>
      <c r="L10" s="212">
        <v>40.0</v>
      </c>
      <c r="M10" s="213">
        <f t="shared" si="3"/>
        <v>40.60896</v>
      </c>
      <c r="N10" s="219"/>
      <c r="O10" s="195"/>
      <c r="P10" s="195"/>
      <c r="Q10" s="195"/>
      <c r="R10" s="220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</row>
    <row r="11">
      <c r="F11" s="207" t="s">
        <v>160</v>
      </c>
      <c r="G11" s="207" t="s">
        <v>161</v>
      </c>
      <c r="H11" s="208">
        <v>43766.0</v>
      </c>
      <c r="I11" s="209">
        <v>4.48</v>
      </c>
      <c r="J11" s="218">
        <v>3.0</v>
      </c>
      <c r="K11" s="211">
        <f t="shared" si="2"/>
        <v>13.44</v>
      </c>
      <c r="L11" s="212"/>
      <c r="M11" s="213"/>
      <c r="N11" s="219"/>
      <c r="O11" s="195"/>
      <c r="P11" s="195"/>
      <c r="Q11" s="195"/>
      <c r="R11" s="220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</row>
    <row r="12">
      <c r="F12" s="207" t="s">
        <v>162</v>
      </c>
      <c r="G12" s="207"/>
      <c r="H12" s="208">
        <v>43768.0</v>
      </c>
      <c r="I12" s="209">
        <v>132.96</v>
      </c>
      <c r="J12" s="218">
        <v>1.006809</v>
      </c>
      <c r="K12" s="211">
        <f t="shared" si="2"/>
        <v>133.8653246</v>
      </c>
      <c r="L12" s="212">
        <v>161.0</v>
      </c>
      <c r="M12" s="213">
        <f t="shared" ref="M12:M39" si="4">J12*L12</f>
        <v>162.096249</v>
      </c>
      <c r="N12" s="219"/>
      <c r="O12" s="195"/>
      <c r="P12" s="195"/>
      <c r="Q12" s="195"/>
      <c r="R12" s="220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</row>
    <row r="13">
      <c r="F13" s="207" t="s">
        <v>163</v>
      </c>
      <c r="G13" s="207"/>
      <c r="H13" s="208">
        <v>43809.0</v>
      </c>
      <c r="I13" s="209">
        <v>272.95</v>
      </c>
      <c r="J13" s="218">
        <v>0.501909</v>
      </c>
      <c r="K13" s="211">
        <f t="shared" si="2"/>
        <v>136.9960616</v>
      </c>
      <c r="L13" s="212">
        <v>369.1</v>
      </c>
      <c r="M13" s="213">
        <f t="shared" si="4"/>
        <v>185.2546119</v>
      </c>
      <c r="N13" s="219"/>
      <c r="O13" s="195"/>
      <c r="P13" s="195"/>
      <c r="Q13" s="195"/>
      <c r="R13" s="220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</row>
    <row r="14">
      <c r="F14" s="207" t="s">
        <v>164</v>
      </c>
      <c r="G14" s="207"/>
      <c r="H14" s="208">
        <v>43829.0</v>
      </c>
      <c r="I14" s="209">
        <v>99.95</v>
      </c>
      <c r="J14" s="218">
        <v>1.003802</v>
      </c>
      <c r="K14" s="211">
        <f t="shared" si="2"/>
        <v>100.3300099</v>
      </c>
      <c r="L14" s="212">
        <v>131.29</v>
      </c>
      <c r="M14" s="213">
        <f t="shared" si="4"/>
        <v>131.7891646</v>
      </c>
      <c r="N14" s="219"/>
      <c r="O14" s="195"/>
      <c r="P14" s="195"/>
      <c r="Q14" s="195"/>
      <c r="R14" s="220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</row>
    <row r="15">
      <c r="F15" s="207" t="s">
        <v>165</v>
      </c>
      <c r="G15" s="207"/>
      <c r="H15" s="208">
        <v>43829.0</v>
      </c>
      <c r="I15" s="209">
        <v>57.81</v>
      </c>
      <c r="J15" s="218">
        <v>1.008854</v>
      </c>
      <c r="K15" s="211">
        <f t="shared" si="2"/>
        <v>58.32184974</v>
      </c>
      <c r="L15" s="212">
        <v>122.78</v>
      </c>
      <c r="M15" s="213">
        <f t="shared" si="4"/>
        <v>123.8670941</v>
      </c>
      <c r="N15" s="219"/>
      <c r="O15" s="195" t="s">
        <v>166</v>
      </c>
      <c r="P15" s="195"/>
      <c r="Q15" s="195"/>
      <c r="R15" s="220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</row>
    <row r="16">
      <c r="F16" s="207" t="s">
        <v>167</v>
      </c>
      <c r="G16" s="207"/>
      <c r="H16" s="208">
        <v>43830.0</v>
      </c>
      <c r="I16" s="209">
        <v>47.84</v>
      </c>
      <c r="J16" s="218">
        <v>1.0</v>
      </c>
      <c r="K16" s="211">
        <f t="shared" si="2"/>
        <v>47.84</v>
      </c>
      <c r="L16" s="212">
        <v>79.47</v>
      </c>
      <c r="M16" s="213">
        <f t="shared" si="4"/>
        <v>79.47</v>
      </c>
      <c r="N16" s="219"/>
      <c r="O16" s="195"/>
      <c r="P16" s="195"/>
      <c r="Q16" s="195"/>
      <c r="R16" s="220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</row>
    <row r="17">
      <c r="F17" s="207" t="s">
        <v>168</v>
      </c>
      <c r="G17" s="207"/>
      <c r="H17" s="208">
        <v>43838.0</v>
      </c>
      <c r="I17" s="209">
        <v>55.93</v>
      </c>
      <c r="J17" s="218">
        <v>6.07</v>
      </c>
      <c r="K17" s="211">
        <f t="shared" si="2"/>
        <v>339.4951</v>
      </c>
      <c r="L17" s="212">
        <v>33.24</v>
      </c>
      <c r="M17" s="213">
        <f t="shared" si="4"/>
        <v>201.7668</v>
      </c>
      <c r="N17" s="219"/>
      <c r="O17" s="195"/>
      <c r="P17" s="195"/>
      <c r="Q17" s="195"/>
      <c r="R17" s="220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</row>
    <row r="18">
      <c r="F18" s="207"/>
      <c r="G18" s="207"/>
      <c r="H18" s="208">
        <v>44298.0</v>
      </c>
      <c r="I18" s="209">
        <v>32.34</v>
      </c>
      <c r="J18" s="221">
        <v>7.513803</v>
      </c>
      <c r="K18" s="211">
        <f t="shared" si="2"/>
        <v>242.996389</v>
      </c>
      <c r="L18" s="212">
        <v>33.24</v>
      </c>
      <c r="M18" s="213">
        <f t="shared" si="4"/>
        <v>249.7588117</v>
      </c>
      <c r="N18" s="219"/>
      <c r="O18" s="195"/>
      <c r="P18" s="195"/>
      <c r="Q18" s="195"/>
      <c r="R18" s="220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</row>
    <row r="19">
      <c r="F19" s="207"/>
      <c r="G19" s="207"/>
      <c r="H19" s="208">
        <v>44298.0</v>
      </c>
      <c r="I19" s="209">
        <v>33.09</v>
      </c>
      <c r="J19" s="195">
        <v>0.031734</v>
      </c>
      <c r="K19" s="211">
        <f t="shared" si="2"/>
        <v>1.05007806</v>
      </c>
      <c r="L19" s="212">
        <v>33.24</v>
      </c>
      <c r="M19" s="213">
        <f t="shared" si="4"/>
        <v>1.05483816</v>
      </c>
      <c r="N19" s="219"/>
      <c r="O19" s="195"/>
      <c r="P19" s="195"/>
      <c r="Q19" s="195"/>
      <c r="R19" s="220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</row>
    <row r="20">
      <c r="F20" s="207" t="s">
        <v>169</v>
      </c>
      <c r="G20" s="207"/>
      <c r="H20" s="208">
        <v>43871.0</v>
      </c>
      <c r="I20" s="209">
        <v>4.17</v>
      </c>
      <c r="J20" s="218">
        <v>1.0</v>
      </c>
      <c r="K20" s="211">
        <f t="shared" si="2"/>
        <v>4.17</v>
      </c>
      <c r="L20" s="212">
        <v>7.08</v>
      </c>
      <c r="M20" s="213">
        <f t="shared" si="4"/>
        <v>7.08</v>
      </c>
      <c r="N20" s="219"/>
      <c r="O20" s="195"/>
      <c r="P20" s="195"/>
      <c r="Q20" s="195"/>
      <c r="R20" s="220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</row>
    <row r="21" ht="15.75" customHeight="1">
      <c r="F21" s="207" t="s">
        <v>170</v>
      </c>
      <c r="G21" s="207"/>
      <c r="H21" s="208">
        <v>43917.0</v>
      </c>
      <c r="I21" s="209">
        <v>5.0</v>
      </c>
      <c r="J21" s="222">
        <v>13.0</v>
      </c>
      <c r="K21" s="211">
        <f t="shared" si="2"/>
        <v>65</v>
      </c>
      <c r="L21" s="212">
        <v>12.48</v>
      </c>
      <c r="M21" s="213">
        <f t="shared" si="4"/>
        <v>162.24</v>
      </c>
      <c r="N21" s="219"/>
      <c r="O21" s="195"/>
      <c r="P21" s="195"/>
      <c r="Q21" s="195"/>
      <c r="R21" s="220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</row>
    <row r="22" ht="15.75" customHeight="1">
      <c r="F22" s="207" t="s">
        <v>171</v>
      </c>
      <c r="G22" s="207"/>
      <c r="H22" s="208">
        <v>43942.0</v>
      </c>
      <c r="I22" s="209">
        <v>9.03</v>
      </c>
      <c r="J22" s="218">
        <v>1.0</v>
      </c>
      <c r="K22" s="211">
        <f t="shared" si="2"/>
        <v>9.03</v>
      </c>
      <c r="L22" s="212">
        <v>12.4</v>
      </c>
      <c r="M22" s="213">
        <f t="shared" si="4"/>
        <v>12.4</v>
      </c>
      <c r="N22" s="219"/>
      <c r="O22" s="195"/>
      <c r="P22" s="195"/>
      <c r="Q22" s="195"/>
      <c r="R22" s="220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</row>
    <row r="23" ht="15.75" customHeight="1">
      <c r="F23" s="207"/>
      <c r="G23" s="207"/>
      <c r="H23" s="208">
        <v>44299.0</v>
      </c>
      <c r="I23" s="209">
        <v>12.47</v>
      </c>
      <c r="J23" s="218">
        <v>8.019448</v>
      </c>
      <c r="K23" s="211">
        <f t="shared" si="2"/>
        <v>100.0025166</v>
      </c>
      <c r="L23" s="212">
        <v>12.47</v>
      </c>
      <c r="M23" s="213">
        <f t="shared" si="4"/>
        <v>100.0025166</v>
      </c>
      <c r="N23" s="219"/>
      <c r="O23" s="195"/>
      <c r="P23" s="195"/>
      <c r="Q23" s="195"/>
      <c r="R23" s="220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</row>
    <row r="24" ht="15.75" customHeight="1">
      <c r="F24" s="207" t="s">
        <v>172</v>
      </c>
      <c r="G24" s="207"/>
      <c r="H24" s="208">
        <v>43969.0</v>
      </c>
      <c r="I24" s="209">
        <v>9.06</v>
      </c>
      <c r="J24" s="218">
        <v>1.0</v>
      </c>
      <c r="K24" s="211">
        <f t="shared" si="2"/>
        <v>9.06</v>
      </c>
      <c r="L24" s="212">
        <v>35.99</v>
      </c>
      <c r="M24" s="213">
        <f t="shared" si="4"/>
        <v>35.99</v>
      </c>
      <c r="N24" s="219"/>
      <c r="O24" s="195"/>
      <c r="P24" s="195"/>
      <c r="Q24" s="195"/>
      <c r="R24" s="220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</row>
    <row r="25" ht="15.75" customHeight="1">
      <c r="F25" s="207" t="s">
        <v>173</v>
      </c>
      <c r="G25" s="207"/>
      <c r="H25" s="208">
        <v>44006.0</v>
      </c>
      <c r="I25" s="209">
        <v>14.0</v>
      </c>
      <c r="J25" s="218">
        <v>0.081725</v>
      </c>
      <c r="K25" s="211">
        <f t="shared" si="2"/>
        <v>1.14415</v>
      </c>
      <c r="L25" s="212">
        <v>189.66</v>
      </c>
      <c r="M25" s="213">
        <f t="shared" si="4"/>
        <v>15.4999635</v>
      </c>
      <c r="N25" s="219"/>
      <c r="O25" s="195"/>
      <c r="P25" s="195"/>
      <c r="Q25" s="195"/>
      <c r="R25" s="220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</row>
    <row r="26" ht="15.75" customHeight="1">
      <c r="F26" s="207" t="s">
        <v>174</v>
      </c>
      <c r="G26" s="207"/>
      <c r="H26" s="208">
        <v>43994.0</v>
      </c>
      <c r="I26" s="209">
        <v>2.01</v>
      </c>
      <c r="J26" s="218">
        <v>2.1054E-4</v>
      </c>
      <c r="K26" s="211">
        <f t="shared" si="2"/>
        <v>0.0004231854</v>
      </c>
      <c r="L26" s="212">
        <v>59656.0</v>
      </c>
      <c r="M26" s="213">
        <f t="shared" si="4"/>
        <v>12.55997424</v>
      </c>
      <c r="N26" s="219"/>
      <c r="O26" s="195"/>
      <c r="P26" s="195"/>
      <c r="Q26" s="195"/>
      <c r="R26" s="212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</row>
    <row r="27" ht="15.75" customHeight="1">
      <c r="F27" s="207" t="s">
        <v>175</v>
      </c>
      <c r="G27" s="207"/>
      <c r="H27" s="208">
        <v>43997.0</v>
      </c>
      <c r="I27" s="209">
        <v>189.21</v>
      </c>
      <c r="J27" s="218">
        <v>1.0</v>
      </c>
      <c r="K27" s="211">
        <f t="shared" si="2"/>
        <v>189.21</v>
      </c>
      <c r="L27" s="212">
        <v>251.7</v>
      </c>
      <c r="M27" s="213">
        <f t="shared" si="4"/>
        <v>251.7</v>
      </c>
      <c r="N27" s="219"/>
      <c r="O27" s="195"/>
      <c r="P27" s="195"/>
      <c r="Q27" s="195"/>
      <c r="R27" s="212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</row>
    <row r="28" ht="15.75" customHeight="1">
      <c r="F28" s="219" t="s">
        <v>176</v>
      </c>
      <c r="G28" s="219"/>
      <c r="H28" s="223">
        <v>44116.0</v>
      </c>
      <c r="I28" s="224">
        <v>20.0</v>
      </c>
      <c r="J28" s="218">
        <v>0.08234145</v>
      </c>
      <c r="K28" s="211">
        <f t="shared" si="2"/>
        <v>1.646829</v>
      </c>
      <c r="L28" s="212">
        <v>55.93</v>
      </c>
      <c r="M28" s="213">
        <f t="shared" si="4"/>
        <v>4.605357299</v>
      </c>
      <c r="N28" s="219"/>
      <c r="O28" s="195"/>
      <c r="P28" s="195"/>
      <c r="Q28" s="195"/>
      <c r="R28" s="212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</row>
    <row r="29" ht="15.75" customHeight="1">
      <c r="F29" s="225" t="s">
        <v>177</v>
      </c>
      <c r="G29" s="207"/>
      <c r="H29" s="226">
        <v>44116.0</v>
      </c>
      <c r="I29" s="209">
        <v>180.71</v>
      </c>
      <c r="J29" s="227">
        <v>1.0</v>
      </c>
      <c r="K29" s="211">
        <f t="shared" si="2"/>
        <v>180.71</v>
      </c>
      <c r="L29" s="212">
        <v>162.38</v>
      </c>
      <c r="M29" s="213">
        <f t="shared" si="4"/>
        <v>162.38</v>
      </c>
      <c r="N29" s="228"/>
      <c r="O29" s="195"/>
      <c r="P29" s="195"/>
      <c r="Q29" s="195"/>
      <c r="R29" s="212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</row>
    <row r="30" ht="15.75" customHeight="1">
      <c r="F30" s="207" t="s">
        <v>178</v>
      </c>
      <c r="G30" s="207"/>
      <c r="H30" s="226">
        <v>44116.0</v>
      </c>
      <c r="I30" s="209">
        <v>23.46</v>
      </c>
      <c r="J30" s="218">
        <v>3.0</v>
      </c>
      <c r="K30" s="211">
        <f t="shared" si="2"/>
        <v>70.38</v>
      </c>
      <c r="L30" s="212">
        <v>23.05</v>
      </c>
      <c r="M30" s="213">
        <f t="shared" si="4"/>
        <v>69.15</v>
      </c>
      <c r="N30" s="219"/>
      <c r="O30" s="195"/>
      <c r="P30" s="195"/>
      <c r="Q30" s="195"/>
      <c r="R30" s="212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</row>
    <row r="31" ht="15.75" customHeight="1">
      <c r="F31" s="207" t="s">
        <v>179</v>
      </c>
      <c r="G31" s="207"/>
      <c r="H31" s="208">
        <v>44138.0</v>
      </c>
      <c r="I31" s="209">
        <v>55.5</v>
      </c>
      <c r="J31" s="218">
        <v>0.02</v>
      </c>
      <c r="K31" s="211">
        <f t="shared" si="2"/>
        <v>1.11</v>
      </c>
      <c r="L31" s="212">
        <v>58.33</v>
      </c>
      <c r="M31" s="213">
        <f t="shared" si="4"/>
        <v>1.1666</v>
      </c>
      <c r="N31" s="219"/>
      <c r="O31" s="195"/>
      <c r="P31" s="195"/>
      <c r="Q31" s="195"/>
      <c r="R31" s="212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</row>
    <row r="32" ht="15.75" customHeight="1">
      <c r="F32" s="219" t="s">
        <v>180</v>
      </c>
      <c r="G32" s="219"/>
      <c r="H32" s="223">
        <v>44216.0</v>
      </c>
      <c r="I32" s="224">
        <v>1877.5</v>
      </c>
      <c r="J32" s="229">
        <v>0.004</v>
      </c>
      <c r="K32" s="224">
        <f t="shared" si="2"/>
        <v>7.51</v>
      </c>
      <c r="L32" s="212">
        <v>2254.79</v>
      </c>
      <c r="M32" s="213">
        <f t="shared" si="4"/>
        <v>9.01916</v>
      </c>
      <c r="N32" s="219"/>
      <c r="O32" s="195"/>
      <c r="P32" s="195"/>
      <c r="Q32" s="195"/>
      <c r="R32" s="212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</row>
    <row r="33" ht="15.75" customHeight="1">
      <c r="F33" s="219" t="s">
        <v>181</v>
      </c>
      <c r="G33" s="219"/>
      <c r="H33" s="223">
        <v>44298.0</v>
      </c>
      <c r="I33" s="224">
        <v>56.0</v>
      </c>
      <c r="J33" s="229">
        <v>0.21</v>
      </c>
      <c r="K33" s="224">
        <f t="shared" si="2"/>
        <v>11.76</v>
      </c>
      <c r="L33" s="212">
        <v>59.56</v>
      </c>
      <c r="M33" s="213">
        <f t="shared" si="4"/>
        <v>12.5076</v>
      </c>
      <c r="N33" s="219"/>
      <c r="O33" s="195"/>
      <c r="P33" s="195"/>
      <c r="Q33" s="195"/>
      <c r="R33" s="212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</row>
    <row r="34" ht="15.75" customHeight="1">
      <c r="F34" s="230" t="s">
        <v>182</v>
      </c>
      <c r="G34" s="219"/>
      <c r="H34" s="223">
        <v>44262.0</v>
      </c>
      <c r="I34" s="224">
        <v>26.98</v>
      </c>
      <c r="J34" s="229">
        <f>3.4</f>
        <v>3.4</v>
      </c>
      <c r="K34" s="224">
        <f t="shared" si="2"/>
        <v>91.732</v>
      </c>
      <c r="L34" s="212">
        <v>53.9</v>
      </c>
      <c r="M34" s="213">
        <f t="shared" si="4"/>
        <v>183.26</v>
      </c>
      <c r="N34" s="219"/>
      <c r="O34" s="195"/>
      <c r="P34" s="195"/>
      <c r="Q34" s="195"/>
      <c r="R34" s="212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</row>
    <row r="35" ht="15.75" customHeight="1">
      <c r="F35" s="230"/>
      <c r="G35" s="219"/>
      <c r="H35" s="223">
        <v>44295.0</v>
      </c>
      <c r="I35" s="224">
        <v>26.93</v>
      </c>
      <c r="J35" s="229">
        <v>0.003713</v>
      </c>
      <c r="K35" s="224">
        <f t="shared" si="2"/>
        <v>0.09999109</v>
      </c>
      <c r="L35" s="212">
        <v>53.9</v>
      </c>
      <c r="M35" s="213">
        <f t="shared" si="4"/>
        <v>0.2001307</v>
      </c>
      <c r="N35" s="219"/>
      <c r="O35" s="195"/>
      <c r="P35" s="195"/>
      <c r="Q35" s="195"/>
      <c r="R35" s="212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</row>
    <row r="36" ht="15.75" customHeight="1">
      <c r="F36" s="230" t="s">
        <v>183</v>
      </c>
      <c r="G36" s="219"/>
      <c r="H36" s="223">
        <v>44262.0</v>
      </c>
      <c r="I36" s="224">
        <v>50.06</v>
      </c>
      <c r="J36" s="219">
        <f>2</f>
        <v>2</v>
      </c>
      <c r="K36" s="224">
        <f t="shared" si="2"/>
        <v>100.12</v>
      </c>
      <c r="L36" s="212">
        <v>50.15</v>
      </c>
      <c r="M36" s="213">
        <f t="shared" si="4"/>
        <v>100.3</v>
      </c>
      <c r="N36" s="219"/>
      <c r="O36" s="195"/>
      <c r="P36" s="195"/>
      <c r="Q36" s="195"/>
      <c r="R36" s="212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</row>
    <row r="37" ht="15.75" customHeight="1">
      <c r="F37" s="195"/>
      <c r="G37" s="195"/>
      <c r="H37" s="223">
        <v>44295.0</v>
      </c>
      <c r="I37" s="231">
        <v>50.16</v>
      </c>
      <c r="J37" s="195">
        <v>0.001595</v>
      </c>
      <c r="K37" s="224">
        <f t="shared" si="2"/>
        <v>0.0800052</v>
      </c>
      <c r="L37" s="212">
        <v>50.15</v>
      </c>
      <c r="M37" s="213">
        <f t="shared" si="4"/>
        <v>0.07998925</v>
      </c>
      <c r="N37" s="195"/>
      <c r="O37" s="195"/>
      <c r="P37" s="195"/>
      <c r="Q37" s="195"/>
      <c r="R37" s="212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</row>
    <row r="38" ht="15.75" customHeight="1">
      <c r="F38" s="195" t="s">
        <v>184</v>
      </c>
      <c r="G38" s="195"/>
      <c r="H38" s="208">
        <v>44299.0</v>
      </c>
      <c r="I38" s="231">
        <v>132.4</v>
      </c>
      <c r="J38" s="195">
        <v>0.377643</v>
      </c>
      <c r="K38" s="224">
        <f t="shared" si="2"/>
        <v>49.9999332</v>
      </c>
      <c r="L38" s="212">
        <v>133.4</v>
      </c>
      <c r="M38" s="213">
        <f t="shared" si="4"/>
        <v>50.3775762</v>
      </c>
      <c r="N38" s="195"/>
      <c r="O38" s="195"/>
      <c r="P38" s="195"/>
      <c r="Q38" s="195"/>
      <c r="R38" s="212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</row>
    <row r="39" ht="15.75" customHeight="1">
      <c r="F39" s="195" t="s">
        <v>185</v>
      </c>
      <c r="G39" s="195"/>
      <c r="H39" s="208">
        <v>44299.0</v>
      </c>
      <c r="I39" s="231">
        <v>257.1</v>
      </c>
      <c r="J39" s="195">
        <v>0.19448</v>
      </c>
      <c r="K39" s="224">
        <f t="shared" si="2"/>
        <v>50.000808</v>
      </c>
      <c r="L39" s="212">
        <v>258.1</v>
      </c>
      <c r="M39" s="213">
        <f t="shared" si="4"/>
        <v>50.195288</v>
      </c>
      <c r="N39" s="195"/>
      <c r="O39" s="195"/>
      <c r="P39" s="195"/>
      <c r="Q39" s="195"/>
      <c r="R39" s="212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</row>
    <row r="40" ht="15.75" customHeight="1">
      <c r="F40" s="195"/>
      <c r="G40" s="195"/>
      <c r="H40" s="217"/>
      <c r="I40" s="231"/>
      <c r="J40" s="195"/>
      <c r="K40" s="224">
        <f t="shared" si="2"/>
        <v>0</v>
      </c>
      <c r="L40" s="212"/>
      <c r="M40" s="195"/>
      <c r="N40" s="195"/>
      <c r="O40" s="195"/>
      <c r="P40" s="195"/>
      <c r="Q40" s="195"/>
      <c r="R40" s="212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</row>
    <row r="41" ht="15.75" customHeight="1">
      <c r="F41" s="195"/>
      <c r="G41" s="195"/>
      <c r="H41" s="217"/>
      <c r="I41" s="231"/>
      <c r="J41" s="195"/>
      <c r="K41" s="224">
        <f t="shared" si="2"/>
        <v>0</v>
      </c>
      <c r="L41" s="212"/>
      <c r="M41" s="195"/>
      <c r="N41" s="195"/>
      <c r="O41" s="195"/>
      <c r="P41" s="195"/>
      <c r="Q41" s="195"/>
      <c r="R41" s="212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</row>
    <row r="42" ht="15.75" customHeight="1">
      <c r="F42" s="195"/>
      <c r="G42" s="195"/>
      <c r="H42" s="217"/>
      <c r="I42" s="231"/>
      <c r="J42" s="195"/>
      <c r="K42" s="224">
        <f t="shared" si="2"/>
        <v>0</v>
      </c>
      <c r="L42" s="212"/>
      <c r="M42" s="195"/>
      <c r="N42" s="195"/>
      <c r="O42" s="195"/>
      <c r="P42" s="195"/>
      <c r="Q42" s="195"/>
      <c r="R42" s="220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</row>
    <row r="43" ht="15.75" customHeight="1">
      <c r="F43" s="195"/>
      <c r="G43" s="195"/>
      <c r="H43" s="217"/>
      <c r="I43" s="231"/>
      <c r="J43" s="195"/>
      <c r="K43" s="224">
        <f t="shared" si="2"/>
        <v>0</v>
      </c>
      <c r="L43" s="212"/>
      <c r="M43" s="195"/>
      <c r="N43" s="195"/>
      <c r="O43" s="195"/>
      <c r="P43" s="195"/>
      <c r="Q43" s="195"/>
      <c r="R43" s="220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</row>
    <row r="44" ht="15.75" customHeight="1">
      <c r="F44" s="195"/>
      <c r="G44" s="195"/>
      <c r="H44" s="217"/>
      <c r="I44" s="231"/>
      <c r="J44" s="195"/>
      <c r="K44" s="224">
        <f t="shared" si="2"/>
        <v>0</v>
      </c>
      <c r="L44" s="212"/>
      <c r="M44" s="195"/>
      <c r="N44" s="195"/>
      <c r="O44" s="195"/>
      <c r="P44" s="195"/>
      <c r="Q44" s="195"/>
      <c r="R44" s="220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</row>
    <row r="45" ht="15.75" customHeight="1">
      <c r="F45" s="195"/>
      <c r="G45" s="195"/>
      <c r="H45" s="217"/>
      <c r="I45" s="231"/>
      <c r="J45" s="195"/>
      <c r="K45" s="224">
        <f t="shared" si="2"/>
        <v>0</v>
      </c>
      <c r="L45" s="212"/>
      <c r="M45" s="195"/>
      <c r="N45" s="195"/>
      <c r="O45" s="195"/>
      <c r="P45" s="195"/>
      <c r="Q45" s="195"/>
      <c r="R45" s="220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</row>
    <row r="46" ht="15.75" customHeight="1">
      <c r="F46" s="195"/>
      <c r="G46" s="195"/>
      <c r="H46" s="217"/>
      <c r="I46" s="231"/>
      <c r="J46" s="195"/>
      <c r="K46" s="224">
        <f t="shared" si="2"/>
        <v>0</v>
      </c>
      <c r="L46" s="212"/>
      <c r="M46" s="195"/>
      <c r="N46" s="195"/>
      <c r="O46" s="195"/>
      <c r="P46" s="195"/>
      <c r="Q46" s="195"/>
      <c r="R46" s="220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</row>
    <row r="47" ht="15.75" customHeight="1">
      <c r="F47" s="195"/>
      <c r="G47" s="195"/>
      <c r="H47" s="217"/>
      <c r="I47" s="231"/>
      <c r="J47" s="195"/>
      <c r="K47" s="224">
        <f t="shared" si="2"/>
        <v>0</v>
      </c>
      <c r="L47" s="212"/>
      <c r="M47" s="195"/>
      <c r="N47" s="195"/>
      <c r="O47" s="195"/>
      <c r="P47" s="195"/>
      <c r="Q47" s="195"/>
      <c r="R47" s="220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</row>
    <row r="48" ht="15.75" customHeight="1">
      <c r="F48" s="195"/>
      <c r="G48" s="195"/>
      <c r="H48" s="217"/>
      <c r="I48" s="231"/>
      <c r="J48" s="195"/>
      <c r="K48" s="224">
        <f t="shared" si="2"/>
        <v>0</v>
      </c>
      <c r="L48" s="212"/>
      <c r="M48" s="195"/>
      <c r="N48" s="195"/>
      <c r="O48" s="195"/>
      <c r="P48" s="195"/>
      <c r="Q48" s="195"/>
      <c r="R48" s="220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</row>
    <row r="49" ht="15.75" customHeight="1">
      <c r="F49" s="195"/>
      <c r="G49" s="195"/>
      <c r="H49" s="217"/>
      <c r="I49" s="195"/>
      <c r="J49" s="195"/>
      <c r="K49" s="195"/>
      <c r="L49" s="212"/>
      <c r="M49" s="195"/>
      <c r="N49" s="195"/>
      <c r="O49" s="195"/>
      <c r="P49" s="195"/>
      <c r="Q49" s="195"/>
      <c r="R49" s="220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</row>
    <row r="50" ht="15.75" customHeight="1">
      <c r="F50" s="195"/>
      <c r="G50" s="195"/>
      <c r="H50" s="217"/>
      <c r="I50" s="195"/>
      <c r="J50" s="195"/>
      <c r="K50" s="195"/>
      <c r="L50" s="212"/>
      <c r="M50" s="195"/>
      <c r="N50" s="195"/>
      <c r="O50" s="195"/>
      <c r="P50" s="195"/>
      <c r="Q50" s="195"/>
      <c r="R50" s="220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</row>
    <row r="51" ht="15.75" customHeight="1">
      <c r="F51" s="195"/>
      <c r="G51" s="195"/>
      <c r="H51" s="217"/>
      <c r="I51" s="195"/>
      <c r="J51" s="195"/>
      <c r="K51" s="195"/>
      <c r="L51" s="212"/>
      <c r="M51" s="195"/>
      <c r="N51" s="195"/>
      <c r="O51" s="195"/>
      <c r="P51" s="195"/>
      <c r="Q51" s="195"/>
      <c r="R51" s="220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</row>
    <row r="52" ht="15.75" customHeight="1">
      <c r="F52" s="195"/>
      <c r="G52" s="195"/>
      <c r="H52" s="217"/>
      <c r="I52" s="195"/>
      <c r="J52" s="195"/>
      <c r="K52" s="195"/>
      <c r="L52" s="212"/>
      <c r="M52" s="195"/>
      <c r="N52" s="195"/>
      <c r="O52" s="195"/>
      <c r="P52" s="195"/>
      <c r="Q52" s="195"/>
      <c r="R52" s="220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</row>
    <row r="53" ht="15.75" customHeight="1">
      <c r="F53" s="195"/>
      <c r="G53" s="195"/>
      <c r="H53" s="217"/>
      <c r="I53" s="195"/>
      <c r="J53" s="195"/>
      <c r="K53" s="195"/>
      <c r="L53" s="212"/>
      <c r="M53" s="195"/>
      <c r="N53" s="195"/>
      <c r="O53" s="195"/>
      <c r="P53" s="195"/>
      <c r="Q53" s="195"/>
      <c r="R53" s="220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</row>
    <row r="54" ht="15.75" customHeight="1">
      <c r="F54" s="195"/>
      <c r="G54" s="195"/>
      <c r="H54" s="217"/>
      <c r="I54" s="195"/>
      <c r="J54" s="195"/>
      <c r="K54" s="195"/>
      <c r="L54" s="212"/>
      <c r="M54" s="195"/>
      <c r="N54" s="195"/>
      <c r="O54" s="195"/>
      <c r="P54" s="195"/>
      <c r="Q54" s="195"/>
      <c r="R54" s="220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</row>
    <row r="55" ht="15.75" customHeight="1">
      <c r="F55" s="195"/>
      <c r="G55" s="195"/>
      <c r="H55" s="217"/>
      <c r="I55" s="195"/>
      <c r="J55" s="195"/>
      <c r="K55" s="195"/>
      <c r="L55" s="232"/>
      <c r="M55" s="195"/>
      <c r="N55" s="195"/>
      <c r="O55" s="195"/>
      <c r="P55" s="195"/>
      <c r="Q55" s="195"/>
      <c r="R55" s="220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</row>
    <row r="56" ht="15.75" customHeight="1">
      <c r="F56" s="195"/>
      <c r="G56" s="195"/>
      <c r="H56" s="217"/>
      <c r="I56" s="195"/>
      <c r="J56" s="195"/>
      <c r="K56" s="195"/>
      <c r="L56" s="232"/>
      <c r="M56" s="195"/>
      <c r="N56" s="195"/>
      <c r="O56" s="195"/>
      <c r="P56" s="195"/>
      <c r="Q56" s="195"/>
      <c r="R56" s="220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</row>
    <row r="57" ht="15.75" customHeight="1">
      <c r="F57" s="195"/>
      <c r="G57" s="195"/>
      <c r="H57" s="217"/>
      <c r="I57" s="195"/>
      <c r="J57" s="195"/>
      <c r="K57" s="195"/>
      <c r="L57" s="232"/>
      <c r="M57" s="195"/>
      <c r="N57" s="195"/>
      <c r="O57" s="195"/>
      <c r="P57" s="195"/>
      <c r="Q57" s="195"/>
      <c r="R57" s="220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</row>
    <row r="58" ht="15.75" customHeight="1">
      <c r="F58" s="195"/>
      <c r="G58" s="195"/>
      <c r="H58" s="217"/>
      <c r="I58" s="195"/>
      <c r="J58" s="195"/>
      <c r="K58" s="195"/>
      <c r="L58" s="232"/>
      <c r="M58" s="195"/>
      <c r="N58" s="195"/>
      <c r="O58" s="195"/>
      <c r="P58" s="195"/>
      <c r="Q58" s="195"/>
      <c r="R58" s="220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</row>
    <row r="59" ht="15.75" customHeight="1">
      <c r="F59" s="195"/>
      <c r="G59" s="195"/>
      <c r="H59" s="217"/>
      <c r="I59" s="195"/>
      <c r="J59" s="195"/>
      <c r="K59" s="195"/>
      <c r="L59" s="232"/>
      <c r="M59" s="195"/>
      <c r="N59" s="195"/>
      <c r="O59" s="195"/>
      <c r="P59" s="195"/>
      <c r="Q59" s="195"/>
      <c r="R59" s="220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</row>
    <row r="60" ht="15.75" customHeight="1">
      <c r="F60" s="195"/>
      <c r="G60" s="195"/>
      <c r="H60" s="217"/>
      <c r="I60" s="195"/>
      <c r="J60" s="195"/>
      <c r="K60" s="195"/>
      <c r="L60" s="232"/>
      <c r="M60" s="195"/>
      <c r="N60" s="195"/>
      <c r="O60" s="195"/>
      <c r="P60" s="195"/>
      <c r="Q60" s="195"/>
      <c r="R60" s="220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</row>
    <row r="61" ht="15.75" customHeight="1">
      <c r="F61" s="195"/>
      <c r="G61" s="195"/>
      <c r="H61" s="217"/>
      <c r="I61" s="195"/>
      <c r="J61" s="195"/>
      <c r="K61" s="195"/>
      <c r="L61" s="232"/>
      <c r="M61" s="195"/>
      <c r="N61" s="195"/>
      <c r="O61" s="195"/>
      <c r="P61" s="195"/>
      <c r="Q61" s="195"/>
      <c r="R61" s="220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</row>
    <row r="62" ht="15.75" customHeight="1">
      <c r="F62" s="195"/>
      <c r="G62" s="195"/>
      <c r="H62" s="217"/>
      <c r="I62" s="195"/>
      <c r="J62" s="195"/>
      <c r="K62" s="195"/>
      <c r="L62" s="232"/>
      <c r="M62" s="195"/>
      <c r="N62" s="195"/>
      <c r="O62" s="195"/>
      <c r="P62" s="195"/>
      <c r="Q62" s="195"/>
      <c r="R62" s="220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</row>
    <row r="63" ht="15.75" customHeight="1">
      <c r="F63" s="195"/>
      <c r="G63" s="195"/>
      <c r="H63" s="217"/>
      <c r="I63" s="195"/>
      <c r="J63" s="195"/>
      <c r="K63" s="195"/>
      <c r="L63" s="232"/>
      <c r="M63" s="195"/>
      <c r="N63" s="195"/>
      <c r="O63" s="195"/>
      <c r="P63" s="195"/>
      <c r="Q63" s="195"/>
      <c r="R63" s="220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</row>
    <row r="64" ht="15.75" customHeight="1">
      <c r="F64" s="195"/>
      <c r="G64" s="195"/>
      <c r="H64" s="217"/>
      <c r="I64" s="195"/>
      <c r="J64" s="195"/>
      <c r="K64" s="195"/>
      <c r="L64" s="232"/>
      <c r="M64" s="195"/>
      <c r="N64" s="195"/>
      <c r="O64" s="195"/>
      <c r="P64" s="195"/>
      <c r="Q64" s="195"/>
      <c r="R64" s="220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</row>
    <row r="65" ht="15.75" customHeight="1">
      <c r="F65" s="195"/>
      <c r="G65" s="195"/>
      <c r="H65" s="217"/>
      <c r="I65" s="195"/>
      <c r="J65" s="195"/>
      <c r="K65" s="195"/>
      <c r="L65" s="232"/>
      <c r="M65" s="195"/>
      <c r="N65" s="195"/>
      <c r="O65" s="195"/>
      <c r="P65" s="195"/>
      <c r="Q65" s="195"/>
      <c r="R65" s="220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</row>
    <row r="66" ht="15.75" customHeight="1">
      <c r="F66" s="195"/>
      <c r="G66" s="195"/>
      <c r="H66" s="217"/>
      <c r="I66" s="195"/>
      <c r="J66" s="195"/>
      <c r="K66" s="195"/>
      <c r="L66" s="232"/>
      <c r="M66" s="195"/>
      <c r="N66" s="195"/>
      <c r="O66" s="195"/>
      <c r="P66" s="195"/>
      <c r="Q66" s="195"/>
      <c r="R66" s="220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</row>
    <row r="67" ht="15.75" customHeight="1">
      <c r="F67" s="195"/>
      <c r="G67" s="195"/>
      <c r="H67" s="217"/>
      <c r="I67" s="195"/>
      <c r="J67" s="195"/>
      <c r="K67" s="195"/>
      <c r="L67" s="232"/>
      <c r="M67" s="195"/>
      <c r="N67" s="195"/>
      <c r="O67" s="195"/>
      <c r="P67" s="195"/>
      <c r="Q67" s="195"/>
      <c r="R67" s="220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</row>
    <row r="68" ht="15.75" customHeight="1">
      <c r="F68" s="195"/>
      <c r="G68" s="195"/>
      <c r="H68" s="217"/>
      <c r="I68" s="195"/>
      <c r="J68" s="195"/>
      <c r="K68" s="195"/>
      <c r="L68" s="232"/>
      <c r="M68" s="195"/>
      <c r="N68" s="195"/>
      <c r="O68" s="195"/>
      <c r="P68" s="195"/>
      <c r="Q68" s="195"/>
      <c r="R68" s="220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</row>
    <row r="69" ht="15.75" customHeight="1">
      <c r="F69" s="195"/>
      <c r="G69" s="195"/>
      <c r="H69" s="217"/>
      <c r="I69" s="195"/>
      <c r="J69" s="195"/>
      <c r="K69" s="195"/>
      <c r="L69" s="232"/>
      <c r="M69" s="195"/>
      <c r="N69" s="195"/>
      <c r="O69" s="195"/>
      <c r="P69" s="195"/>
      <c r="Q69" s="195"/>
      <c r="R69" s="220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</row>
    <row r="70" ht="15.75" customHeight="1">
      <c r="F70" s="195"/>
      <c r="G70" s="195"/>
      <c r="H70" s="217"/>
      <c r="I70" s="195"/>
      <c r="J70" s="195"/>
      <c r="K70" s="195"/>
      <c r="L70" s="232"/>
      <c r="M70" s="195"/>
      <c r="N70" s="195"/>
      <c r="O70" s="195"/>
      <c r="P70" s="195"/>
      <c r="Q70" s="195"/>
      <c r="R70" s="220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</row>
    <row r="71" ht="15.75" customHeight="1">
      <c r="F71" s="195"/>
      <c r="G71" s="195"/>
      <c r="H71" s="217"/>
      <c r="I71" s="195"/>
      <c r="J71" s="195"/>
      <c r="K71" s="195"/>
      <c r="L71" s="232"/>
      <c r="M71" s="195"/>
      <c r="N71" s="195"/>
      <c r="O71" s="195"/>
      <c r="P71" s="195"/>
      <c r="Q71" s="195"/>
      <c r="R71" s="220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</row>
    <row r="72" ht="15.75" customHeight="1">
      <c r="F72" s="195"/>
      <c r="G72" s="195"/>
      <c r="H72" s="217"/>
      <c r="I72" s="195"/>
      <c r="J72" s="195"/>
      <c r="K72" s="195"/>
      <c r="L72" s="232"/>
      <c r="M72" s="195"/>
      <c r="N72" s="195"/>
      <c r="O72" s="195"/>
      <c r="P72" s="195"/>
      <c r="Q72" s="195"/>
      <c r="R72" s="220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</row>
    <row r="73" ht="15.75" customHeight="1">
      <c r="F73" s="195"/>
      <c r="G73" s="195"/>
      <c r="H73" s="217"/>
      <c r="I73" s="195"/>
      <c r="J73" s="195"/>
      <c r="K73" s="195"/>
      <c r="L73" s="232"/>
      <c r="M73" s="195"/>
      <c r="N73" s="195"/>
      <c r="O73" s="195"/>
      <c r="P73" s="195"/>
      <c r="Q73" s="195"/>
      <c r="R73" s="220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</row>
    <row r="74" ht="15.75" customHeight="1">
      <c r="F74" s="195"/>
      <c r="G74" s="195"/>
      <c r="H74" s="217"/>
      <c r="I74" s="195"/>
      <c r="J74" s="195"/>
      <c r="K74" s="195"/>
      <c r="L74" s="232"/>
      <c r="M74" s="195"/>
      <c r="N74" s="195"/>
      <c r="O74" s="195"/>
      <c r="P74" s="195"/>
      <c r="Q74" s="195"/>
      <c r="R74" s="220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</row>
    <row r="75" ht="15.75" customHeight="1">
      <c r="F75" s="195"/>
      <c r="G75" s="195"/>
      <c r="H75" s="217"/>
      <c r="I75" s="195"/>
      <c r="J75" s="195"/>
      <c r="K75" s="195"/>
      <c r="L75" s="232"/>
      <c r="M75" s="195"/>
      <c r="N75" s="195"/>
      <c r="O75" s="195"/>
      <c r="P75" s="195"/>
      <c r="Q75" s="195"/>
      <c r="R75" s="220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</row>
    <row r="76" ht="15.75" customHeight="1">
      <c r="F76" s="195"/>
      <c r="G76" s="195"/>
      <c r="H76" s="217"/>
      <c r="I76" s="195"/>
      <c r="J76" s="195"/>
      <c r="K76" s="195"/>
      <c r="L76" s="232"/>
      <c r="M76" s="195"/>
      <c r="N76" s="195"/>
      <c r="O76" s="195"/>
      <c r="P76" s="195"/>
      <c r="Q76" s="195"/>
      <c r="R76" s="220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</row>
    <row r="77" ht="15.75" customHeight="1">
      <c r="F77" s="195"/>
      <c r="G77" s="195"/>
      <c r="H77" s="217"/>
      <c r="I77" s="195"/>
      <c r="J77" s="195"/>
      <c r="K77" s="195"/>
      <c r="L77" s="232"/>
      <c r="M77" s="195"/>
      <c r="N77" s="195"/>
      <c r="O77" s="195"/>
      <c r="P77" s="195"/>
      <c r="Q77" s="195"/>
      <c r="R77" s="220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</row>
    <row r="78" ht="15.75" customHeight="1">
      <c r="F78" s="195"/>
      <c r="G78" s="195"/>
      <c r="H78" s="217"/>
      <c r="I78" s="195"/>
      <c r="J78" s="195"/>
      <c r="K78" s="195"/>
      <c r="L78" s="232"/>
      <c r="M78" s="195"/>
      <c r="N78" s="195"/>
      <c r="O78" s="195"/>
      <c r="P78" s="195"/>
      <c r="Q78" s="195"/>
      <c r="R78" s="220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</row>
    <row r="79" ht="15.75" customHeight="1">
      <c r="F79" s="195"/>
      <c r="G79" s="233" t="s">
        <v>186</v>
      </c>
      <c r="H79" s="217"/>
      <c r="I79" s="195"/>
      <c r="J79" s="195"/>
      <c r="K79" s="195"/>
      <c r="L79" s="232"/>
      <c r="M79" s="195"/>
      <c r="N79" s="195"/>
      <c r="O79" s="195"/>
      <c r="P79" s="195"/>
      <c r="Q79" s="195"/>
      <c r="R79" s="220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</row>
    <row r="80" ht="15.75" customHeight="1">
      <c r="F80" s="195"/>
      <c r="G80" s="195"/>
      <c r="H80" s="217"/>
      <c r="I80" s="195"/>
      <c r="J80" s="195"/>
      <c r="K80" s="195"/>
      <c r="L80" s="232"/>
      <c r="M80" s="195"/>
      <c r="N80" s="195"/>
      <c r="O80" s="195"/>
      <c r="P80" s="195"/>
      <c r="Q80" s="195"/>
      <c r="R80" s="220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</row>
    <row r="81" ht="15.75" customHeight="1">
      <c r="F81" s="195"/>
      <c r="G81" s="195"/>
      <c r="H81" s="217"/>
      <c r="I81" s="195"/>
      <c r="J81" s="195"/>
      <c r="K81" s="195"/>
      <c r="L81" s="232"/>
      <c r="M81" s="195"/>
      <c r="N81" s="195"/>
      <c r="O81" s="195"/>
      <c r="P81" s="195"/>
      <c r="Q81" s="195"/>
      <c r="R81" s="220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</row>
    <row r="82" ht="15.75" customHeight="1">
      <c r="F82" s="195"/>
      <c r="G82" s="195"/>
      <c r="H82" s="217"/>
      <c r="I82" s="195"/>
      <c r="J82" s="195"/>
      <c r="K82" s="195"/>
      <c r="L82" s="232"/>
      <c r="M82" s="195"/>
      <c r="N82" s="195"/>
      <c r="O82" s="195"/>
      <c r="P82" s="195"/>
      <c r="Q82" s="195"/>
      <c r="R82" s="220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</row>
    <row r="83" ht="15.75" customHeight="1">
      <c r="F83" s="195"/>
      <c r="G83" s="195"/>
      <c r="H83" s="217"/>
      <c r="I83" s="195"/>
      <c r="J83" s="195"/>
      <c r="K83" s="195"/>
      <c r="L83" s="232"/>
      <c r="M83" s="195"/>
      <c r="N83" s="195"/>
      <c r="O83" s="195"/>
      <c r="P83" s="195"/>
      <c r="Q83" s="195"/>
      <c r="R83" s="220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</row>
    <row r="84" ht="15.75" customHeight="1">
      <c r="F84" s="195"/>
      <c r="G84" s="195"/>
      <c r="H84" s="217"/>
      <c r="I84" s="195"/>
      <c r="J84" s="195"/>
      <c r="K84" s="195"/>
      <c r="L84" s="232"/>
      <c r="M84" s="195"/>
      <c r="N84" s="195"/>
      <c r="O84" s="195"/>
      <c r="P84" s="195"/>
      <c r="Q84" s="195"/>
      <c r="R84" s="220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</row>
    <row r="85" ht="15.75" customHeight="1">
      <c r="F85" s="195"/>
      <c r="G85" s="195"/>
      <c r="H85" s="217"/>
      <c r="I85" s="195"/>
      <c r="J85" s="195"/>
      <c r="K85" s="195"/>
      <c r="L85" s="232"/>
      <c r="M85" s="195"/>
      <c r="N85" s="195"/>
      <c r="O85" s="195"/>
      <c r="P85" s="195"/>
      <c r="Q85" s="195"/>
      <c r="R85" s="220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</row>
    <row r="86" ht="15.75" customHeight="1">
      <c r="F86" s="195"/>
      <c r="G86" s="195"/>
      <c r="H86" s="217"/>
      <c r="I86" s="195"/>
      <c r="J86" s="195"/>
      <c r="K86" s="195"/>
      <c r="L86" s="232"/>
      <c r="M86" s="195"/>
      <c r="N86" s="195"/>
      <c r="O86" s="195"/>
      <c r="P86" s="195"/>
      <c r="Q86" s="195"/>
      <c r="R86" s="220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</row>
    <row r="87" ht="15.75" customHeight="1">
      <c r="F87" s="195"/>
      <c r="G87" s="195"/>
      <c r="H87" s="217"/>
      <c r="I87" s="195"/>
      <c r="J87" s="195"/>
      <c r="K87" s="195"/>
      <c r="L87" s="232"/>
      <c r="M87" s="195"/>
      <c r="N87" s="195"/>
      <c r="O87" s="195"/>
      <c r="P87" s="195"/>
      <c r="Q87" s="195"/>
      <c r="R87" s="220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</row>
    <row r="88" ht="15.75" customHeight="1">
      <c r="F88" s="195"/>
      <c r="G88" s="195"/>
      <c r="H88" s="217"/>
      <c r="I88" s="195"/>
      <c r="J88" s="195"/>
      <c r="K88" s="195"/>
      <c r="L88" s="232"/>
      <c r="M88" s="195"/>
      <c r="N88" s="195"/>
      <c r="O88" s="195"/>
      <c r="P88" s="195"/>
      <c r="Q88" s="195"/>
      <c r="R88" s="220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</row>
    <row r="89" ht="15.75" customHeight="1">
      <c r="F89" s="195"/>
      <c r="G89" s="195"/>
      <c r="H89" s="217"/>
      <c r="I89" s="195"/>
      <c r="J89" s="195"/>
      <c r="K89" s="195"/>
      <c r="L89" s="232"/>
      <c r="M89" s="195"/>
      <c r="N89" s="195"/>
      <c r="O89" s="195"/>
      <c r="P89" s="195"/>
      <c r="Q89" s="195"/>
      <c r="R89" s="220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</row>
    <row r="90" ht="15.75" customHeight="1">
      <c r="F90" s="195"/>
      <c r="G90" s="195"/>
      <c r="H90" s="217"/>
      <c r="I90" s="195"/>
      <c r="J90" s="195"/>
      <c r="K90" s="195"/>
      <c r="L90" s="232"/>
      <c r="M90" s="195"/>
      <c r="N90" s="195"/>
      <c r="O90" s="195"/>
      <c r="P90" s="195"/>
      <c r="Q90" s="195"/>
      <c r="R90" s="220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</row>
    <row r="91" ht="15.75" customHeight="1">
      <c r="F91" s="195"/>
      <c r="G91" s="195"/>
      <c r="H91" s="217"/>
      <c r="I91" s="195"/>
      <c r="J91" s="195"/>
      <c r="K91" s="195"/>
      <c r="L91" s="232"/>
      <c r="M91" s="195"/>
      <c r="N91" s="195"/>
      <c r="O91" s="195"/>
      <c r="P91" s="195"/>
      <c r="Q91" s="195"/>
      <c r="R91" s="220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</row>
    <row r="92" ht="15.75" customHeight="1">
      <c r="F92" s="195"/>
      <c r="G92" s="195"/>
      <c r="H92" s="217"/>
      <c r="I92" s="195"/>
      <c r="J92" s="195"/>
      <c r="K92" s="195"/>
      <c r="L92" s="232"/>
      <c r="M92" s="195"/>
      <c r="N92" s="195"/>
      <c r="O92" s="195"/>
      <c r="P92" s="195"/>
      <c r="Q92" s="195"/>
      <c r="R92" s="220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</row>
    <row r="93" ht="15.75" customHeight="1">
      <c r="F93" s="195"/>
      <c r="G93" s="195"/>
      <c r="H93" s="217"/>
      <c r="I93" s="195"/>
      <c r="J93" s="195"/>
      <c r="K93" s="195"/>
      <c r="L93" s="232"/>
      <c r="M93" s="195"/>
      <c r="N93" s="195"/>
      <c r="O93" s="195"/>
      <c r="P93" s="195"/>
      <c r="Q93" s="195"/>
      <c r="R93" s="220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</row>
    <row r="94" ht="15.75" customHeight="1">
      <c r="F94" s="195"/>
      <c r="G94" s="195"/>
      <c r="H94" s="217"/>
      <c r="I94" s="195"/>
      <c r="J94" s="195"/>
      <c r="K94" s="195"/>
      <c r="L94" s="232"/>
      <c r="M94" s="195"/>
      <c r="N94" s="195"/>
      <c r="O94" s="195"/>
      <c r="P94" s="195"/>
      <c r="Q94" s="195"/>
      <c r="R94" s="220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</row>
    <row r="95" ht="15.75" customHeight="1">
      <c r="F95" s="195"/>
      <c r="G95" s="195"/>
      <c r="H95" s="217"/>
      <c r="I95" s="195"/>
      <c r="J95" s="195"/>
      <c r="K95" s="195"/>
      <c r="L95" s="232"/>
      <c r="M95" s="195"/>
      <c r="N95" s="195"/>
      <c r="O95" s="195"/>
      <c r="P95" s="195"/>
      <c r="Q95" s="195"/>
      <c r="R95" s="220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</row>
    <row r="96" ht="15.75" customHeight="1">
      <c r="F96" s="195"/>
      <c r="G96" s="195"/>
      <c r="H96" s="217"/>
      <c r="I96" s="195"/>
      <c r="J96" s="195"/>
      <c r="K96" s="195"/>
      <c r="L96" s="232"/>
      <c r="M96" s="195"/>
      <c r="N96" s="195"/>
      <c r="O96" s="195"/>
      <c r="P96" s="195"/>
      <c r="Q96" s="195"/>
      <c r="R96" s="220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</row>
    <row r="97" ht="15.75" customHeight="1">
      <c r="F97" s="195"/>
      <c r="G97" s="195"/>
      <c r="H97" s="217"/>
      <c r="I97" s="195"/>
      <c r="J97" s="195"/>
      <c r="K97" s="195"/>
      <c r="L97" s="232"/>
      <c r="M97" s="195"/>
      <c r="N97" s="195"/>
      <c r="O97" s="195"/>
      <c r="P97" s="195"/>
      <c r="Q97" s="195"/>
      <c r="R97" s="220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</row>
    <row r="98" ht="15.75" customHeight="1">
      <c r="F98" s="195"/>
      <c r="G98" s="195"/>
      <c r="H98" s="217"/>
      <c r="I98" s="195"/>
      <c r="J98" s="195"/>
      <c r="K98" s="195"/>
      <c r="L98" s="232"/>
      <c r="M98" s="195"/>
      <c r="N98" s="195"/>
      <c r="O98" s="195"/>
      <c r="P98" s="195"/>
      <c r="Q98" s="195"/>
      <c r="R98" s="220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</row>
    <row r="99" ht="15.75" customHeight="1">
      <c r="F99" s="195"/>
      <c r="G99" s="195"/>
      <c r="H99" s="217"/>
      <c r="I99" s="195"/>
      <c r="J99" s="195"/>
      <c r="K99" s="195"/>
      <c r="L99" s="232"/>
      <c r="M99" s="195"/>
      <c r="N99" s="195"/>
      <c r="O99" s="195"/>
      <c r="P99" s="195"/>
      <c r="Q99" s="195"/>
      <c r="R99" s="220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</row>
    <row r="100" ht="15.75" customHeight="1">
      <c r="F100" s="195"/>
      <c r="G100" s="195"/>
      <c r="H100" s="217"/>
      <c r="I100" s="195"/>
      <c r="J100" s="195"/>
      <c r="K100" s="195"/>
      <c r="L100" s="232"/>
      <c r="M100" s="195"/>
      <c r="N100" s="195"/>
      <c r="O100" s="195"/>
      <c r="P100" s="195"/>
      <c r="Q100" s="195"/>
      <c r="R100" s="220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</row>
    <row r="101" ht="15.75" customHeight="1">
      <c r="F101" s="195"/>
      <c r="G101" s="195"/>
      <c r="H101" s="217"/>
      <c r="I101" s="195"/>
      <c r="J101" s="195"/>
      <c r="K101" s="195"/>
      <c r="L101" s="232"/>
      <c r="M101" s="195"/>
      <c r="N101" s="195"/>
      <c r="O101" s="195"/>
      <c r="P101" s="195"/>
      <c r="Q101" s="195"/>
      <c r="R101" s="220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</row>
    <row r="102" ht="15.75" customHeight="1">
      <c r="F102" s="195"/>
      <c r="G102" s="195"/>
      <c r="H102" s="217"/>
      <c r="I102" s="195"/>
      <c r="J102" s="195"/>
      <c r="K102" s="195"/>
      <c r="L102" s="232"/>
      <c r="M102" s="195"/>
      <c r="N102" s="195"/>
      <c r="O102" s="195"/>
      <c r="P102" s="195"/>
      <c r="Q102" s="195"/>
      <c r="R102" s="220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</row>
    <row r="103" ht="15.75" customHeight="1">
      <c r="F103" s="195"/>
      <c r="G103" s="195"/>
      <c r="H103" s="217"/>
      <c r="I103" s="195"/>
      <c r="J103" s="195"/>
      <c r="K103" s="195"/>
      <c r="L103" s="232"/>
      <c r="M103" s="195"/>
      <c r="N103" s="195"/>
      <c r="O103" s="195"/>
      <c r="P103" s="195"/>
      <c r="Q103" s="195"/>
      <c r="R103" s="220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</row>
    <row r="104" ht="15.75" customHeight="1">
      <c r="F104" s="195"/>
      <c r="G104" s="195"/>
      <c r="H104" s="217"/>
      <c r="I104" s="195"/>
      <c r="J104" s="195"/>
      <c r="K104" s="195"/>
      <c r="L104" s="232"/>
      <c r="M104" s="195"/>
      <c r="N104" s="195"/>
      <c r="O104" s="195"/>
      <c r="P104" s="195"/>
      <c r="Q104" s="195"/>
      <c r="R104" s="220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</row>
    <row r="105" ht="15.75" customHeight="1">
      <c r="F105" s="195"/>
      <c r="G105" s="195"/>
      <c r="H105" s="217"/>
      <c r="I105" s="195"/>
      <c r="J105" s="195"/>
      <c r="K105" s="195"/>
      <c r="L105" s="232"/>
      <c r="M105" s="195"/>
      <c r="N105" s="195"/>
      <c r="O105" s="195"/>
      <c r="P105" s="195"/>
      <c r="Q105" s="195"/>
      <c r="R105" s="220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</row>
    <row r="106" ht="15.75" customHeight="1">
      <c r="F106" s="195"/>
      <c r="G106" s="195"/>
      <c r="H106" s="217"/>
      <c r="I106" s="195"/>
      <c r="J106" s="195"/>
      <c r="K106" s="195"/>
      <c r="L106" s="232"/>
      <c r="M106" s="195"/>
      <c r="N106" s="195"/>
      <c r="O106" s="195"/>
      <c r="P106" s="195"/>
      <c r="Q106" s="195"/>
      <c r="R106" s="220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</row>
    <row r="107" ht="15.75" customHeight="1">
      <c r="F107" s="195"/>
      <c r="G107" s="195"/>
      <c r="H107" s="217"/>
      <c r="I107" s="195"/>
      <c r="J107" s="195"/>
      <c r="K107" s="195"/>
      <c r="L107" s="232"/>
      <c r="M107" s="195"/>
      <c r="N107" s="195"/>
      <c r="O107" s="195"/>
      <c r="P107" s="195"/>
      <c r="Q107" s="195"/>
      <c r="R107" s="220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</row>
    <row r="108" ht="15.75" customHeight="1">
      <c r="F108" s="195"/>
      <c r="G108" s="195"/>
      <c r="H108" s="217"/>
      <c r="I108" s="195"/>
      <c r="J108" s="195"/>
      <c r="K108" s="195"/>
      <c r="L108" s="232"/>
      <c r="M108" s="195"/>
      <c r="N108" s="195"/>
      <c r="O108" s="195"/>
      <c r="P108" s="195"/>
      <c r="Q108" s="195"/>
      <c r="R108" s="220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</row>
    <row r="109" ht="15.75" customHeight="1">
      <c r="F109" s="195"/>
      <c r="G109" s="195"/>
      <c r="H109" s="217"/>
      <c r="I109" s="195"/>
      <c r="J109" s="195"/>
      <c r="K109" s="195"/>
      <c r="L109" s="232"/>
      <c r="M109" s="195"/>
      <c r="N109" s="195"/>
      <c r="O109" s="195"/>
      <c r="P109" s="195"/>
      <c r="Q109" s="195"/>
      <c r="R109" s="220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</row>
    <row r="110" ht="15.75" customHeight="1">
      <c r="F110" s="195"/>
      <c r="G110" s="195"/>
      <c r="H110" s="217"/>
      <c r="I110" s="195"/>
      <c r="J110" s="195"/>
      <c r="K110" s="195"/>
      <c r="L110" s="232"/>
      <c r="M110" s="195"/>
      <c r="N110" s="195"/>
      <c r="O110" s="195"/>
      <c r="P110" s="195"/>
      <c r="Q110" s="195"/>
      <c r="R110" s="220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</row>
    <row r="111" ht="15.75" customHeight="1">
      <c r="F111" s="195"/>
      <c r="G111" s="195"/>
      <c r="H111" s="217"/>
      <c r="I111" s="195"/>
      <c r="J111" s="195"/>
      <c r="K111" s="195"/>
      <c r="L111" s="232"/>
      <c r="M111" s="195"/>
      <c r="N111" s="195"/>
      <c r="O111" s="195"/>
      <c r="P111" s="195"/>
      <c r="Q111" s="195"/>
      <c r="R111" s="220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</row>
    <row r="112" ht="15.75" customHeight="1">
      <c r="F112" s="195"/>
      <c r="G112" s="195"/>
      <c r="H112" s="217"/>
      <c r="I112" s="195"/>
      <c r="J112" s="195"/>
      <c r="K112" s="195"/>
      <c r="L112" s="232"/>
      <c r="M112" s="195"/>
      <c r="N112" s="195"/>
      <c r="O112" s="195"/>
      <c r="P112" s="195"/>
      <c r="Q112" s="195"/>
      <c r="R112" s="220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</row>
    <row r="113" ht="15.75" customHeight="1">
      <c r="F113" s="195"/>
      <c r="G113" s="195"/>
      <c r="H113" s="217"/>
      <c r="I113" s="195"/>
      <c r="J113" s="195"/>
      <c r="K113" s="195"/>
      <c r="L113" s="232"/>
      <c r="M113" s="195"/>
      <c r="N113" s="195"/>
      <c r="O113" s="195"/>
      <c r="P113" s="195"/>
      <c r="Q113" s="195"/>
      <c r="R113" s="220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</row>
    <row r="114" ht="15.75" customHeight="1">
      <c r="F114" s="195"/>
      <c r="G114" s="195"/>
      <c r="H114" s="217"/>
      <c r="I114" s="195"/>
      <c r="J114" s="195"/>
      <c r="K114" s="195"/>
      <c r="L114" s="232"/>
      <c r="M114" s="195"/>
      <c r="N114" s="195"/>
      <c r="O114" s="195"/>
      <c r="P114" s="195"/>
      <c r="Q114" s="195"/>
      <c r="R114" s="220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</row>
    <row r="115" ht="15.75" customHeight="1">
      <c r="F115" s="195"/>
      <c r="G115" s="195"/>
      <c r="H115" s="217"/>
      <c r="I115" s="195"/>
      <c r="J115" s="195"/>
      <c r="K115" s="195"/>
      <c r="L115" s="232"/>
      <c r="M115" s="195"/>
      <c r="N115" s="195"/>
      <c r="O115" s="195"/>
      <c r="P115" s="195"/>
      <c r="Q115" s="195"/>
      <c r="R115" s="220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</row>
    <row r="116" ht="15.75" customHeight="1">
      <c r="F116" s="195"/>
      <c r="G116" s="195"/>
      <c r="H116" s="217"/>
      <c r="I116" s="195"/>
      <c r="J116" s="195"/>
      <c r="K116" s="195"/>
      <c r="L116" s="232"/>
      <c r="M116" s="195"/>
      <c r="N116" s="195"/>
      <c r="O116" s="195"/>
      <c r="P116" s="195"/>
      <c r="Q116" s="195"/>
      <c r="R116" s="220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</row>
    <row r="117" ht="15.75" customHeight="1">
      <c r="F117" s="195"/>
      <c r="G117" s="195"/>
      <c r="H117" s="217"/>
      <c r="I117" s="195"/>
      <c r="J117" s="195"/>
      <c r="K117" s="195"/>
      <c r="L117" s="232"/>
      <c r="M117" s="195"/>
      <c r="N117" s="195"/>
      <c r="O117" s="195"/>
      <c r="P117" s="195"/>
      <c r="Q117" s="195"/>
      <c r="R117" s="220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</row>
    <row r="118" ht="15.75" customHeight="1">
      <c r="F118" s="195"/>
      <c r="G118" s="195"/>
      <c r="H118" s="217"/>
      <c r="I118" s="195"/>
      <c r="J118" s="195"/>
      <c r="K118" s="195"/>
      <c r="L118" s="232"/>
      <c r="M118" s="195"/>
      <c r="N118" s="195"/>
      <c r="O118" s="195"/>
      <c r="P118" s="195"/>
      <c r="Q118" s="195"/>
      <c r="R118" s="220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</row>
    <row r="119" ht="15.75" customHeight="1">
      <c r="F119" s="195"/>
      <c r="G119" s="195"/>
      <c r="H119" s="217"/>
      <c r="I119" s="195"/>
      <c r="J119" s="195"/>
      <c r="K119" s="195"/>
      <c r="L119" s="232"/>
      <c r="M119" s="195"/>
      <c r="N119" s="195"/>
      <c r="O119" s="195"/>
      <c r="P119" s="195"/>
      <c r="Q119" s="195"/>
      <c r="R119" s="220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</row>
    <row r="120" ht="15.75" customHeight="1">
      <c r="F120" s="195"/>
      <c r="G120" s="195"/>
      <c r="H120" s="217"/>
      <c r="I120" s="195"/>
      <c r="J120" s="195"/>
      <c r="K120" s="195"/>
      <c r="L120" s="232"/>
      <c r="M120" s="195"/>
      <c r="N120" s="195"/>
      <c r="O120" s="195"/>
      <c r="P120" s="195"/>
      <c r="Q120" s="195"/>
      <c r="R120" s="220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</row>
    <row r="121" ht="15.75" customHeight="1">
      <c r="F121" s="195"/>
      <c r="G121" s="195"/>
      <c r="H121" s="217"/>
      <c r="I121" s="195"/>
      <c r="J121" s="195"/>
      <c r="K121" s="195"/>
      <c r="L121" s="232"/>
      <c r="M121" s="195"/>
      <c r="N121" s="195"/>
      <c r="O121" s="195"/>
      <c r="P121" s="195"/>
      <c r="Q121" s="195"/>
      <c r="R121" s="220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</row>
    <row r="122" ht="15.75" customHeight="1">
      <c r="F122" s="195"/>
      <c r="G122" s="195"/>
      <c r="H122" s="217"/>
      <c r="I122" s="195"/>
      <c r="J122" s="195"/>
      <c r="K122" s="195"/>
      <c r="L122" s="232"/>
      <c r="M122" s="195"/>
      <c r="N122" s="195"/>
      <c r="O122" s="195"/>
      <c r="P122" s="195"/>
      <c r="Q122" s="195"/>
      <c r="R122" s="220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</row>
    <row r="123" ht="15.75" customHeight="1">
      <c r="F123" s="195"/>
      <c r="G123" s="195"/>
      <c r="H123" s="217"/>
      <c r="I123" s="195"/>
      <c r="J123" s="195"/>
      <c r="K123" s="195"/>
      <c r="L123" s="232"/>
      <c r="M123" s="195"/>
      <c r="N123" s="195"/>
      <c r="O123" s="195"/>
      <c r="P123" s="195"/>
      <c r="Q123" s="195"/>
      <c r="R123" s="220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</row>
    <row r="124" ht="15.75" customHeight="1">
      <c r="F124" s="195"/>
      <c r="G124" s="195"/>
      <c r="H124" s="217"/>
      <c r="I124" s="195"/>
      <c r="J124" s="195"/>
      <c r="K124" s="195"/>
      <c r="L124" s="232"/>
      <c r="M124" s="195"/>
      <c r="N124" s="195"/>
      <c r="O124" s="195"/>
      <c r="P124" s="195"/>
      <c r="Q124" s="195"/>
      <c r="R124" s="220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</row>
    <row r="125" ht="15.75" customHeight="1">
      <c r="F125" s="195"/>
      <c r="G125" s="195"/>
      <c r="H125" s="217"/>
      <c r="I125" s="195"/>
      <c r="J125" s="195"/>
      <c r="K125" s="195"/>
      <c r="L125" s="232"/>
      <c r="M125" s="195"/>
      <c r="N125" s="195"/>
      <c r="O125" s="195"/>
      <c r="P125" s="195"/>
      <c r="Q125" s="195"/>
      <c r="R125" s="220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</row>
    <row r="126" ht="15.75" customHeight="1">
      <c r="F126" s="195"/>
      <c r="G126" s="195"/>
      <c r="H126" s="217"/>
      <c r="I126" s="195"/>
      <c r="J126" s="195"/>
      <c r="K126" s="195"/>
      <c r="L126" s="232"/>
      <c r="M126" s="195"/>
      <c r="N126" s="195"/>
      <c r="O126" s="195"/>
      <c r="P126" s="195"/>
      <c r="Q126" s="195"/>
      <c r="R126" s="220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</row>
    <row r="127" ht="15.75" customHeight="1">
      <c r="F127" s="195"/>
      <c r="G127" s="195"/>
      <c r="H127" s="217"/>
      <c r="I127" s="195"/>
      <c r="J127" s="195"/>
      <c r="K127" s="195"/>
      <c r="L127" s="232"/>
      <c r="M127" s="195"/>
      <c r="N127" s="195"/>
      <c r="O127" s="195"/>
      <c r="P127" s="195"/>
      <c r="Q127" s="195"/>
      <c r="R127" s="220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</row>
    <row r="128" ht="15.75" customHeight="1">
      <c r="F128" s="195"/>
      <c r="G128" s="195"/>
      <c r="H128" s="217"/>
      <c r="I128" s="195"/>
      <c r="J128" s="195"/>
      <c r="K128" s="195"/>
      <c r="L128" s="232"/>
      <c r="M128" s="195"/>
      <c r="N128" s="195"/>
      <c r="O128" s="195"/>
      <c r="P128" s="195"/>
      <c r="Q128" s="195"/>
      <c r="R128" s="220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</row>
    <row r="129" ht="15.75" customHeight="1">
      <c r="F129" s="195"/>
      <c r="G129" s="195"/>
      <c r="H129" s="217"/>
      <c r="I129" s="195"/>
      <c r="J129" s="195"/>
      <c r="K129" s="195"/>
      <c r="L129" s="232"/>
      <c r="M129" s="195"/>
      <c r="N129" s="195"/>
      <c r="O129" s="195"/>
      <c r="P129" s="195"/>
      <c r="Q129" s="195"/>
      <c r="R129" s="220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</row>
    <row r="130" ht="15.75" customHeight="1">
      <c r="F130" s="195"/>
      <c r="G130" s="195"/>
      <c r="H130" s="217"/>
      <c r="I130" s="195"/>
      <c r="J130" s="195"/>
      <c r="K130" s="195"/>
      <c r="L130" s="232"/>
      <c r="M130" s="195"/>
      <c r="N130" s="195"/>
      <c r="O130" s="195"/>
      <c r="P130" s="195"/>
      <c r="Q130" s="195"/>
      <c r="R130" s="220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</row>
    <row r="131" ht="15.75" customHeight="1">
      <c r="F131" s="195"/>
      <c r="G131" s="195"/>
      <c r="H131" s="217"/>
      <c r="I131" s="195"/>
      <c r="J131" s="195"/>
      <c r="K131" s="195"/>
      <c r="L131" s="232"/>
      <c r="M131" s="195"/>
      <c r="N131" s="195"/>
      <c r="O131" s="195"/>
      <c r="P131" s="195"/>
      <c r="Q131" s="195"/>
      <c r="R131" s="220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</row>
    <row r="132" ht="15.75" customHeight="1">
      <c r="F132" s="195"/>
      <c r="G132" s="195"/>
      <c r="H132" s="217"/>
      <c r="I132" s="195"/>
      <c r="J132" s="195"/>
      <c r="K132" s="195"/>
      <c r="L132" s="232"/>
      <c r="M132" s="195"/>
      <c r="N132" s="195"/>
      <c r="O132" s="195"/>
      <c r="P132" s="195"/>
      <c r="Q132" s="195"/>
      <c r="R132" s="220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</row>
    <row r="133" ht="15.75" customHeight="1">
      <c r="F133" s="195"/>
      <c r="G133" s="195"/>
      <c r="H133" s="217"/>
      <c r="I133" s="195"/>
      <c r="J133" s="195"/>
      <c r="K133" s="195"/>
      <c r="L133" s="232"/>
      <c r="M133" s="195"/>
      <c r="N133" s="195"/>
      <c r="O133" s="195"/>
      <c r="P133" s="195"/>
      <c r="Q133" s="195"/>
      <c r="R133" s="220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</row>
    <row r="134" ht="15.75" customHeight="1">
      <c r="F134" s="195"/>
      <c r="G134" s="195"/>
      <c r="H134" s="217"/>
      <c r="I134" s="195"/>
      <c r="J134" s="195"/>
      <c r="K134" s="195"/>
      <c r="L134" s="232"/>
      <c r="M134" s="195"/>
      <c r="N134" s="195"/>
      <c r="O134" s="195"/>
      <c r="P134" s="195"/>
      <c r="Q134" s="195"/>
      <c r="R134" s="220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</row>
    <row r="135" ht="15.75" customHeight="1">
      <c r="F135" s="195"/>
      <c r="G135" s="195"/>
      <c r="H135" s="217"/>
      <c r="I135" s="195"/>
      <c r="J135" s="195"/>
      <c r="K135" s="195"/>
      <c r="L135" s="232"/>
      <c r="M135" s="195"/>
      <c r="N135" s="195"/>
      <c r="O135" s="195"/>
      <c r="P135" s="195"/>
      <c r="Q135" s="195"/>
      <c r="R135" s="220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</row>
    <row r="136" ht="15.75" customHeight="1">
      <c r="F136" s="195"/>
      <c r="G136" s="195"/>
      <c r="H136" s="217"/>
      <c r="I136" s="195"/>
      <c r="J136" s="195"/>
      <c r="K136" s="195"/>
      <c r="L136" s="232"/>
      <c r="M136" s="195"/>
      <c r="N136" s="195"/>
      <c r="O136" s="195"/>
      <c r="P136" s="195"/>
      <c r="Q136" s="195"/>
      <c r="R136" s="220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</row>
    <row r="137" ht="15.75" customHeight="1">
      <c r="F137" s="195"/>
      <c r="G137" s="195"/>
      <c r="H137" s="217"/>
      <c r="I137" s="195"/>
      <c r="J137" s="195"/>
      <c r="K137" s="195"/>
      <c r="L137" s="232"/>
      <c r="M137" s="195"/>
      <c r="N137" s="195"/>
      <c r="O137" s="195"/>
      <c r="P137" s="195"/>
      <c r="Q137" s="195"/>
      <c r="R137" s="220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</row>
    <row r="138" ht="15.75" customHeight="1">
      <c r="F138" s="195"/>
      <c r="G138" s="195"/>
      <c r="H138" s="217"/>
      <c r="I138" s="195"/>
      <c r="J138" s="195"/>
      <c r="K138" s="195"/>
      <c r="L138" s="232"/>
      <c r="M138" s="195"/>
      <c r="N138" s="195"/>
      <c r="O138" s="195"/>
      <c r="P138" s="195"/>
      <c r="Q138" s="195"/>
      <c r="R138" s="220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</row>
    <row r="139" ht="15.75" customHeight="1">
      <c r="F139" s="195"/>
      <c r="G139" s="195"/>
      <c r="H139" s="217"/>
      <c r="I139" s="195"/>
      <c r="J139" s="195"/>
      <c r="K139" s="195"/>
      <c r="L139" s="232"/>
      <c r="M139" s="195"/>
      <c r="N139" s="195"/>
      <c r="O139" s="195"/>
      <c r="P139" s="195"/>
      <c r="Q139" s="195"/>
      <c r="R139" s="220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</row>
    <row r="140" ht="15.75" customHeight="1">
      <c r="F140" s="195"/>
      <c r="G140" s="195"/>
      <c r="H140" s="217"/>
      <c r="I140" s="195"/>
      <c r="J140" s="195"/>
      <c r="K140" s="195"/>
      <c r="L140" s="232"/>
      <c r="M140" s="195"/>
      <c r="N140" s="195"/>
      <c r="O140" s="195"/>
      <c r="P140" s="195"/>
      <c r="Q140" s="195"/>
      <c r="R140" s="220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</row>
    <row r="141" ht="15.75" customHeight="1">
      <c r="F141" s="195"/>
      <c r="G141" s="195"/>
      <c r="H141" s="217"/>
      <c r="I141" s="195"/>
      <c r="J141" s="195"/>
      <c r="K141" s="195"/>
      <c r="L141" s="232"/>
      <c r="M141" s="195"/>
      <c r="N141" s="195"/>
      <c r="O141" s="195"/>
      <c r="P141" s="195"/>
      <c r="Q141" s="195"/>
      <c r="R141" s="220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</row>
    <row r="142" ht="15.75" customHeight="1">
      <c r="F142" s="195"/>
      <c r="G142" s="195"/>
      <c r="H142" s="217"/>
      <c r="I142" s="195"/>
      <c r="J142" s="195"/>
      <c r="K142" s="195"/>
      <c r="L142" s="232"/>
      <c r="M142" s="195"/>
      <c r="N142" s="195"/>
      <c r="O142" s="195"/>
      <c r="P142" s="195"/>
      <c r="Q142" s="195"/>
      <c r="R142" s="220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</row>
    <row r="143" ht="15.75" customHeight="1">
      <c r="F143" s="195"/>
      <c r="G143" s="195"/>
      <c r="H143" s="217"/>
      <c r="I143" s="195"/>
      <c r="J143" s="195"/>
      <c r="K143" s="195"/>
      <c r="L143" s="232"/>
      <c r="M143" s="195"/>
      <c r="N143" s="195"/>
      <c r="O143" s="195"/>
      <c r="P143" s="195"/>
      <c r="Q143" s="195"/>
      <c r="R143" s="220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</row>
    <row r="144" ht="15.75" customHeight="1">
      <c r="F144" s="195"/>
      <c r="G144" s="195"/>
      <c r="H144" s="217"/>
      <c r="I144" s="195"/>
      <c r="J144" s="195"/>
      <c r="K144" s="195"/>
      <c r="L144" s="232"/>
      <c r="M144" s="195"/>
      <c r="N144" s="195"/>
      <c r="O144" s="195"/>
      <c r="P144" s="195"/>
      <c r="Q144" s="195"/>
      <c r="R144" s="220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</row>
    <row r="145" ht="15.75" customHeight="1">
      <c r="F145" s="195"/>
      <c r="G145" s="195"/>
      <c r="H145" s="217"/>
      <c r="I145" s="195"/>
      <c r="J145" s="195"/>
      <c r="K145" s="195"/>
      <c r="L145" s="232"/>
      <c r="M145" s="195"/>
      <c r="N145" s="195"/>
      <c r="O145" s="195"/>
      <c r="P145" s="195"/>
      <c r="Q145" s="195"/>
      <c r="R145" s="220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</row>
    <row r="146" ht="15.75" customHeight="1">
      <c r="F146" s="195"/>
      <c r="G146" s="195"/>
      <c r="H146" s="217"/>
      <c r="I146" s="195"/>
      <c r="J146" s="195"/>
      <c r="K146" s="195"/>
      <c r="L146" s="232"/>
      <c r="M146" s="195"/>
      <c r="N146" s="195"/>
      <c r="O146" s="195"/>
      <c r="P146" s="195"/>
      <c r="Q146" s="195"/>
      <c r="R146" s="220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</row>
    <row r="147" ht="15.75" customHeight="1">
      <c r="F147" s="195"/>
      <c r="G147" s="195"/>
      <c r="H147" s="217"/>
      <c r="I147" s="195"/>
      <c r="J147" s="195"/>
      <c r="K147" s="195"/>
      <c r="L147" s="232"/>
      <c r="M147" s="195"/>
      <c r="N147" s="195"/>
      <c r="O147" s="195"/>
      <c r="P147" s="195"/>
      <c r="Q147" s="195"/>
      <c r="R147" s="220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</row>
    <row r="148" ht="15.75" customHeight="1">
      <c r="F148" s="195"/>
      <c r="G148" s="195"/>
      <c r="H148" s="217"/>
      <c r="I148" s="195"/>
      <c r="J148" s="195"/>
      <c r="K148" s="195"/>
      <c r="L148" s="232"/>
      <c r="M148" s="195"/>
      <c r="N148" s="195"/>
      <c r="O148" s="195"/>
      <c r="P148" s="195"/>
      <c r="Q148" s="195"/>
      <c r="R148" s="220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</row>
    <row r="149" ht="15.75" customHeight="1">
      <c r="F149" s="195"/>
      <c r="G149" s="195"/>
      <c r="H149" s="217"/>
      <c r="I149" s="195"/>
      <c r="J149" s="195"/>
      <c r="K149" s="195"/>
      <c r="L149" s="232"/>
      <c r="M149" s="195"/>
      <c r="N149" s="195"/>
      <c r="O149" s="195"/>
      <c r="P149" s="195"/>
      <c r="Q149" s="195"/>
      <c r="R149" s="220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</row>
    <row r="150" ht="15.75" customHeight="1">
      <c r="F150" s="195"/>
      <c r="G150" s="195"/>
      <c r="H150" s="217"/>
      <c r="I150" s="195"/>
      <c r="J150" s="195"/>
      <c r="K150" s="195"/>
      <c r="L150" s="232"/>
      <c r="M150" s="195"/>
      <c r="N150" s="195"/>
      <c r="O150" s="195"/>
      <c r="P150" s="195"/>
      <c r="Q150" s="195"/>
      <c r="R150" s="220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</row>
    <row r="151" ht="15.75" customHeight="1">
      <c r="F151" s="195"/>
      <c r="G151" s="195"/>
      <c r="H151" s="217"/>
      <c r="I151" s="195"/>
      <c r="J151" s="195"/>
      <c r="K151" s="195"/>
      <c r="L151" s="232"/>
      <c r="M151" s="195"/>
      <c r="N151" s="195"/>
      <c r="O151" s="195"/>
      <c r="P151" s="195"/>
      <c r="Q151" s="195"/>
      <c r="R151" s="220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</row>
    <row r="152" ht="15.75" customHeight="1">
      <c r="F152" s="195"/>
      <c r="G152" s="195"/>
      <c r="H152" s="217"/>
      <c r="I152" s="195"/>
      <c r="J152" s="195"/>
      <c r="K152" s="195"/>
      <c r="L152" s="232"/>
      <c r="M152" s="195"/>
      <c r="N152" s="195"/>
      <c r="O152" s="195"/>
      <c r="P152" s="195"/>
      <c r="Q152" s="195"/>
      <c r="R152" s="220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</row>
    <row r="153" ht="15.75" customHeight="1">
      <c r="F153" s="195"/>
      <c r="G153" s="195"/>
      <c r="H153" s="217"/>
      <c r="I153" s="195"/>
      <c r="J153" s="195"/>
      <c r="K153" s="195"/>
      <c r="L153" s="232"/>
      <c r="M153" s="195"/>
      <c r="N153" s="195"/>
      <c r="O153" s="195"/>
      <c r="P153" s="195"/>
      <c r="Q153" s="195"/>
      <c r="R153" s="220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</row>
    <row r="154" ht="15.75" customHeight="1">
      <c r="F154" s="195"/>
      <c r="G154" s="195"/>
      <c r="H154" s="217"/>
      <c r="I154" s="195"/>
      <c r="J154" s="195"/>
      <c r="K154" s="195"/>
      <c r="L154" s="232"/>
      <c r="M154" s="195"/>
      <c r="N154" s="195"/>
      <c r="O154" s="195"/>
      <c r="P154" s="195"/>
      <c r="Q154" s="195"/>
      <c r="R154" s="220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</row>
    <row r="155" ht="15.75" customHeight="1">
      <c r="F155" s="195"/>
      <c r="G155" s="195"/>
      <c r="H155" s="217"/>
      <c r="I155" s="195"/>
      <c r="J155" s="195"/>
      <c r="K155" s="195"/>
      <c r="L155" s="232"/>
      <c r="M155" s="195"/>
      <c r="N155" s="195"/>
      <c r="O155" s="195"/>
      <c r="P155" s="195"/>
      <c r="Q155" s="195"/>
      <c r="R155" s="220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</row>
    <row r="156" ht="15.75" customHeight="1">
      <c r="F156" s="195"/>
      <c r="G156" s="195"/>
      <c r="H156" s="217"/>
      <c r="I156" s="195"/>
      <c r="J156" s="195"/>
      <c r="K156" s="195"/>
      <c r="L156" s="232"/>
      <c r="M156" s="195"/>
      <c r="N156" s="195"/>
      <c r="O156" s="195"/>
      <c r="P156" s="195"/>
      <c r="Q156" s="195"/>
      <c r="R156" s="220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</row>
    <row r="157" ht="15.75" customHeight="1">
      <c r="F157" s="195"/>
      <c r="G157" s="195"/>
      <c r="H157" s="217"/>
      <c r="I157" s="195"/>
      <c r="J157" s="195"/>
      <c r="K157" s="195"/>
      <c r="L157" s="232"/>
      <c r="M157" s="195"/>
      <c r="N157" s="195"/>
      <c r="O157" s="195"/>
      <c r="P157" s="195"/>
      <c r="Q157" s="195"/>
      <c r="R157" s="220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</row>
    <row r="158" ht="15.75" customHeight="1">
      <c r="F158" s="195"/>
      <c r="G158" s="195"/>
      <c r="H158" s="217"/>
      <c r="I158" s="195"/>
      <c r="J158" s="195"/>
      <c r="K158" s="195"/>
      <c r="L158" s="232"/>
      <c r="M158" s="195"/>
      <c r="N158" s="195"/>
      <c r="O158" s="195"/>
      <c r="P158" s="195"/>
      <c r="Q158" s="195"/>
      <c r="R158" s="220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</row>
    <row r="159" ht="15.75" customHeight="1">
      <c r="F159" s="195"/>
      <c r="G159" s="195"/>
      <c r="H159" s="217"/>
      <c r="I159" s="195"/>
      <c r="J159" s="195"/>
      <c r="K159" s="195"/>
      <c r="L159" s="232"/>
      <c r="M159" s="195"/>
      <c r="N159" s="195"/>
      <c r="O159" s="195"/>
      <c r="P159" s="195"/>
      <c r="Q159" s="195"/>
      <c r="R159" s="220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</row>
    <row r="160" ht="15.75" customHeight="1">
      <c r="F160" s="195"/>
      <c r="G160" s="195"/>
      <c r="H160" s="217"/>
      <c r="I160" s="195"/>
      <c r="J160" s="195"/>
      <c r="K160" s="195"/>
      <c r="L160" s="232"/>
      <c r="M160" s="195"/>
      <c r="N160" s="195"/>
      <c r="O160" s="195"/>
      <c r="P160" s="195"/>
      <c r="Q160" s="195"/>
      <c r="R160" s="220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</row>
    <row r="161" ht="15.75" customHeight="1">
      <c r="F161" s="195"/>
      <c r="G161" s="195"/>
      <c r="H161" s="217"/>
      <c r="I161" s="195"/>
      <c r="J161" s="195"/>
      <c r="K161" s="195"/>
      <c r="L161" s="232"/>
      <c r="M161" s="195"/>
      <c r="N161" s="195"/>
      <c r="O161" s="195"/>
      <c r="P161" s="195"/>
      <c r="Q161" s="195"/>
      <c r="R161" s="220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</row>
    <row r="162" ht="15.75" customHeight="1">
      <c r="F162" s="195"/>
      <c r="G162" s="195"/>
      <c r="H162" s="217"/>
      <c r="I162" s="195"/>
      <c r="J162" s="195"/>
      <c r="K162" s="195"/>
      <c r="L162" s="232"/>
      <c r="M162" s="195"/>
      <c r="N162" s="195"/>
      <c r="O162" s="195"/>
      <c r="P162" s="195"/>
      <c r="Q162" s="195"/>
      <c r="R162" s="220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</row>
    <row r="163" ht="15.75" customHeight="1">
      <c r="F163" s="195"/>
      <c r="G163" s="195"/>
      <c r="H163" s="217"/>
      <c r="I163" s="195"/>
      <c r="J163" s="195"/>
      <c r="K163" s="195"/>
      <c r="L163" s="232"/>
      <c r="M163" s="195"/>
      <c r="N163" s="195"/>
      <c r="O163" s="195"/>
      <c r="P163" s="195"/>
      <c r="Q163" s="195"/>
      <c r="R163" s="220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</row>
    <row r="164" ht="15.75" customHeight="1">
      <c r="F164" s="195"/>
      <c r="G164" s="195"/>
      <c r="H164" s="217"/>
      <c r="I164" s="195"/>
      <c r="J164" s="195"/>
      <c r="K164" s="195"/>
      <c r="L164" s="232"/>
      <c r="M164" s="195"/>
      <c r="N164" s="195"/>
      <c r="O164" s="195"/>
      <c r="P164" s="195"/>
      <c r="Q164" s="195"/>
      <c r="R164" s="220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</row>
    <row r="165" ht="15.75" customHeight="1">
      <c r="F165" s="195"/>
      <c r="G165" s="195"/>
      <c r="H165" s="217"/>
      <c r="I165" s="195"/>
      <c r="J165" s="195"/>
      <c r="K165" s="195"/>
      <c r="L165" s="232"/>
      <c r="M165" s="195"/>
      <c r="N165" s="195"/>
      <c r="O165" s="195"/>
      <c r="P165" s="195"/>
      <c r="Q165" s="195"/>
      <c r="R165" s="220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</row>
    <row r="166" ht="15.75" customHeight="1">
      <c r="F166" s="195"/>
      <c r="G166" s="195"/>
      <c r="H166" s="217"/>
      <c r="I166" s="195"/>
      <c r="J166" s="195"/>
      <c r="K166" s="195"/>
      <c r="L166" s="232"/>
      <c r="M166" s="195"/>
      <c r="N166" s="195"/>
      <c r="O166" s="195"/>
      <c r="P166" s="195"/>
      <c r="Q166" s="195"/>
      <c r="R166" s="220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</row>
    <row r="167" ht="15.75" customHeight="1">
      <c r="F167" s="195"/>
      <c r="G167" s="195"/>
      <c r="H167" s="217"/>
      <c r="I167" s="195"/>
      <c r="J167" s="195"/>
      <c r="K167" s="195"/>
      <c r="L167" s="232"/>
      <c r="M167" s="195"/>
      <c r="N167" s="195"/>
      <c r="O167" s="195"/>
      <c r="P167" s="195"/>
      <c r="Q167" s="195"/>
      <c r="R167" s="220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</row>
    <row r="168" ht="15.75" customHeight="1">
      <c r="F168" s="195"/>
      <c r="G168" s="195"/>
      <c r="H168" s="217"/>
      <c r="I168" s="195"/>
      <c r="J168" s="195"/>
      <c r="K168" s="195"/>
      <c r="L168" s="232"/>
      <c r="M168" s="195"/>
      <c r="N168" s="195"/>
      <c r="O168" s="195"/>
      <c r="P168" s="195"/>
      <c r="Q168" s="195"/>
      <c r="R168" s="220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</row>
    <row r="169" ht="15.75" customHeight="1">
      <c r="F169" s="195"/>
      <c r="G169" s="195"/>
      <c r="H169" s="217"/>
      <c r="I169" s="195"/>
      <c r="J169" s="195"/>
      <c r="K169" s="195"/>
      <c r="L169" s="232"/>
      <c r="M169" s="195"/>
      <c r="N169" s="195"/>
      <c r="O169" s="195"/>
      <c r="P169" s="195"/>
      <c r="Q169" s="195"/>
      <c r="R169" s="220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</row>
    <row r="170" ht="15.75" customHeight="1">
      <c r="F170" s="195"/>
      <c r="G170" s="195"/>
      <c r="H170" s="217"/>
      <c r="I170" s="195"/>
      <c r="J170" s="195"/>
      <c r="K170" s="195"/>
      <c r="L170" s="232"/>
      <c r="M170" s="195"/>
      <c r="N170" s="195"/>
      <c r="O170" s="195"/>
      <c r="P170" s="195"/>
      <c r="Q170" s="195"/>
      <c r="R170" s="220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</row>
    <row r="171" ht="15.75" customHeight="1">
      <c r="F171" s="195"/>
      <c r="G171" s="195"/>
      <c r="H171" s="217"/>
      <c r="I171" s="195"/>
      <c r="J171" s="195"/>
      <c r="K171" s="195"/>
      <c r="L171" s="232"/>
      <c r="M171" s="195"/>
      <c r="N171" s="195"/>
      <c r="O171" s="195"/>
      <c r="P171" s="195"/>
      <c r="Q171" s="195"/>
      <c r="R171" s="220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</row>
    <row r="172" ht="15.75" customHeight="1">
      <c r="F172" s="195"/>
      <c r="G172" s="195"/>
      <c r="H172" s="217"/>
      <c r="I172" s="195"/>
      <c r="J172" s="195"/>
      <c r="K172" s="195"/>
      <c r="L172" s="232"/>
      <c r="M172" s="195"/>
      <c r="N172" s="195"/>
      <c r="O172" s="195"/>
      <c r="P172" s="195"/>
      <c r="Q172" s="195"/>
      <c r="R172" s="220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</row>
    <row r="173" ht="15.75" customHeight="1">
      <c r="F173" s="195"/>
      <c r="G173" s="195"/>
      <c r="H173" s="217"/>
      <c r="I173" s="195"/>
      <c r="J173" s="195"/>
      <c r="K173" s="195"/>
      <c r="L173" s="232"/>
      <c r="M173" s="195"/>
      <c r="N173" s="195"/>
      <c r="O173" s="195"/>
      <c r="P173" s="195"/>
      <c r="Q173" s="195"/>
      <c r="R173" s="220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</row>
    <row r="174" ht="15.75" customHeight="1">
      <c r="F174" s="195"/>
      <c r="G174" s="195"/>
      <c r="H174" s="217"/>
      <c r="I174" s="195"/>
      <c r="J174" s="195"/>
      <c r="K174" s="195"/>
      <c r="L174" s="232"/>
      <c r="M174" s="195"/>
      <c r="N174" s="195"/>
      <c r="O174" s="195"/>
      <c r="P174" s="195"/>
      <c r="Q174" s="195"/>
      <c r="R174" s="220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</row>
    <row r="175" ht="15.75" customHeight="1">
      <c r="F175" s="195"/>
      <c r="G175" s="195"/>
      <c r="H175" s="217"/>
      <c r="I175" s="195"/>
      <c r="J175" s="195"/>
      <c r="K175" s="195"/>
      <c r="L175" s="232"/>
      <c r="M175" s="195"/>
      <c r="N175" s="195"/>
      <c r="O175" s="195"/>
      <c r="P175" s="195"/>
      <c r="Q175" s="195"/>
      <c r="R175" s="220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</row>
    <row r="176" ht="15.75" customHeight="1">
      <c r="F176" s="195"/>
      <c r="G176" s="195"/>
      <c r="H176" s="217"/>
      <c r="I176" s="195"/>
      <c r="J176" s="195"/>
      <c r="K176" s="195"/>
      <c r="L176" s="232"/>
      <c r="M176" s="195"/>
      <c r="N176" s="195"/>
      <c r="O176" s="195"/>
      <c r="P176" s="195"/>
      <c r="Q176" s="195"/>
      <c r="R176" s="220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</row>
    <row r="177" ht="15.75" customHeight="1">
      <c r="F177" s="195"/>
      <c r="G177" s="195"/>
      <c r="H177" s="217"/>
      <c r="I177" s="195"/>
      <c r="J177" s="195"/>
      <c r="K177" s="195"/>
      <c r="L177" s="232"/>
      <c r="M177" s="195"/>
      <c r="N177" s="195"/>
      <c r="O177" s="195"/>
      <c r="P177" s="195"/>
      <c r="Q177" s="195"/>
      <c r="R177" s="220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</row>
    <row r="178" ht="15.75" customHeight="1">
      <c r="F178" s="195"/>
      <c r="G178" s="195"/>
      <c r="H178" s="217"/>
      <c r="I178" s="195"/>
      <c r="J178" s="195"/>
      <c r="K178" s="195"/>
      <c r="L178" s="232"/>
      <c r="M178" s="195"/>
      <c r="N178" s="195"/>
      <c r="O178" s="195"/>
      <c r="P178" s="195"/>
      <c r="Q178" s="195"/>
      <c r="R178" s="220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</row>
    <row r="179" ht="15.75" customHeight="1">
      <c r="F179" s="195"/>
      <c r="G179" s="195"/>
      <c r="H179" s="217"/>
      <c r="I179" s="195"/>
      <c r="J179" s="195"/>
      <c r="K179" s="195"/>
      <c r="L179" s="232"/>
      <c r="M179" s="195"/>
      <c r="N179" s="195"/>
      <c r="O179" s="195"/>
      <c r="P179" s="195"/>
      <c r="Q179" s="195"/>
      <c r="R179" s="220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</row>
    <row r="180" ht="15.75" customHeight="1">
      <c r="F180" s="195"/>
      <c r="G180" s="195"/>
      <c r="H180" s="217"/>
      <c r="I180" s="195"/>
      <c r="J180" s="195"/>
      <c r="K180" s="195"/>
      <c r="L180" s="232"/>
      <c r="M180" s="195"/>
      <c r="N180" s="195"/>
      <c r="O180" s="195"/>
      <c r="P180" s="195"/>
      <c r="Q180" s="195"/>
      <c r="R180" s="220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</row>
    <row r="181" ht="15.75" customHeight="1">
      <c r="F181" s="195"/>
      <c r="G181" s="195"/>
      <c r="H181" s="217"/>
      <c r="I181" s="195"/>
      <c r="J181" s="195"/>
      <c r="K181" s="195"/>
      <c r="L181" s="232"/>
      <c r="M181" s="195"/>
      <c r="N181" s="195"/>
      <c r="O181" s="195"/>
      <c r="P181" s="195"/>
      <c r="Q181" s="195"/>
      <c r="R181" s="220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</row>
    <row r="182" ht="15.75" customHeight="1">
      <c r="F182" s="195"/>
      <c r="G182" s="195"/>
      <c r="H182" s="217"/>
      <c r="I182" s="195"/>
      <c r="J182" s="195"/>
      <c r="K182" s="195"/>
      <c r="L182" s="232"/>
      <c r="M182" s="195"/>
      <c r="N182" s="195"/>
      <c r="O182" s="195"/>
      <c r="P182" s="195"/>
      <c r="Q182" s="195"/>
      <c r="R182" s="220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</row>
    <row r="183" ht="15.75" customHeight="1">
      <c r="F183" s="195"/>
      <c r="G183" s="195"/>
      <c r="H183" s="217"/>
      <c r="I183" s="195"/>
      <c r="J183" s="195"/>
      <c r="K183" s="195"/>
      <c r="L183" s="232"/>
      <c r="M183" s="195"/>
      <c r="N183" s="195"/>
      <c r="O183" s="195"/>
      <c r="P183" s="195"/>
      <c r="Q183" s="195"/>
      <c r="R183" s="220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</row>
    <row r="184" ht="15.75" customHeight="1">
      <c r="F184" s="195"/>
      <c r="G184" s="195"/>
      <c r="H184" s="217"/>
      <c r="I184" s="195"/>
      <c r="J184" s="195"/>
      <c r="K184" s="195"/>
      <c r="L184" s="232"/>
      <c r="M184" s="195"/>
      <c r="N184" s="195"/>
      <c r="O184" s="195"/>
      <c r="P184" s="195"/>
      <c r="Q184" s="195"/>
      <c r="R184" s="220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</row>
    <row r="185" ht="15.75" customHeight="1">
      <c r="F185" s="195"/>
      <c r="G185" s="195"/>
      <c r="H185" s="217"/>
      <c r="I185" s="195"/>
      <c r="J185" s="195"/>
      <c r="K185" s="195"/>
      <c r="L185" s="232"/>
      <c r="M185" s="195"/>
      <c r="N185" s="195"/>
      <c r="O185" s="195"/>
      <c r="P185" s="195"/>
      <c r="Q185" s="195"/>
      <c r="R185" s="220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</row>
    <row r="186" ht="15.75" customHeight="1">
      <c r="F186" s="195"/>
      <c r="G186" s="195"/>
      <c r="H186" s="217"/>
      <c r="I186" s="195"/>
      <c r="J186" s="195"/>
      <c r="K186" s="195"/>
      <c r="L186" s="232"/>
      <c r="M186" s="195"/>
      <c r="N186" s="195"/>
      <c r="O186" s="195"/>
      <c r="P186" s="195"/>
      <c r="Q186" s="195"/>
      <c r="R186" s="220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</row>
    <row r="187" ht="15.75" customHeight="1">
      <c r="F187" s="195"/>
      <c r="G187" s="195"/>
      <c r="H187" s="217"/>
      <c r="I187" s="195"/>
      <c r="J187" s="195"/>
      <c r="K187" s="195"/>
      <c r="L187" s="232"/>
      <c r="M187" s="195"/>
      <c r="N187" s="195"/>
      <c r="O187" s="195"/>
      <c r="P187" s="195"/>
      <c r="Q187" s="195"/>
      <c r="R187" s="220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</row>
    <row r="188" ht="15.75" customHeight="1">
      <c r="F188" s="195"/>
      <c r="G188" s="195"/>
      <c r="H188" s="217"/>
      <c r="I188" s="195"/>
      <c r="J188" s="195"/>
      <c r="K188" s="195"/>
      <c r="L188" s="232"/>
      <c r="M188" s="195"/>
      <c r="N188" s="195"/>
      <c r="O188" s="195"/>
      <c r="P188" s="195"/>
      <c r="Q188" s="195"/>
      <c r="R188" s="220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</row>
    <row r="189" ht="15.75" customHeight="1">
      <c r="F189" s="195"/>
      <c r="G189" s="195"/>
      <c r="H189" s="217"/>
      <c r="I189" s="195"/>
      <c r="J189" s="195"/>
      <c r="K189" s="195"/>
      <c r="L189" s="232"/>
      <c r="M189" s="195"/>
      <c r="N189" s="195"/>
      <c r="O189" s="195"/>
      <c r="P189" s="195"/>
      <c r="Q189" s="195"/>
      <c r="R189" s="220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</row>
    <row r="190" ht="15.75" customHeight="1">
      <c r="F190" s="195"/>
      <c r="G190" s="195"/>
      <c r="H190" s="217"/>
      <c r="I190" s="195"/>
      <c r="J190" s="195"/>
      <c r="K190" s="195"/>
      <c r="L190" s="232"/>
      <c r="M190" s="195"/>
      <c r="N190" s="195"/>
      <c r="O190" s="195"/>
      <c r="P190" s="195"/>
      <c r="Q190" s="195"/>
      <c r="R190" s="220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</row>
    <row r="191" ht="15.75" customHeight="1">
      <c r="F191" s="195"/>
      <c r="G191" s="195"/>
      <c r="H191" s="217"/>
      <c r="I191" s="195"/>
      <c r="J191" s="195"/>
      <c r="K191" s="195"/>
      <c r="L191" s="232"/>
      <c r="M191" s="195"/>
      <c r="N191" s="195"/>
      <c r="O191" s="195"/>
      <c r="P191" s="195"/>
      <c r="Q191" s="195"/>
      <c r="R191" s="220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</row>
    <row r="192" ht="15.75" customHeight="1">
      <c r="F192" s="195"/>
      <c r="G192" s="195"/>
      <c r="H192" s="217"/>
      <c r="I192" s="195"/>
      <c r="J192" s="195"/>
      <c r="K192" s="195"/>
      <c r="L192" s="232"/>
      <c r="M192" s="195"/>
      <c r="N192" s="195"/>
      <c r="O192" s="195"/>
      <c r="P192" s="195"/>
      <c r="Q192" s="195"/>
      <c r="R192" s="220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</row>
    <row r="193" ht="15.75" customHeight="1">
      <c r="F193" s="195"/>
      <c r="G193" s="195"/>
      <c r="H193" s="217"/>
      <c r="I193" s="195"/>
      <c r="J193" s="195"/>
      <c r="K193" s="195"/>
      <c r="L193" s="232"/>
      <c r="M193" s="195"/>
      <c r="N193" s="195"/>
      <c r="O193" s="195"/>
      <c r="P193" s="195"/>
      <c r="Q193" s="195"/>
      <c r="R193" s="220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</row>
    <row r="194" ht="15.75" customHeight="1">
      <c r="F194" s="195"/>
      <c r="G194" s="195"/>
      <c r="H194" s="217"/>
      <c r="I194" s="195"/>
      <c r="J194" s="195"/>
      <c r="K194" s="195"/>
      <c r="L194" s="232"/>
      <c r="M194" s="195"/>
      <c r="N194" s="195"/>
      <c r="O194" s="195"/>
      <c r="P194" s="195"/>
      <c r="Q194" s="195"/>
      <c r="R194" s="220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</row>
    <row r="195" ht="15.75" customHeight="1">
      <c r="F195" s="195"/>
      <c r="G195" s="195"/>
      <c r="H195" s="217"/>
      <c r="I195" s="195"/>
      <c r="J195" s="195"/>
      <c r="K195" s="195"/>
      <c r="L195" s="232"/>
      <c r="M195" s="195"/>
      <c r="N195" s="195"/>
      <c r="O195" s="195"/>
      <c r="P195" s="195"/>
      <c r="Q195" s="195"/>
      <c r="R195" s="220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</row>
    <row r="196" ht="15.75" customHeight="1">
      <c r="F196" s="195"/>
      <c r="G196" s="195"/>
      <c r="H196" s="217"/>
      <c r="I196" s="195"/>
      <c r="J196" s="195"/>
      <c r="K196" s="195"/>
      <c r="L196" s="232"/>
      <c r="M196" s="195"/>
      <c r="N196" s="195"/>
      <c r="O196" s="195"/>
      <c r="P196" s="195"/>
      <c r="Q196" s="195"/>
      <c r="R196" s="220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</row>
    <row r="197" ht="15.75" customHeight="1">
      <c r="F197" s="195"/>
      <c r="G197" s="195"/>
      <c r="H197" s="217"/>
      <c r="I197" s="195"/>
      <c r="J197" s="195"/>
      <c r="K197" s="195"/>
      <c r="L197" s="232"/>
      <c r="M197" s="195"/>
      <c r="N197" s="195"/>
      <c r="O197" s="195"/>
      <c r="P197" s="195"/>
      <c r="Q197" s="195"/>
      <c r="R197" s="220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</row>
    <row r="198" ht="15.75" customHeight="1">
      <c r="F198" s="195"/>
      <c r="G198" s="195"/>
      <c r="H198" s="217"/>
      <c r="I198" s="195"/>
      <c r="J198" s="195"/>
      <c r="K198" s="195"/>
      <c r="L198" s="232"/>
      <c r="M198" s="195"/>
      <c r="N198" s="195"/>
      <c r="O198" s="195"/>
      <c r="P198" s="195"/>
      <c r="Q198" s="195"/>
      <c r="R198" s="220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</row>
    <row r="199" ht="15.75" customHeight="1">
      <c r="F199" s="195"/>
      <c r="G199" s="195"/>
      <c r="H199" s="217"/>
      <c r="I199" s="195"/>
      <c r="J199" s="195"/>
      <c r="K199" s="195"/>
      <c r="L199" s="232"/>
      <c r="M199" s="195"/>
      <c r="N199" s="195"/>
      <c r="O199" s="195"/>
      <c r="P199" s="195"/>
      <c r="Q199" s="195"/>
      <c r="R199" s="220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</row>
    <row r="200" ht="15.75" customHeight="1">
      <c r="F200" s="195"/>
      <c r="G200" s="195"/>
      <c r="H200" s="217"/>
      <c r="I200" s="195"/>
      <c r="J200" s="195"/>
      <c r="K200" s="195"/>
      <c r="L200" s="232"/>
      <c r="M200" s="195"/>
      <c r="N200" s="195"/>
      <c r="O200" s="195"/>
      <c r="P200" s="195"/>
      <c r="Q200" s="195"/>
      <c r="R200" s="220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</row>
    <row r="201" ht="15.75" customHeight="1">
      <c r="F201" s="195"/>
      <c r="G201" s="195"/>
      <c r="H201" s="217"/>
      <c r="I201" s="195"/>
      <c r="J201" s="195"/>
      <c r="K201" s="195"/>
      <c r="L201" s="232"/>
      <c r="M201" s="195"/>
      <c r="N201" s="195"/>
      <c r="O201" s="195"/>
      <c r="P201" s="195"/>
      <c r="Q201" s="195"/>
      <c r="R201" s="220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</row>
    <row r="202" ht="15.75" customHeight="1">
      <c r="F202" s="195"/>
      <c r="G202" s="195"/>
      <c r="H202" s="217"/>
      <c r="I202" s="195"/>
      <c r="J202" s="195"/>
      <c r="K202" s="195"/>
      <c r="L202" s="232"/>
      <c r="M202" s="195"/>
      <c r="N202" s="195"/>
      <c r="O202" s="195"/>
      <c r="P202" s="195"/>
      <c r="Q202" s="195"/>
      <c r="R202" s="220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</row>
    <row r="203" ht="15.75" customHeight="1">
      <c r="F203" s="195"/>
      <c r="G203" s="195"/>
      <c r="H203" s="217"/>
      <c r="I203" s="195"/>
      <c r="J203" s="195"/>
      <c r="K203" s="195"/>
      <c r="L203" s="232"/>
      <c r="M203" s="195"/>
      <c r="N203" s="195"/>
      <c r="O203" s="195"/>
      <c r="P203" s="195"/>
      <c r="Q203" s="195"/>
      <c r="R203" s="220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</row>
    <row r="204" ht="15.75" customHeight="1">
      <c r="F204" s="195"/>
      <c r="G204" s="195"/>
      <c r="H204" s="217"/>
      <c r="I204" s="195"/>
      <c r="J204" s="195"/>
      <c r="K204" s="195"/>
      <c r="L204" s="232"/>
      <c r="M204" s="195"/>
      <c r="N204" s="195"/>
      <c r="O204" s="195"/>
      <c r="P204" s="195"/>
      <c r="Q204" s="195"/>
      <c r="R204" s="220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</row>
    <row r="205" ht="15.75" customHeight="1">
      <c r="F205" s="195"/>
      <c r="G205" s="195"/>
      <c r="H205" s="217"/>
      <c r="I205" s="195"/>
      <c r="J205" s="195"/>
      <c r="K205" s="195"/>
      <c r="L205" s="232"/>
      <c r="M205" s="195"/>
      <c r="N205" s="195"/>
      <c r="O205" s="195"/>
      <c r="P205" s="195"/>
      <c r="Q205" s="195"/>
      <c r="R205" s="220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</row>
    <row r="206" ht="15.75" customHeight="1">
      <c r="F206" s="195"/>
      <c r="G206" s="195"/>
      <c r="H206" s="217"/>
      <c r="I206" s="195"/>
      <c r="J206" s="195"/>
      <c r="K206" s="195"/>
      <c r="L206" s="232"/>
      <c r="M206" s="195"/>
      <c r="N206" s="195"/>
      <c r="O206" s="195"/>
      <c r="P206" s="195"/>
      <c r="Q206" s="195"/>
      <c r="R206" s="220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</row>
    <row r="207" ht="15.75" customHeight="1">
      <c r="F207" s="195"/>
      <c r="G207" s="195"/>
      <c r="H207" s="217"/>
      <c r="I207" s="195"/>
      <c r="J207" s="195"/>
      <c r="K207" s="195"/>
      <c r="L207" s="232"/>
      <c r="M207" s="195"/>
      <c r="N207" s="195"/>
      <c r="O207" s="195"/>
      <c r="P207" s="195"/>
      <c r="Q207" s="195"/>
      <c r="R207" s="220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</row>
    <row r="208" ht="15.75" customHeight="1">
      <c r="F208" s="195"/>
      <c r="G208" s="195"/>
      <c r="H208" s="217"/>
      <c r="I208" s="195"/>
      <c r="J208" s="195"/>
      <c r="K208" s="195"/>
      <c r="L208" s="232"/>
      <c r="M208" s="195"/>
      <c r="N208" s="195"/>
      <c r="O208" s="195"/>
      <c r="P208" s="195"/>
      <c r="Q208" s="195"/>
      <c r="R208" s="220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</row>
    <row r="209" ht="15.75" customHeight="1">
      <c r="F209" s="195"/>
      <c r="G209" s="195"/>
      <c r="H209" s="217"/>
      <c r="I209" s="195"/>
      <c r="J209" s="195"/>
      <c r="K209" s="195"/>
      <c r="L209" s="232"/>
      <c r="M209" s="195"/>
      <c r="N209" s="195"/>
      <c r="O209" s="195"/>
      <c r="P209" s="195"/>
      <c r="Q209" s="195"/>
      <c r="R209" s="220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</row>
    <row r="210" ht="15.75" customHeight="1">
      <c r="F210" s="195"/>
      <c r="G210" s="195"/>
      <c r="H210" s="217"/>
      <c r="I210" s="195"/>
      <c r="J210" s="195"/>
      <c r="K210" s="195"/>
      <c r="L210" s="232"/>
      <c r="M210" s="195"/>
      <c r="N210" s="195"/>
      <c r="O210" s="195"/>
      <c r="P210" s="195"/>
      <c r="Q210" s="195"/>
      <c r="R210" s="220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</row>
    <row r="211" ht="15.75" customHeight="1">
      <c r="F211" s="195"/>
      <c r="G211" s="195"/>
      <c r="H211" s="217"/>
      <c r="I211" s="195"/>
      <c r="J211" s="195"/>
      <c r="K211" s="195"/>
      <c r="L211" s="232"/>
      <c r="M211" s="195"/>
      <c r="N211" s="195"/>
      <c r="O211" s="195"/>
      <c r="P211" s="195"/>
      <c r="Q211" s="195"/>
      <c r="R211" s="220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</row>
    <row r="212" ht="15.75" customHeight="1">
      <c r="F212" s="195"/>
      <c r="G212" s="195"/>
      <c r="H212" s="217"/>
      <c r="I212" s="195"/>
      <c r="J212" s="195"/>
      <c r="K212" s="195"/>
      <c r="L212" s="232"/>
      <c r="M212" s="195"/>
      <c r="N212" s="195"/>
      <c r="O212" s="195"/>
      <c r="P212" s="195"/>
      <c r="Q212" s="195"/>
      <c r="R212" s="220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</row>
    <row r="213" ht="15.75" customHeight="1">
      <c r="F213" s="195"/>
      <c r="G213" s="195"/>
      <c r="H213" s="217"/>
      <c r="I213" s="195"/>
      <c r="J213" s="195"/>
      <c r="K213" s="195"/>
      <c r="L213" s="232"/>
      <c r="M213" s="195"/>
      <c r="N213" s="195"/>
      <c r="O213" s="195"/>
      <c r="P213" s="195"/>
      <c r="Q213" s="195"/>
      <c r="R213" s="220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</row>
    <row r="214" ht="15.75" customHeight="1">
      <c r="F214" s="195"/>
      <c r="G214" s="195"/>
      <c r="H214" s="217"/>
      <c r="I214" s="195"/>
      <c r="J214" s="195"/>
      <c r="K214" s="195"/>
      <c r="L214" s="232"/>
      <c r="M214" s="195"/>
      <c r="N214" s="195"/>
      <c r="O214" s="195"/>
      <c r="P214" s="195"/>
      <c r="Q214" s="195"/>
      <c r="R214" s="220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</row>
    <row r="215" ht="15.75" customHeight="1">
      <c r="F215" s="195"/>
      <c r="G215" s="195"/>
      <c r="H215" s="217"/>
      <c r="I215" s="195"/>
      <c r="J215" s="195"/>
      <c r="K215" s="195"/>
      <c r="L215" s="232"/>
      <c r="M215" s="195"/>
      <c r="N215" s="195"/>
      <c r="O215" s="195"/>
      <c r="P215" s="195"/>
      <c r="Q215" s="195"/>
      <c r="R215" s="220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</row>
    <row r="216" ht="15.75" customHeight="1">
      <c r="F216" s="195"/>
      <c r="G216" s="195"/>
      <c r="H216" s="217"/>
      <c r="I216" s="195"/>
      <c r="J216" s="195"/>
      <c r="K216" s="195"/>
      <c r="L216" s="232"/>
      <c r="M216" s="195"/>
      <c r="N216" s="195"/>
      <c r="O216" s="195"/>
      <c r="P216" s="195"/>
      <c r="Q216" s="195"/>
      <c r="R216" s="220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</row>
    <row r="217" ht="15.75" customHeight="1">
      <c r="F217" s="195"/>
      <c r="G217" s="195"/>
      <c r="H217" s="217"/>
      <c r="I217" s="195"/>
      <c r="J217" s="195"/>
      <c r="K217" s="195"/>
      <c r="L217" s="232"/>
      <c r="M217" s="195"/>
      <c r="N217" s="195"/>
      <c r="O217" s="195"/>
      <c r="P217" s="195"/>
      <c r="Q217" s="195"/>
      <c r="R217" s="220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</row>
    <row r="218" ht="15.75" customHeight="1">
      <c r="F218" s="195"/>
      <c r="G218" s="195"/>
      <c r="H218" s="217"/>
      <c r="I218" s="195"/>
      <c r="J218" s="195"/>
      <c r="K218" s="195"/>
      <c r="L218" s="232"/>
      <c r="M218" s="195"/>
      <c r="N218" s="195"/>
      <c r="O218" s="195"/>
      <c r="P218" s="195"/>
      <c r="Q218" s="195"/>
      <c r="R218" s="220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</row>
    <row r="219" ht="15.75" customHeight="1">
      <c r="F219" s="195"/>
      <c r="G219" s="195"/>
      <c r="H219" s="217"/>
      <c r="I219" s="195"/>
      <c r="J219" s="195"/>
      <c r="K219" s="195"/>
      <c r="L219" s="232"/>
      <c r="M219" s="195"/>
      <c r="N219" s="195"/>
      <c r="O219" s="195"/>
      <c r="P219" s="195"/>
      <c r="Q219" s="195"/>
      <c r="R219" s="220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</row>
    <row r="220" ht="15.75" customHeight="1">
      <c r="F220" s="195"/>
      <c r="G220" s="195"/>
      <c r="H220" s="217"/>
      <c r="I220" s="195"/>
      <c r="J220" s="195"/>
      <c r="K220" s="195"/>
      <c r="L220" s="232"/>
      <c r="M220" s="195"/>
      <c r="N220" s="195"/>
      <c r="O220" s="195"/>
      <c r="P220" s="195"/>
      <c r="Q220" s="195"/>
      <c r="R220" s="220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</row>
    <row r="221" ht="15.75" customHeight="1">
      <c r="F221" s="195"/>
      <c r="G221" s="195"/>
      <c r="H221" s="217"/>
      <c r="I221" s="195"/>
      <c r="J221" s="195"/>
      <c r="K221" s="195"/>
      <c r="L221" s="232"/>
      <c r="M221" s="195"/>
      <c r="N221" s="195"/>
      <c r="O221" s="195"/>
      <c r="P221" s="195"/>
      <c r="Q221" s="195"/>
      <c r="R221" s="220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</row>
    <row r="222" ht="15.75" customHeight="1">
      <c r="F222" s="195"/>
      <c r="G222" s="195"/>
      <c r="H222" s="217"/>
      <c r="I222" s="195"/>
      <c r="J222" s="195"/>
      <c r="K222" s="195"/>
      <c r="L222" s="232"/>
      <c r="M222" s="195"/>
      <c r="N222" s="195"/>
      <c r="O222" s="195"/>
      <c r="P222" s="195"/>
      <c r="Q222" s="195"/>
      <c r="R222" s="220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</row>
    <row r="223" ht="15.75" customHeight="1">
      <c r="F223" s="195"/>
      <c r="G223" s="195"/>
      <c r="H223" s="217"/>
      <c r="I223" s="195"/>
      <c r="J223" s="195"/>
      <c r="K223" s="195"/>
      <c r="L223" s="232"/>
      <c r="M223" s="195"/>
      <c r="N223" s="195"/>
      <c r="O223" s="195"/>
      <c r="P223" s="195"/>
      <c r="Q223" s="195"/>
      <c r="R223" s="220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</row>
    <row r="224" ht="15.75" customHeight="1">
      <c r="F224" s="195"/>
      <c r="G224" s="195"/>
      <c r="H224" s="217"/>
      <c r="I224" s="195"/>
      <c r="J224" s="195"/>
      <c r="K224" s="195"/>
      <c r="L224" s="232"/>
      <c r="M224" s="195"/>
      <c r="N224" s="195"/>
      <c r="O224" s="195"/>
      <c r="P224" s="195"/>
      <c r="Q224" s="195"/>
      <c r="R224" s="220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</row>
    <row r="225" ht="15.75" customHeight="1">
      <c r="F225" s="195"/>
      <c r="G225" s="195"/>
      <c r="H225" s="217"/>
      <c r="I225" s="195"/>
      <c r="J225" s="195"/>
      <c r="K225" s="195"/>
      <c r="L225" s="232"/>
      <c r="M225" s="195"/>
      <c r="N225" s="195"/>
      <c r="O225" s="195"/>
      <c r="P225" s="195"/>
      <c r="Q225" s="195"/>
      <c r="R225" s="220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</row>
    <row r="226" ht="15.75" customHeight="1">
      <c r="F226" s="195"/>
      <c r="G226" s="195"/>
      <c r="H226" s="217"/>
      <c r="I226" s="195"/>
      <c r="J226" s="195"/>
      <c r="K226" s="195"/>
      <c r="L226" s="232"/>
      <c r="M226" s="195"/>
      <c r="N226" s="195"/>
      <c r="O226" s="195"/>
      <c r="P226" s="195"/>
      <c r="Q226" s="195"/>
      <c r="R226" s="220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</row>
    <row r="227" ht="15.75" customHeight="1">
      <c r="F227" s="195"/>
      <c r="G227" s="195"/>
      <c r="H227" s="217"/>
      <c r="I227" s="195"/>
      <c r="J227" s="195"/>
      <c r="K227" s="195"/>
      <c r="L227" s="232"/>
      <c r="M227" s="195"/>
      <c r="N227" s="195"/>
      <c r="O227" s="195"/>
      <c r="P227" s="195"/>
      <c r="Q227" s="195"/>
      <c r="R227" s="220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</row>
    <row r="228" ht="15.75" customHeight="1">
      <c r="F228" s="195"/>
      <c r="G228" s="195"/>
      <c r="H228" s="217"/>
      <c r="I228" s="195"/>
      <c r="J228" s="195"/>
      <c r="K228" s="195"/>
      <c r="L228" s="232"/>
      <c r="M228" s="195"/>
      <c r="N228" s="195"/>
      <c r="O228" s="195"/>
      <c r="P228" s="195"/>
      <c r="Q228" s="195"/>
      <c r="R228" s="220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</row>
    <row r="229" ht="15.75" customHeight="1">
      <c r="F229" s="195"/>
      <c r="G229" s="195"/>
      <c r="H229" s="217"/>
      <c r="I229" s="195"/>
      <c r="J229" s="195"/>
      <c r="K229" s="195"/>
      <c r="L229" s="232"/>
      <c r="M229" s="195"/>
      <c r="N229" s="195"/>
      <c r="O229" s="195"/>
      <c r="P229" s="195"/>
      <c r="Q229" s="195"/>
      <c r="R229" s="220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</row>
    <row r="230" ht="15.75" customHeight="1">
      <c r="F230" s="195"/>
      <c r="G230" s="195"/>
      <c r="H230" s="217"/>
      <c r="I230" s="195"/>
      <c r="J230" s="195"/>
      <c r="K230" s="195"/>
      <c r="L230" s="232"/>
      <c r="M230" s="195"/>
      <c r="N230" s="195"/>
      <c r="O230" s="195"/>
      <c r="P230" s="195"/>
      <c r="Q230" s="195"/>
      <c r="R230" s="220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</row>
    <row r="231" ht="15.75" customHeight="1">
      <c r="F231" s="195"/>
      <c r="G231" s="195"/>
      <c r="H231" s="217"/>
      <c r="I231" s="195"/>
      <c r="J231" s="195"/>
      <c r="K231" s="195"/>
      <c r="L231" s="232"/>
      <c r="M231" s="195"/>
      <c r="N231" s="195"/>
      <c r="O231" s="195"/>
      <c r="P231" s="195"/>
      <c r="Q231" s="195"/>
      <c r="R231" s="220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</row>
    <row r="232" ht="15.75" customHeight="1">
      <c r="F232" s="195"/>
      <c r="G232" s="195"/>
      <c r="H232" s="217"/>
      <c r="I232" s="195"/>
      <c r="J232" s="195"/>
      <c r="K232" s="195"/>
      <c r="L232" s="232"/>
      <c r="M232" s="195"/>
      <c r="N232" s="195"/>
      <c r="O232" s="195"/>
      <c r="P232" s="195"/>
      <c r="Q232" s="195"/>
      <c r="R232" s="220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</row>
    <row r="233" ht="15.75" customHeight="1">
      <c r="F233" s="195"/>
      <c r="G233" s="195"/>
      <c r="H233" s="217"/>
      <c r="I233" s="195"/>
      <c r="J233" s="195"/>
      <c r="K233" s="195"/>
      <c r="L233" s="232"/>
      <c r="M233" s="195"/>
      <c r="N233" s="195"/>
      <c r="O233" s="195"/>
      <c r="P233" s="195"/>
      <c r="Q233" s="195"/>
      <c r="R233" s="220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</row>
    <row r="234" ht="15.75" customHeight="1">
      <c r="F234" s="195"/>
      <c r="G234" s="195"/>
      <c r="H234" s="217"/>
      <c r="I234" s="195"/>
      <c r="J234" s="195"/>
      <c r="K234" s="195"/>
      <c r="L234" s="232"/>
      <c r="M234" s="195"/>
      <c r="N234" s="195"/>
      <c r="O234" s="195"/>
      <c r="P234" s="195"/>
      <c r="Q234" s="195"/>
      <c r="R234" s="220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</row>
    <row r="235" ht="15.75" customHeight="1">
      <c r="F235" s="195"/>
      <c r="G235" s="195"/>
      <c r="H235" s="217"/>
      <c r="I235" s="195"/>
      <c r="J235" s="195"/>
      <c r="K235" s="195"/>
      <c r="L235" s="232"/>
      <c r="M235" s="195"/>
      <c r="N235" s="195"/>
      <c r="O235" s="195"/>
      <c r="P235" s="195"/>
      <c r="Q235" s="195"/>
      <c r="R235" s="220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</row>
    <row r="236" ht="15.75" customHeight="1">
      <c r="F236" s="195"/>
      <c r="G236" s="195"/>
      <c r="H236" s="217"/>
      <c r="I236" s="195"/>
      <c r="J236" s="195"/>
      <c r="K236" s="195"/>
      <c r="L236" s="232"/>
      <c r="M236" s="195"/>
      <c r="N236" s="195"/>
      <c r="O236" s="195"/>
      <c r="P236" s="195"/>
      <c r="Q236" s="195"/>
      <c r="R236" s="220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</row>
    <row r="237" ht="15.75" customHeight="1">
      <c r="F237" s="195"/>
      <c r="G237" s="195"/>
      <c r="H237" s="217"/>
      <c r="I237" s="195"/>
      <c r="J237" s="195"/>
      <c r="K237" s="195"/>
      <c r="L237" s="232"/>
      <c r="M237" s="195"/>
      <c r="N237" s="195"/>
      <c r="O237" s="195"/>
      <c r="P237" s="195"/>
      <c r="Q237" s="195"/>
      <c r="R237" s="220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</row>
    <row r="238" ht="15.75" customHeight="1">
      <c r="F238" s="195"/>
      <c r="G238" s="195"/>
      <c r="H238" s="217"/>
      <c r="I238" s="195"/>
      <c r="J238" s="195"/>
      <c r="K238" s="195"/>
      <c r="L238" s="232"/>
      <c r="M238" s="195"/>
      <c r="N238" s="195"/>
      <c r="O238" s="195"/>
      <c r="P238" s="195"/>
      <c r="Q238" s="195"/>
      <c r="R238" s="220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</row>
    <row r="239" ht="15.75" customHeight="1">
      <c r="F239" s="195"/>
      <c r="G239" s="195"/>
      <c r="H239" s="217"/>
      <c r="I239" s="195"/>
      <c r="J239" s="195"/>
      <c r="K239" s="195"/>
      <c r="L239" s="232"/>
      <c r="M239" s="195"/>
      <c r="N239" s="195"/>
      <c r="O239" s="195"/>
      <c r="P239" s="195"/>
      <c r="Q239" s="195"/>
      <c r="R239" s="220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</row>
    <row r="240" ht="15.75" customHeight="1">
      <c r="F240" s="195"/>
      <c r="G240" s="195"/>
      <c r="H240" s="217"/>
      <c r="I240" s="195"/>
      <c r="J240" s="195"/>
      <c r="K240" s="195"/>
      <c r="L240" s="232"/>
      <c r="M240" s="195"/>
      <c r="N240" s="195"/>
      <c r="O240" s="195"/>
      <c r="P240" s="195"/>
      <c r="Q240" s="195"/>
      <c r="R240" s="220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</row>
    <row r="241" ht="15.75" customHeight="1">
      <c r="F241" s="195"/>
      <c r="G241" s="195"/>
      <c r="H241" s="217"/>
      <c r="I241" s="195"/>
      <c r="J241" s="195"/>
      <c r="K241" s="195"/>
      <c r="L241" s="232"/>
      <c r="M241" s="195"/>
      <c r="N241" s="195"/>
      <c r="O241" s="195"/>
      <c r="P241" s="195"/>
      <c r="Q241" s="195"/>
      <c r="R241" s="220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</row>
    <row r="242" ht="15.75" customHeight="1">
      <c r="F242" s="195"/>
      <c r="G242" s="195"/>
      <c r="H242" s="217"/>
      <c r="I242" s="195"/>
      <c r="J242" s="195"/>
      <c r="K242" s="195"/>
      <c r="L242" s="232"/>
      <c r="M242" s="195"/>
      <c r="N242" s="195"/>
      <c r="O242" s="195"/>
      <c r="P242" s="195"/>
      <c r="Q242" s="195"/>
      <c r="R242" s="220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</row>
    <row r="243" ht="15.75" customHeight="1">
      <c r="F243" s="195"/>
      <c r="G243" s="195"/>
      <c r="H243" s="217"/>
      <c r="I243" s="195"/>
      <c r="J243" s="195"/>
      <c r="K243" s="195"/>
      <c r="L243" s="232"/>
      <c r="M243" s="195"/>
      <c r="N243" s="195"/>
      <c r="O243" s="195"/>
      <c r="P243" s="195"/>
      <c r="Q243" s="195"/>
      <c r="R243" s="220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</row>
    <row r="244" ht="15.75" customHeight="1">
      <c r="F244" s="195"/>
      <c r="G244" s="195"/>
      <c r="H244" s="217"/>
      <c r="I244" s="195"/>
      <c r="J244" s="195"/>
      <c r="K244" s="195"/>
      <c r="L244" s="232"/>
      <c r="M244" s="195"/>
      <c r="N244" s="195"/>
      <c r="O244" s="195"/>
      <c r="P244" s="195"/>
      <c r="Q244" s="195"/>
      <c r="R244" s="220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</row>
    <row r="245" ht="15.75" customHeight="1">
      <c r="F245" s="195"/>
      <c r="G245" s="195"/>
      <c r="H245" s="217"/>
      <c r="I245" s="195"/>
      <c r="J245" s="195"/>
      <c r="K245" s="195"/>
      <c r="L245" s="232"/>
      <c r="M245" s="195"/>
      <c r="N245" s="195"/>
      <c r="O245" s="195"/>
      <c r="P245" s="195"/>
      <c r="Q245" s="195"/>
      <c r="R245" s="220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</row>
    <row r="246" ht="15.75" customHeight="1">
      <c r="F246" s="195"/>
      <c r="G246" s="195"/>
      <c r="H246" s="217"/>
      <c r="I246" s="195"/>
      <c r="J246" s="195"/>
      <c r="K246" s="195"/>
      <c r="L246" s="232"/>
      <c r="M246" s="195"/>
      <c r="N246" s="195"/>
      <c r="O246" s="195"/>
      <c r="P246" s="195"/>
      <c r="Q246" s="195"/>
      <c r="R246" s="220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</row>
    <row r="247" ht="15.75" customHeight="1">
      <c r="F247" s="195"/>
      <c r="G247" s="195"/>
      <c r="H247" s="217"/>
      <c r="I247" s="195"/>
      <c r="J247" s="195"/>
      <c r="K247" s="195"/>
      <c r="L247" s="232"/>
      <c r="M247" s="195"/>
      <c r="N247" s="195"/>
      <c r="O247" s="195"/>
      <c r="P247" s="195"/>
      <c r="Q247" s="195"/>
      <c r="R247" s="220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</row>
    <row r="248" ht="15.75" customHeight="1">
      <c r="F248" s="195"/>
      <c r="G248" s="195"/>
      <c r="H248" s="217"/>
      <c r="I248" s="195"/>
      <c r="J248" s="195"/>
      <c r="K248" s="195"/>
      <c r="L248" s="232"/>
      <c r="M248" s="195"/>
      <c r="N248" s="195"/>
      <c r="O248" s="195"/>
      <c r="P248" s="195"/>
      <c r="Q248" s="195"/>
      <c r="R248" s="220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</row>
    <row r="249" ht="15.75" customHeight="1">
      <c r="F249" s="195"/>
      <c r="G249" s="195"/>
      <c r="H249" s="217"/>
      <c r="I249" s="195"/>
      <c r="J249" s="195"/>
      <c r="K249" s="195"/>
      <c r="L249" s="232"/>
      <c r="M249" s="195"/>
      <c r="N249" s="195"/>
      <c r="O249" s="195"/>
      <c r="P249" s="195"/>
      <c r="Q249" s="195"/>
      <c r="R249" s="220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</row>
    <row r="250" ht="15.75" customHeight="1">
      <c r="F250" s="195"/>
      <c r="G250" s="195"/>
      <c r="H250" s="217"/>
      <c r="I250" s="195"/>
      <c r="J250" s="195"/>
      <c r="K250" s="195"/>
      <c r="L250" s="232"/>
      <c r="M250" s="195"/>
      <c r="N250" s="195"/>
      <c r="O250" s="195"/>
      <c r="P250" s="195"/>
      <c r="Q250" s="195"/>
      <c r="R250" s="220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</row>
    <row r="251" ht="15.75" customHeight="1">
      <c r="F251" s="195"/>
      <c r="G251" s="195"/>
      <c r="H251" s="217"/>
      <c r="I251" s="195"/>
      <c r="J251" s="195"/>
      <c r="K251" s="195"/>
      <c r="L251" s="232"/>
      <c r="M251" s="195"/>
      <c r="N251" s="195"/>
      <c r="O251" s="195"/>
      <c r="P251" s="195"/>
      <c r="Q251" s="195"/>
      <c r="R251" s="220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</row>
    <row r="252" ht="15.75" customHeight="1">
      <c r="F252" s="195"/>
      <c r="G252" s="195"/>
      <c r="H252" s="217"/>
      <c r="I252" s="195"/>
      <c r="J252" s="195"/>
      <c r="K252" s="195"/>
      <c r="L252" s="232"/>
      <c r="M252" s="195"/>
      <c r="N252" s="195"/>
      <c r="O252" s="195"/>
      <c r="P252" s="195"/>
      <c r="Q252" s="195"/>
      <c r="R252" s="220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</row>
    <row r="253" ht="15.75" customHeight="1">
      <c r="F253" s="195"/>
      <c r="G253" s="195"/>
      <c r="H253" s="217"/>
      <c r="I253" s="195"/>
      <c r="J253" s="195"/>
      <c r="K253" s="195"/>
      <c r="L253" s="232"/>
      <c r="M253" s="195"/>
      <c r="N253" s="195"/>
      <c r="O253" s="195"/>
      <c r="P253" s="195"/>
      <c r="Q253" s="195"/>
      <c r="R253" s="220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</row>
    <row r="254" ht="15.75" customHeight="1">
      <c r="F254" s="195"/>
      <c r="G254" s="195"/>
      <c r="H254" s="217"/>
      <c r="I254" s="195"/>
      <c r="J254" s="195"/>
      <c r="K254" s="195"/>
      <c r="L254" s="232"/>
      <c r="M254" s="195"/>
      <c r="N254" s="195"/>
      <c r="O254" s="195"/>
      <c r="P254" s="195"/>
      <c r="Q254" s="195"/>
      <c r="R254" s="220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</row>
    <row r="255" ht="15.75" customHeight="1">
      <c r="F255" s="195"/>
      <c r="G255" s="195"/>
      <c r="H255" s="217"/>
      <c r="I255" s="195"/>
      <c r="J255" s="195"/>
      <c r="K255" s="195"/>
      <c r="L255" s="232"/>
      <c r="M255" s="195"/>
      <c r="N255" s="195"/>
      <c r="O255" s="195"/>
      <c r="P255" s="195"/>
      <c r="Q255" s="195"/>
      <c r="R255" s="220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</row>
    <row r="256" ht="15.75" customHeight="1">
      <c r="F256" s="195"/>
      <c r="G256" s="195"/>
      <c r="H256" s="217"/>
      <c r="I256" s="195"/>
      <c r="J256" s="195"/>
      <c r="K256" s="195"/>
      <c r="L256" s="232"/>
      <c r="M256" s="195"/>
      <c r="N256" s="195"/>
      <c r="O256" s="195"/>
      <c r="P256" s="195"/>
      <c r="Q256" s="195"/>
      <c r="R256" s="220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</row>
    <row r="257" ht="15.75" customHeight="1">
      <c r="F257" s="195"/>
      <c r="G257" s="195"/>
      <c r="H257" s="217"/>
      <c r="I257" s="195"/>
      <c r="J257" s="195"/>
      <c r="K257" s="195"/>
      <c r="L257" s="232"/>
      <c r="M257" s="195"/>
      <c r="N257" s="195"/>
      <c r="O257" s="195"/>
      <c r="P257" s="195"/>
      <c r="Q257" s="195"/>
      <c r="R257" s="220"/>
      <c r="S257" s="195"/>
      <c r="T257" s="195"/>
      <c r="U257" s="195"/>
      <c r="V257" s="195"/>
      <c r="W257" s="195"/>
      <c r="X257" s="195"/>
      <c r="Y257" s="195"/>
      <c r="Z257" s="195"/>
      <c r="AA257" s="195"/>
      <c r="AB257" s="195"/>
      <c r="AC257" s="195"/>
      <c r="AD257" s="195"/>
      <c r="AE257" s="195"/>
    </row>
    <row r="258" ht="15.75" customHeight="1">
      <c r="F258" s="195"/>
      <c r="G258" s="195"/>
      <c r="H258" s="217"/>
      <c r="I258" s="195"/>
      <c r="J258" s="195"/>
      <c r="K258" s="195"/>
      <c r="L258" s="232"/>
      <c r="M258" s="195"/>
      <c r="N258" s="195"/>
      <c r="O258" s="195"/>
      <c r="P258" s="195"/>
      <c r="Q258" s="195"/>
      <c r="R258" s="220"/>
      <c r="S258" s="195"/>
      <c r="T258" s="195"/>
      <c r="U258" s="195"/>
      <c r="V258" s="195"/>
      <c r="W258" s="195"/>
      <c r="X258" s="195"/>
      <c r="Y258" s="195"/>
      <c r="Z258" s="195"/>
      <c r="AA258" s="195"/>
      <c r="AB258" s="195"/>
      <c r="AC258" s="195"/>
      <c r="AD258" s="195"/>
      <c r="AE258" s="195"/>
    </row>
    <row r="259" ht="15.75" customHeight="1">
      <c r="F259" s="195"/>
      <c r="G259" s="195"/>
      <c r="H259" s="217"/>
      <c r="I259" s="195"/>
      <c r="J259" s="195"/>
      <c r="K259" s="195"/>
      <c r="L259" s="232"/>
      <c r="M259" s="195"/>
      <c r="N259" s="195"/>
      <c r="O259" s="195"/>
      <c r="P259" s="195"/>
      <c r="Q259" s="195"/>
      <c r="R259" s="220"/>
      <c r="S259" s="195"/>
      <c r="T259" s="195"/>
      <c r="U259" s="195"/>
      <c r="V259" s="195"/>
      <c r="W259" s="195"/>
      <c r="X259" s="195"/>
      <c r="Y259" s="195"/>
      <c r="Z259" s="195"/>
      <c r="AA259" s="195"/>
      <c r="AB259" s="195"/>
      <c r="AC259" s="195"/>
      <c r="AD259" s="195"/>
      <c r="AE259" s="195"/>
    </row>
    <row r="260" ht="15.75" customHeight="1">
      <c r="F260" s="195"/>
      <c r="G260" s="195"/>
      <c r="H260" s="217"/>
      <c r="I260" s="195"/>
      <c r="J260" s="195"/>
      <c r="K260" s="195"/>
      <c r="L260" s="232"/>
      <c r="M260" s="195"/>
      <c r="N260" s="195"/>
      <c r="O260" s="195"/>
      <c r="P260" s="195"/>
      <c r="Q260" s="195"/>
      <c r="R260" s="220"/>
      <c r="S260" s="195"/>
      <c r="T260" s="195"/>
      <c r="U260" s="195"/>
      <c r="V260" s="195"/>
      <c r="W260" s="195"/>
      <c r="X260" s="195"/>
      <c r="Y260" s="195"/>
      <c r="Z260" s="195"/>
      <c r="AA260" s="195"/>
      <c r="AB260" s="195"/>
      <c r="AC260" s="195"/>
      <c r="AD260" s="195"/>
      <c r="AE260" s="195"/>
    </row>
    <row r="261" ht="15.75" customHeight="1">
      <c r="F261" s="195"/>
      <c r="G261" s="195"/>
      <c r="H261" s="217"/>
      <c r="I261" s="195"/>
      <c r="J261" s="195"/>
      <c r="K261" s="195"/>
      <c r="L261" s="232"/>
      <c r="M261" s="195"/>
      <c r="N261" s="195"/>
      <c r="O261" s="195"/>
      <c r="P261" s="195"/>
      <c r="Q261" s="195"/>
      <c r="R261" s="220"/>
      <c r="S261" s="195"/>
      <c r="T261" s="195"/>
      <c r="U261" s="195"/>
      <c r="V261" s="195"/>
      <c r="W261" s="195"/>
      <c r="X261" s="195"/>
      <c r="Y261" s="195"/>
      <c r="Z261" s="195"/>
      <c r="AA261" s="195"/>
      <c r="AB261" s="195"/>
      <c r="AC261" s="195"/>
      <c r="AD261" s="195"/>
      <c r="AE261" s="195"/>
    </row>
    <row r="262" ht="15.75" customHeight="1">
      <c r="F262" s="195"/>
      <c r="G262" s="195"/>
      <c r="H262" s="217"/>
      <c r="I262" s="195"/>
      <c r="J262" s="195"/>
      <c r="K262" s="195"/>
      <c r="L262" s="232"/>
      <c r="M262" s="195"/>
      <c r="N262" s="195"/>
      <c r="O262" s="195"/>
      <c r="P262" s="195"/>
      <c r="Q262" s="195"/>
      <c r="R262" s="220"/>
      <c r="S262" s="195"/>
      <c r="T262" s="195"/>
      <c r="U262" s="195"/>
      <c r="V262" s="195"/>
      <c r="W262" s="195"/>
      <c r="X262" s="195"/>
      <c r="Y262" s="195"/>
      <c r="Z262" s="195"/>
      <c r="AA262" s="195"/>
      <c r="AB262" s="195"/>
      <c r="AC262" s="195"/>
      <c r="AD262" s="195"/>
      <c r="AE262" s="195"/>
    </row>
    <row r="263" ht="15.75" customHeight="1">
      <c r="F263" s="195"/>
      <c r="G263" s="195"/>
      <c r="H263" s="217"/>
      <c r="I263" s="195"/>
      <c r="J263" s="195"/>
      <c r="K263" s="195"/>
      <c r="L263" s="232"/>
      <c r="M263" s="195"/>
      <c r="N263" s="195"/>
      <c r="O263" s="195"/>
      <c r="P263" s="195"/>
      <c r="Q263" s="195"/>
      <c r="R263" s="220"/>
      <c r="S263" s="195"/>
      <c r="T263" s="195"/>
      <c r="U263" s="195"/>
      <c r="V263" s="195"/>
      <c r="W263" s="195"/>
      <c r="X263" s="195"/>
      <c r="Y263" s="195"/>
      <c r="Z263" s="195"/>
      <c r="AA263" s="195"/>
      <c r="AB263" s="195"/>
      <c r="AC263" s="195"/>
      <c r="AD263" s="195"/>
      <c r="AE263" s="195"/>
    </row>
    <row r="264" ht="15.75" customHeight="1">
      <c r="F264" s="195"/>
      <c r="G264" s="195"/>
      <c r="H264" s="217"/>
      <c r="I264" s="195"/>
      <c r="J264" s="195"/>
      <c r="K264" s="195"/>
      <c r="L264" s="232"/>
      <c r="M264" s="195"/>
      <c r="N264" s="195"/>
      <c r="O264" s="195"/>
      <c r="P264" s="195"/>
      <c r="Q264" s="195"/>
      <c r="R264" s="220"/>
      <c r="S264" s="195"/>
      <c r="T264" s="195"/>
      <c r="U264" s="195"/>
      <c r="V264" s="195"/>
      <c r="W264" s="195"/>
      <c r="X264" s="195"/>
      <c r="Y264" s="195"/>
      <c r="Z264" s="195"/>
      <c r="AA264" s="195"/>
      <c r="AB264" s="195"/>
      <c r="AC264" s="195"/>
      <c r="AD264" s="195"/>
      <c r="AE264" s="195"/>
    </row>
    <row r="265" ht="15.75" customHeight="1">
      <c r="F265" s="195"/>
      <c r="G265" s="195"/>
      <c r="H265" s="217"/>
      <c r="I265" s="195"/>
      <c r="J265" s="195"/>
      <c r="K265" s="195"/>
      <c r="L265" s="232"/>
      <c r="M265" s="195"/>
      <c r="N265" s="195"/>
      <c r="O265" s="195"/>
      <c r="P265" s="195"/>
      <c r="Q265" s="195"/>
      <c r="R265" s="220"/>
      <c r="S265" s="195"/>
      <c r="T265" s="195"/>
      <c r="U265" s="195"/>
      <c r="V265" s="195"/>
      <c r="W265" s="195"/>
      <c r="X265" s="195"/>
      <c r="Y265" s="195"/>
      <c r="Z265" s="195"/>
      <c r="AA265" s="195"/>
      <c r="AB265" s="195"/>
      <c r="AC265" s="195"/>
      <c r="AD265" s="195"/>
      <c r="AE265" s="195"/>
    </row>
    <row r="266" ht="15.75" customHeight="1">
      <c r="F266" s="195"/>
      <c r="G266" s="195"/>
      <c r="H266" s="217"/>
      <c r="I266" s="195"/>
      <c r="J266" s="195"/>
      <c r="K266" s="195"/>
      <c r="L266" s="232"/>
      <c r="M266" s="195"/>
      <c r="N266" s="195"/>
      <c r="O266" s="195"/>
      <c r="P266" s="195"/>
      <c r="Q266" s="195"/>
      <c r="R266" s="220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</row>
    <row r="267" ht="15.75" customHeight="1">
      <c r="F267" s="195"/>
      <c r="G267" s="195"/>
      <c r="H267" s="217"/>
      <c r="I267" s="195"/>
      <c r="J267" s="195"/>
      <c r="K267" s="195"/>
      <c r="L267" s="232"/>
      <c r="M267" s="195"/>
      <c r="N267" s="195"/>
      <c r="O267" s="195"/>
      <c r="P267" s="195"/>
      <c r="Q267" s="195"/>
      <c r="R267" s="220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</row>
    <row r="268" ht="15.75" customHeight="1">
      <c r="F268" s="195"/>
      <c r="G268" s="195"/>
      <c r="H268" s="217"/>
      <c r="I268" s="195"/>
      <c r="J268" s="195"/>
      <c r="K268" s="195"/>
      <c r="L268" s="232"/>
      <c r="M268" s="195"/>
      <c r="N268" s="195"/>
      <c r="O268" s="195"/>
      <c r="P268" s="195"/>
      <c r="Q268" s="195"/>
      <c r="R268" s="220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</row>
    <row r="269" ht="15.75" customHeight="1">
      <c r="F269" s="195"/>
      <c r="G269" s="195"/>
      <c r="H269" s="217"/>
      <c r="I269" s="195"/>
      <c r="J269" s="195"/>
      <c r="K269" s="195"/>
      <c r="L269" s="232"/>
      <c r="M269" s="195"/>
      <c r="N269" s="195"/>
      <c r="O269" s="195"/>
      <c r="P269" s="195"/>
      <c r="Q269" s="195"/>
      <c r="R269" s="220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</row>
    <row r="270" ht="15.75" customHeight="1">
      <c r="F270" s="195"/>
      <c r="G270" s="195"/>
      <c r="H270" s="217"/>
      <c r="I270" s="195"/>
      <c r="J270" s="195"/>
      <c r="K270" s="195"/>
      <c r="L270" s="232"/>
      <c r="M270" s="195"/>
      <c r="N270" s="195"/>
      <c r="O270" s="195"/>
      <c r="P270" s="195"/>
      <c r="Q270" s="195"/>
      <c r="R270" s="220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</row>
    <row r="271" ht="15.75" customHeight="1">
      <c r="F271" s="195"/>
      <c r="G271" s="195"/>
      <c r="H271" s="217"/>
      <c r="I271" s="195"/>
      <c r="J271" s="195"/>
      <c r="K271" s="195"/>
      <c r="L271" s="232"/>
      <c r="M271" s="195"/>
      <c r="N271" s="195"/>
      <c r="O271" s="195"/>
      <c r="P271" s="195"/>
      <c r="Q271" s="195"/>
      <c r="R271" s="220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</row>
    <row r="272" ht="15.75" customHeight="1">
      <c r="F272" s="195"/>
      <c r="G272" s="195"/>
      <c r="H272" s="217"/>
      <c r="I272" s="195"/>
      <c r="J272" s="195"/>
      <c r="K272" s="195"/>
      <c r="L272" s="232"/>
      <c r="M272" s="195"/>
      <c r="N272" s="195"/>
      <c r="O272" s="195"/>
      <c r="P272" s="195"/>
      <c r="Q272" s="195"/>
      <c r="R272" s="220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</row>
    <row r="273" ht="15.75" customHeight="1">
      <c r="F273" s="195"/>
      <c r="G273" s="195"/>
      <c r="H273" s="217"/>
      <c r="I273" s="195"/>
      <c r="J273" s="195"/>
      <c r="K273" s="195"/>
      <c r="L273" s="232"/>
      <c r="M273" s="195"/>
      <c r="N273" s="195"/>
      <c r="O273" s="195"/>
      <c r="P273" s="195"/>
      <c r="Q273" s="195"/>
      <c r="R273" s="220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</row>
    <row r="274" ht="15.75" customHeight="1">
      <c r="F274" s="195"/>
      <c r="G274" s="195"/>
      <c r="H274" s="217"/>
      <c r="I274" s="195"/>
      <c r="J274" s="195"/>
      <c r="K274" s="195"/>
      <c r="L274" s="232"/>
      <c r="M274" s="195"/>
      <c r="N274" s="195"/>
      <c r="O274" s="195"/>
      <c r="P274" s="195"/>
      <c r="Q274" s="195"/>
      <c r="R274" s="220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</row>
    <row r="275" ht="15.75" customHeight="1">
      <c r="F275" s="195"/>
      <c r="G275" s="195"/>
      <c r="H275" s="217"/>
      <c r="I275" s="195"/>
      <c r="J275" s="195"/>
      <c r="K275" s="195"/>
      <c r="L275" s="232"/>
      <c r="M275" s="195"/>
      <c r="N275" s="195"/>
      <c r="O275" s="195"/>
      <c r="P275" s="195"/>
      <c r="Q275" s="195"/>
      <c r="R275" s="220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</row>
    <row r="276" ht="15.75" customHeight="1">
      <c r="F276" s="195"/>
      <c r="G276" s="195"/>
      <c r="H276" s="217"/>
      <c r="I276" s="195"/>
      <c r="J276" s="195"/>
      <c r="K276" s="195"/>
      <c r="L276" s="232"/>
      <c r="M276" s="195"/>
      <c r="N276" s="195"/>
      <c r="O276" s="195"/>
      <c r="P276" s="195"/>
      <c r="Q276" s="195"/>
      <c r="R276" s="220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</row>
    <row r="277" ht="15.75" customHeight="1">
      <c r="F277" s="195"/>
      <c r="G277" s="195"/>
      <c r="H277" s="217"/>
      <c r="I277" s="195"/>
      <c r="J277" s="195"/>
      <c r="K277" s="195"/>
      <c r="L277" s="232"/>
      <c r="M277" s="195"/>
      <c r="N277" s="195"/>
      <c r="O277" s="195"/>
      <c r="P277" s="195"/>
      <c r="Q277" s="195"/>
      <c r="R277" s="220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</row>
    <row r="278" ht="15.75" customHeight="1">
      <c r="F278" s="195"/>
      <c r="G278" s="195"/>
      <c r="H278" s="217"/>
      <c r="I278" s="195"/>
      <c r="J278" s="195"/>
      <c r="K278" s="195"/>
      <c r="L278" s="232"/>
      <c r="M278" s="195"/>
      <c r="N278" s="195"/>
      <c r="O278" s="195"/>
      <c r="P278" s="195"/>
      <c r="Q278" s="195"/>
      <c r="R278" s="220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</row>
    <row r="279" ht="15.75" customHeight="1">
      <c r="F279" s="195"/>
      <c r="G279" s="195"/>
      <c r="H279" s="217"/>
      <c r="I279" s="195"/>
      <c r="J279" s="195"/>
      <c r="K279" s="195"/>
      <c r="L279" s="232"/>
      <c r="M279" s="195"/>
      <c r="N279" s="195"/>
      <c r="O279" s="195"/>
      <c r="P279" s="195"/>
      <c r="Q279" s="195"/>
      <c r="R279" s="220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27 I29:I31">
    <cfRule type="notContainsBlanks" dxfId="0" priority="1">
      <formula>LEN(TRIM(I27))&gt;0</formula>
    </cfRule>
  </conditionalFormatting>
  <conditionalFormatting sqref="L9:L54">
    <cfRule type="expression" dxfId="1" priority="2">
      <formula>$I9&lt;$L9</formula>
    </cfRule>
  </conditionalFormatting>
  <conditionalFormatting sqref="L9:L54">
    <cfRule type="expression" dxfId="2" priority="3">
      <formula>$I9&gt;$L9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77.14"/>
    <col customWidth="1" min="3" max="3" width="16.14"/>
    <col customWidth="1" min="4" max="4" width="22.14"/>
    <col customWidth="1" min="5" max="12" width="8.71"/>
  </cols>
  <sheetData>
    <row r="1" ht="14.25" customHeight="1">
      <c r="A1" s="196" t="s">
        <v>187</v>
      </c>
      <c r="C1" s="195" t="s">
        <v>188</v>
      </c>
    </row>
    <row r="2" ht="14.25" customHeight="1">
      <c r="A2" s="196" t="s">
        <v>189</v>
      </c>
      <c r="C2" s="234"/>
      <c r="H2" s="235"/>
    </row>
    <row r="3" ht="14.25" customHeight="1">
      <c r="A3" s="196" t="s">
        <v>190</v>
      </c>
      <c r="B3" s="196">
        <v>-550.0</v>
      </c>
      <c r="C3" s="234"/>
      <c r="H3" s="235"/>
    </row>
    <row r="4" ht="14.25" customHeight="1">
      <c r="A4" s="196" t="s">
        <v>191</v>
      </c>
      <c r="B4" s="196">
        <f>(-K15)</f>
        <v>0</v>
      </c>
      <c r="C4" s="234"/>
      <c r="H4" s="235"/>
    </row>
    <row r="5" ht="14.25" customHeight="1">
      <c r="A5" s="196" t="s">
        <v>192</v>
      </c>
      <c r="B5" s="196">
        <v>-30.0</v>
      </c>
      <c r="C5" s="234"/>
      <c r="H5" s="235"/>
    </row>
    <row r="6" ht="14.25" customHeight="1">
      <c r="C6" s="195"/>
    </row>
    <row r="7" ht="14.25" customHeight="1">
      <c r="A7" s="196" t="s">
        <v>100</v>
      </c>
      <c r="B7" s="196">
        <v>-120.0</v>
      </c>
      <c r="C7" s="195" t="s">
        <v>193</v>
      </c>
      <c r="D7" s="196" t="s">
        <v>194</v>
      </c>
    </row>
    <row r="8" ht="14.25" customHeight="1">
      <c r="A8" s="236">
        <v>45314.0</v>
      </c>
      <c r="B8" s="196" t="s">
        <v>195</v>
      </c>
      <c r="C8" s="195">
        <v>2280.8</v>
      </c>
      <c r="D8" s="235"/>
      <c r="F8" s="236"/>
      <c r="I8" s="235"/>
    </row>
    <row r="9" ht="14.25" customHeight="1">
      <c r="A9" s="236">
        <v>45302.0</v>
      </c>
      <c r="B9" s="196" t="s">
        <v>195</v>
      </c>
      <c r="C9" s="195">
        <v>2280.8</v>
      </c>
      <c r="D9" s="235"/>
      <c r="F9" s="236"/>
      <c r="I9" s="235"/>
    </row>
    <row r="10" ht="14.25" customHeight="1">
      <c r="A10" s="236">
        <v>45303.0</v>
      </c>
      <c r="B10" s="196" t="s">
        <v>196</v>
      </c>
      <c r="C10" s="195">
        <v>160.0</v>
      </c>
      <c r="D10" s="235"/>
      <c r="F10" s="236"/>
      <c r="I10" s="235"/>
    </row>
    <row r="11" ht="14.25" customHeight="1">
      <c r="A11" s="236">
        <v>45296.0</v>
      </c>
      <c r="B11" s="196" t="s">
        <v>197</v>
      </c>
      <c r="C11" s="195">
        <v>325.0</v>
      </c>
      <c r="D11" s="235"/>
      <c r="F11" s="236"/>
      <c r="I11" s="235"/>
    </row>
    <row r="12" ht="14.25" customHeight="1">
      <c r="A12" s="236">
        <v>45296.0</v>
      </c>
      <c r="B12" s="196" t="s">
        <v>198</v>
      </c>
      <c r="C12" s="234">
        <v>360.01</v>
      </c>
      <c r="D12" s="235"/>
      <c r="F12" s="236"/>
      <c r="H12" s="235"/>
      <c r="I12" s="235"/>
    </row>
    <row r="13" ht="14.25" customHeight="1">
      <c r="A13" s="236"/>
      <c r="B13" s="196"/>
      <c r="C13" s="237">
        <f>SUM(C8:C12)</f>
        <v>5406.61</v>
      </c>
      <c r="D13" s="235"/>
      <c r="F13" s="236"/>
      <c r="I13" s="235"/>
    </row>
    <row r="14" ht="14.25" customHeight="1">
      <c r="A14" s="236"/>
      <c r="B14" s="196"/>
      <c r="C14" s="234"/>
      <c r="D14" s="235"/>
      <c r="F14" s="236"/>
      <c r="H14" s="235"/>
      <c r="I14" s="235"/>
      <c r="K14" s="196">
        <f>SUM(K13+K9+K5)</f>
        <v>0</v>
      </c>
    </row>
    <row r="15" ht="14.25" customHeight="1">
      <c r="A15" s="236"/>
      <c r="B15" s="196"/>
      <c r="C15" s="195"/>
      <c r="D15" s="235"/>
      <c r="F15" s="236"/>
      <c r="I15" s="235"/>
      <c r="K15" s="196">
        <f>(K14/3)</f>
        <v>0</v>
      </c>
    </row>
    <row r="16" ht="14.25" customHeight="1">
      <c r="A16" s="236"/>
      <c r="B16" s="196"/>
      <c r="C16" s="195"/>
      <c r="D16" s="235"/>
      <c r="F16" s="236"/>
      <c r="I16" s="235"/>
      <c r="K16" s="196">
        <f>F20+N13+F21-550-L5</f>
        <v>-550</v>
      </c>
    </row>
    <row r="17" ht="14.25" customHeight="1">
      <c r="A17" s="236"/>
      <c r="B17" s="196"/>
      <c r="C17" s="234"/>
      <c r="D17" s="235"/>
      <c r="F17" s="236"/>
      <c r="H17" s="235"/>
      <c r="I17" s="235"/>
    </row>
    <row r="18" ht="14.25" customHeight="1">
      <c r="A18" s="236"/>
      <c r="B18" s="196"/>
      <c r="C18" s="195"/>
      <c r="D18" s="235"/>
      <c r="F18" s="236"/>
      <c r="I18" s="235"/>
    </row>
    <row r="19" ht="14.25" customHeight="1">
      <c r="A19" s="236"/>
      <c r="B19" s="196"/>
      <c r="C19" s="195"/>
      <c r="D19" s="235"/>
      <c r="F19" s="236"/>
      <c r="I19" s="235"/>
    </row>
    <row r="20" ht="14.25" customHeight="1">
      <c r="A20" s="236"/>
      <c r="B20" s="196"/>
      <c r="C20" s="195"/>
      <c r="D20" s="235"/>
      <c r="F20" s="236"/>
      <c r="I20" s="235"/>
    </row>
    <row r="21" ht="14.25" customHeight="1">
      <c r="A21" s="236"/>
      <c r="B21" s="196"/>
      <c r="C21" s="195"/>
      <c r="D21" s="235"/>
      <c r="F21" s="236"/>
      <c r="G21" s="196" t="s">
        <v>18</v>
      </c>
      <c r="I21" s="235"/>
    </row>
    <row r="22" ht="14.25" customHeight="1">
      <c r="A22" s="236"/>
      <c r="B22" s="196"/>
      <c r="C22" s="195"/>
      <c r="D22" s="235"/>
      <c r="F22" s="236"/>
      <c r="I22" s="235"/>
    </row>
    <row r="23" ht="14.25" customHeight="1">
      <c r="A23" s="236"/>
      <c r="B23" s="236"/>
      <c r="C23" s="236"/>
      <c r="D23" s="236"/>
      <c r="E23" s="236">
        <v>45047.0</v>
      </c>
      <c r="F23" s="236">
        <v>45078.0</v>
      </c>
      <c r="G23" s="236">
        <v>45108.0</v>
      </c>
      <c r="H23" s="236">
        <v>45139.0</v>
      </c>
      <c r="I23" s="236">
        <v>45170.0</v>
      </c>
      <c r="J23" s="236">
        <v>45200.0</v>
      </c>
      <c r="K23" s="236">
        <v>45231.0</v>
      </c>
      <c r="L23" s="236">
        <v>45261.0</v>
      </c>
    </row>
    <row r="24" ht="14.25" customHeight="1">
      <c r="A24" s="236"/>
      <c r="C24" s="195"/>
      <c r="D24" s="235"/>
      <c r="F24" s="236"/>
      <c r="I24" s="235"/>
    </row>
    <row r="25" ht="14.25" customHeight="1">
      <c r="A25" s="236"/>
      <c r="B25" s="196"/>
      <c r="C25" s="195"/>
      <c r="D25" s="235"/>
      <c r="F25" s="236"/>
      <c r="I25" s="235"/>
    </row>
    <row r="26" ht="14.25" customHeight="1">
      <c r="A26" s="236"/>
      <c r="B26" s="196"/>
      <c r="C26" s="195"/>
      <c r="D26" s="235"/>
      <c r="F26" s="236"/>
      <c r="I26" s="235"/>
    </row>
    <row r="27" ht="14.25" customHeight="1">
      <c r="A27" s="236"/>
      <c r="B27" s="196"/>
      <c r="C27" s="234"/>
      <c r="D27" s="235"/>
      <c r="F27" s="236"/>
      <c r="H27" s="235"/>
      <c r="I27" s="235"/>
    </row>
    <row r="28" ht="14.25" customHeight="1">
      <c r="A28" s="236"/>
      <c r="B28" s="196"/>
      <c r="C28" s="195"/>
      <c r="D28" s="235"/>
      <c r="F28" s="236"/>
      <c r="I28" s="235"/>
    </row>
    <row r="29" ht="14.25" customHeight="1">
      <c r="A29" s="236"/>
      <c r="B29" s="196"/>
      <c r="C29" s="234"/>
      <c r="D29" s="235"/>
      <c r="F29" s="236"/>
      <c r="H29" s="235"/>
      <c r="I29" s="235"/>
    </row>
    <row r="30" ht="14.25" customHeight="1">
      <c r="C30" s="195"/>
    </row>
    <row r="31" ht="14.25" customHeight="1">
      <c r="B31" s="196" t="s">
        <v>199</v>
      </c>
      <c r="C31" s="196">
        <v>228.0</v>
      </c>
    </row>
    <row r="32" ht="14.25" customHeight="1">
      <c r="C32" s="238"/>
    </row>
    <row r="33" ht="14.25" customHeight="1">
      <c r="C33" s="195"/>
    </row>
    <row r="34" ht="14.25" customHeight="1">
      <c r="C34" s="195"/>
    </row>
    <row r="35" ht="14.25" customHeight="1">
      <c r="C35" s="195">
        <v>1457.46</v>
      </c>
    </row>
    <row r="36" ht="14.25" customHeight="1">
      <c r="C36" s="195">
        <v>6.29</v>
      </c>
    </row>
    <row r="37" ht="14.25" customHeight="1">
      <c r="C37" s="195">
        <v>1567.57</v>
      </c>
    </row>
    <row r="38" ht="14.25" customHeight="1">
      <c r="C38" s="195"/>
    </row>
    <row r="39" ht="14.25" customHeight="1">
      <c r="C39" s="195">
        <v>228.0</v>
      </c>
    </row>
    <row r="40" ht="14.25" customHeight="1">
      <c r="C40" s="237">
        <f>SUM(C35:C39)</f>
        <v>3259.32</v>
      </c>
    </row>
    <row r="41" ht="14.25" customHeight="1">
      <c r="C41" s="195"/>
    </row>
    <row r="42" ht="14.25" customHeight="1">
      <c r="C42" s="195"/>
    </row>
    <row r="43" ht="14.25" customHeight="1">
      <c r="C43" s="195"/>
    </row>
    <row r="44" ht="14.25" customHeight="1">
      <c r="C44" s="195"/>
    </row>
    <row r="45" ht="14.25" customHeight="1">
      <c r="C45" s="195"/>
    </row>
    <row r="46" ht="14.25" customHeight="1">
      <c r="C46" s="195"/>
    </row>
    <row r="47" ht="14.25" customHeight="1">
      <c r="C47" s="195"/>
    </row>
    <row r="48" ht="14.25" customHeight="1">
      <c r="C48" s="195"/>
    </row>
    <row r="49" ht="14.25" customHeight="1">
      <c r="C49" s="195"/>
    </row>
    <row r="50" ht="14.25" customHeight="1">
      <c r="C50" s="195"/>
    </row>
    <row r="51" ht="14.25" customHeight="1">
      <c r="C51" s="195"/>
    </row>
    <row r="52" ht="14.25" customHeight="1">
      <c r="C52" s="195"/>
    </row>
    <row r="53" ht="14.25" customHeight="1">
      <c r="C53" s="195"/>
    </row>
    <row r="54" ht="14.25" customHeight="1">
      <c r="C54" s="195"/>
    </row>
    <row r="55" ht="14.25" customHeight="1">
      <c r="C55" s="195"/>
    </row>
    <row r="56" ht="14.25" customHeight="1">
      <c r="C56" s="195"/>
    </row>
    <row r="57" ht="14.25" customHeight="1">
      <c r="C57" s="195"/>
    </row>
    <row r="58" ht="14.25" customHeight="1">
      <c r="C58" s="195"/>
    </row>
    <row r="59" ht="14.25" customHeight="1">
      <c r="C59" s="195"/>
    </row>
    <row r="60" ht="14.25" customHeight="1">
      <c r="C60" s="195"/>
    </row>
    <row r="61" ht="14.25" customHeight="1">
      <c r="C61" s="195"/>
    </row>
    <row r="62" ht="14.25" customHeight="1">
      <c r="C62" s="195"/>
    </row>
    <row r="63" ht="14.25" customHeight="1">
      <c r="C63" s="195"/>
    </row>
    <row r="64" ht="14.25" customHeight="1">
      <c r="C64" s="195"/>
    </row>
    <row r="65" ht="14.25" customHeight="1">
      <c r="C65" s="195"/>
    </row>
    <row r="66" ht="14.25" customHeight="1">
      <c r="C66" s="195"/>
    </row>
    <row r="67" ht="14.25" customHeight="1">
      <c r="C67" s="195"/>
    </row>
    <row r="68" ht="14.25" customHeight="1">
      <c r="C68" s="195"/>
    </row>
    <row r="69" ht="14.25" customHeight="1">
      <c r="C69" s="195"/>
    </row>
    <row r="70" ht="14.25" customHeight="1">
      <c r="C70" s="195"/>
    </row>
    <row r="71" ht="14.25" customHeight="1">
      <c r="C71" s="195"/>
    </row>
    <row r="72" ht="14.25" customHeight="1">
      <c r="C72" s="195"/>
    </row>
    <row r="73" ht="14.25" customHeight="1">
      <c r="C73" s="195"/>
    </row>
    <row r="74" ht="14.25" customHeight="1">
      <c r="C74" s="195"/>
    </row>
    <row r="75" ht="14.25" customHeight="1">
      <c r="C75" s="195"/>
    </row>
    <row r="76" ht="14.25" customHeight="1">
      <c r="C76" s="195"/>
    </row>
    <row r="77" ht="14.25" customHeight="1">
      <c r="C77" s="195"/>
    </row>
    <row r="78" ht="14.25" customHeight="1">
      <c r="C78" s="195"/>
    </row>
    <row r="79" ht="14.25" customHeight="1">
      <c r="C79" s="195"/>
    </row>
    <row r="80" ht="14.25" customHeight="1">
      <c r="C80" s="195"/>
    </row>
    <row r="81" ht="14.25" customHeight="1">
      <c r="C81" s="195"/>
    </row>
    <row r="82" ht="14.25" customHeight="1">
      <c r="C82" s="195"/>
    </row>
    <row r="83" ht="14.25" customHeight="1">
      <c r="C83" s="195"/>
    </row>
    <row r="84" ht="14.25" customHeight="1">
      <c r="C84" s="195"/>
    </row>
    <row r="85" ht="14.25" customHeight="1">
      <c r="C85" s="195"/>
    </row>
    <row r="86" ht="14.25" customHeight="1">
      <c r="C86" s="195"/>
    </row>
    <row r="87" ht="14.25" customHeight="1">
      <c r="C87" s="195"/>
    </row>
    <row r="88" ht="14.25" customHeight="1">
      <c r="C88" s="195"/>
    </row>
    <row r="89" ht="14.25" customHeight="1">
      <c r="C89" s="195"/>
    </row>
    <row r="90" ht="14.25" customHeight="1">
      <c r="C90" s="195"/>
    </row>
    <row r="91" ht="14.25" customHeight="1">
      <c r="C91" s="195"/>
    </row>
    <row r="92" ht="14.25" customHeight="1">
      <c r="C92" s="195"/>
    </row>
    <row r="93" ht="14.25" customHeight="1">
      <c r="C93" s="195"/>
    </row>
    <row r="94" ht="14.25" customHeight="1">
      <c r="C94" s="195"/>
    </row>
    <row r="95" ht="14.25" customHeight="1">
      <c r="C95" s="195"/>
    </row>
    <row r="96" ht="14.25" customHeight="1">
      <c r="C96" s="195"/>
    </row>
    <row r="97" ht="14.25" customHeight="1">
      <c r="C97" s="195"/>
    </row>
    <row r="98" ht="14.25" customHeight="1">
      <c r="C98" s="195"/>
    </row>
    <row r="99" ht="14.25" customHeight="1">
      <c r="C99" s="195"/>
    </row>
    <row r="100" ht="14.25" customHeight="1">
      <c r="C100" s="195"/>
    </row>
    <row r="101" ht="14.25" customHeight="1">
      <c r="C101" s="195"/>
    </row>
    <row r="102" ht="14.25" customHeight="1">
      <c r="C102" s="195"/>
    </row>
    <row r="103" ht="14.25" customHeight="1">
      <c r="C103" s="195"/>
    </row>
    <row r="104" ht="14.25" customHeight="1">
      <c r="C104" s="195"/>
    </row>
    <row r="105" ht="14.25" customHeight="1">
      <c r="C105" s="195"/>
    </row>
    <row r="106" ht="14.25" customHeight="1">
      <c r="C106" s="195"/>
    </row>
    <row r="107" ht="14.25" customHeight="1">
      <c r="C107" s="195"/>
    </row>
    <row r="108" ht="14.25" customHeight="1">
      <c r="C108" s="195"/>
    </row>
    <row r="109" ht="14.25" customHeight="1">
      <c r="C109" s="195"/>
    </row>
    <row r="110" ht="14.25" customHeight="1">
      <c r="C110" s="195"/>
    </row>
    <row r="111" ht="14.25" customHeight="1">
      <c r="C111" s="195"/>
    </row>
    <row r="112" ht="14.25" customHeight="1">
      <c r="C112" s="195"/>
    </row>
    <row r="113" ht="14.25" customHeight="1">
      <c r="C113" s="195"/>
    </row>
    <row r="114" ht="14.25" customHeight="1">
      <c r="C114" s="195"/>
    </row>
    <row r="115" ht="14.25" customHeight="1">
      <c r="C115" s="195"/>
    </row>
    <row r="116" ht="14.25" customHeight="1">
      <c r="C116" s="195"/>
    </row>
    <row r="117" ht="14.25" customHeight="1">
      <c r="C117" s="195"/>
    </row>
    <row r="118" ht="14.25" customHeight="1">
      <c r="C118" s="195"/>
    </row>
    <row r="119" ht="14.25" customHeight="1">
      <c r="C119" s="195"/>
    </row>
    <row r="120" ht="14.25" customHeight="1">
      <c r="C120" s="195"/>
    </row>
    <row r="121" ht="14.25" customHeight="1">
      <c r="C121" s="195"/>
    </row>
    <row r="122" ht="14.25" customHeight="1">
      <c r="C122" s="195"/>
    </row>
    <row r="123" ht="14.25" customHeight="1">
      <c r="C123" s="195"/>
    </row>
    <row r="124" ht="14.25" customHeight="1">
      <c r="C124" s="195"/>
    </row>
    <row r="125" ht="14.25" customHeight="1">
      <c r="C125" s="195"/>
    </row>
    <row r="126" ht="14.25" customHeight="1">
      <c r="C126" s="195"/>
    </row>
    <row r="127" ht="14.25" customHeight="1">
      <c r="C127" s="195"/>
    </row>
    <row r="128" ht="14.25" customHeight="1">
      <c r="C128" s="195"/>
    </row>
    <row r="129" ht="14.25" customHeight="1">
      <c r="C129" s="195"/>
    </row>
    <row r="130" ht="14.25" customHeight="1">
      <c r="C130" s="195"/>
    </row>
    <row r="131" ht="14.25" customHeight="1">
      <c r="C131" s="195"/>
    </row>
    <row r="132" ht="14.25" customHeight="1">
      <c r="C132" s="195"/>
    </row>
    <row r="133" ht="14.25" customHeight="1">
      <c r="C133" s="195"/>
    </row>
    <row r="134" ht="14.25" customHeight="1">
      <c r="C134" s="195"/>
    </row>
    <row r="135" ht="14.25" customHeight="1">
      <c r="C135" s="195"/>
    </row>
    <row r="136" ht="14.25" customHeight="1">
      <c r="C136" s="195"/>
    </row>
    <row r="137" ht="14.25" customHeight="1">
      <c r="C137" s="195"/>
    </row>
    <row r="138" ht="14.25" customHeight="1">
      <c r="C138" s="195"/>
    </row>
    <row r="139" ht="14.25" customHeight="1">
      <c r="C139" s="195"/>
    </row>
    <row r="140" ht="14.25" customHeight="1">
      <c r="C140" s="195"/>
    </row>
    <row r="141" ht="14.25" customHeight="1">
      <c r="C141" s="195"/>
    </row>
    <row r="142" ht="14.25" customHeight="1">
      <c r="C142" s="195"/>
    </row>
    <row r="143" ht="14.25" customHeight="1">
      <c r="C143" s="195"/>
    </row>
    <row r="144" ht="14.25" customHeight="1">
      <c r="C144" s="195"/>
    </row>
    <row r="145" ht="14.25" customHeight="1">
      <c r="C145" s="195"/>
    </row>
    <row r="146" ht="14.25" customHeight="1">
      <c r="C146" s="195"/>
    </row>
    <row r="147" ht="14.25" customHeight="1">
      <c r="C147" s="195"/>
    </row>
    <row r="148" ht="14.25" customHeight="1">
      <c r="C148" s="195"/>
    </row>
    <row r="149" ht="14.25" customHeight="1">
      <c r="C149" s="195"/>
    </row>
    <row r="150" ht="14.25" customHeight="1">
      <c r="C150" s="195"/>
    </row>
    <row r="151" ht="14.25" customHeight="1">
      <c r="C151" s="195"/>
    </row>
    <row r="152" ht="14.25" customHeight="1">
      <c r="C152" s="195"/>
    </row>
    <row r="153" ht="14.25" customHeight="1">
      <c r="C153" s="195"/>
    </row>
    <row r="154" ht="14.25" customHeight="1">
      <c r="C154" s="195"/>
    </row>
    <row r="155" ht="14.25" customHeight="1">
      <c r="C155" s="195"/>
    </row>
    <row r="156" ht="14.25" customHeight="1">
      <c r="C156" s="195"/>
    </row>
    <row r="157" ht="14.25" customHeight="1">
      <c r="C157" s="195"/>
    </row>
    <row r="158" ht="14.25" customHeight="1">
      <c r="C158" s="195"/>
    </row>
    <row r="159" ht="14.25" customHeight="1">
      <c r="C159" s="195"/>
    </row>
    <row r="160" ht="14.25" customHeight="1">
      <c r="C160" s="195"/>
    </row>
    <row r="161" ht="14.25" customHeight="1">
      <c r="C161" s="195"/>
    </row>
    <row r="162" ht="14.25" customHeight="1">
      <c r="C162" s="195"/>
    </row>
    <row r="163" ht="14.25" customHeight="1">
      <c r="C163" s="195"/>
    </row>
    <row r="164" ht="14.25" customHeight="1">
      <c r="C164" s="195"/>
    </row>
    <row r="165" ht="14.25" customHeight="1">
      <c r="C165" s="195"/>
    </row>
    <row r="166" ht="14.25" customHeight="1">
      <c r="C166" s="195"/>
    </row>
    <row r="167" ht="14.25" customHeight="1">
      <c r="C167" s="195"/>
    </row>
    <row r="168" ht="14.25" customHeight="1">
      <c r="C168" s="195"/>
    </row>
    <row r="169" ht="14.25" customHeight="1">
      <c r="C169" s="195"/>
    </row>
    <row r="170" ht="14.25" customHeight="1">
      <c r="C170" s="195"/>
    </row>
    <row r="171" ht="14.25" customHeight="1">
      <c r="C171" s="195"/>
    </row>
    <row r="172" ht="14.25" customHeight="1">
      <c r="C172" s="195"/>
    </row>
    <row r="173" ht="14.25" customHeight="1">
      <c r="C173" s="195"/>
    </row>
    <row r="174" ht="14.25" customHeight="1">
      <c r="C174" s="195"/>
    </row>
    <row r="175" ht="14.25" customHeight="1">
      <c r="C175" s="195"/>
    </row>
    <row r="176" ht="14.25" customHeight="1">
      <c r="C176" s="195"/>
    </row>
    <row r="177" ht="14.25" customHeight="1">
      <c r="C177" s="195"/>
    </row>
    <row r="178" ht="14.25" customHeight="1">
      <c r="C178" s="195"/>
    </row>
    <row r="179" ht="14.25" customHeight="1">
      <c r="C179" s="195"/>
    </row>
    <row r="180" ht="14.25" customHeight="1">
      <c r="C180" s="195"/>
    </row>
    <row r="181" ht="14.25" customHeight="1">
      <c r="C181" s="195"/>
    </row>
    <row r="182" ht="14.25" customHeight="1">
      <c r="C182" s="195"/>
    </row>
    <row r="183" ht="14.25" customHeight="1">
      <c r="C183" s="195"/>
    </row>
    <row r="184" ht="14.25" customHeight="1">
      <c r="C184" s="195"/>
    </row>
    <row r="185" ht="14.25" customHeight="1">
      <c r="C185" s="195"/>
    </row>
    <row r="186" ht="14.25" customHeight="1">
      <c r="C186" s="195"/>
    </row>
    <row r="187" ht="14.25" customHeight="1">
      <c r="C187" s="195"/>
    </row>
    <row r="188" ht="14.25" customHeight="1">
      <c r="C188" s="195"/>
    </row>
    <row r="189" ht="14.25" customHeight="1">
      <c r="C189" s="195"/>
    </row>
    <row r="190" ht="14.25" customHeight="1">
      <c r="C190" s="195"/>
    </row>
    <row r="191" ht="14.25" customHeight="1">
      <c r="C191" s="195"/>
    </row>
    <row r="192" ht="14.25" customHeight="1">
      <c r="C192" s="195"/>
    </row>
    <row r="193" ht="14.25" customHeight="1">
      <c r="C193" s="195"/>
    </row>
    <row r="194" ht="14.25" customHeight="1">
      <c r="C194" s="195"/>
    </row>
    <row r="195" ht="14.25" customHeight="1">
      <c r="C195" s="195"/>
    </row>
    <row r="196" ht="14.25" customHeight="1">
      <c r="C196" s="195"/>
    </row>
    <row r="197" ht="14.25" customHeight="1">
      <c r="C197" s="195"/>
    </row>
    <row r="198" ht="14.25" customHeight="1">
      <c r="C198" s="195"/>
    </row>
    <row r="199" ht="14.25" customHeight="1">
      <c r="C199" s="195"/>
    </row>
    <row r="200" ht="14.25" customHeight="1">
      <c r="C200" s="195"/>
    </row>
    <row r="201" ht="14.25" customHeight="1">
      <c r="C201" s="195"/>
    </row>
    <row r="202" ht="14.25" customHeight="1">
      <c r="C202" s="195"/>
    </row>
    <row r="203" ht="14.25" customHeight="1">
      <c r="C203" s="195"/>
    </row>
    <row r="204" ht="14.25" customHeight="1">
      <c r="C204" s="195"/>
    </row>
    <row r="205" ht="14.25" customHeight="1">
      <c r="C205" s="195"/>
    </row>
    <row r="206" ht="14.25" customHeight="1">
      <c r="C206" s="195"/>
    </row>
    <row r="207" ht="14.25" customHeight="1">
      <c r="C207" s="195"/>
    </row>
    <row r="208" ht="14.25" customHeight="1">
      <c r="C208" s="195"/>
    </row>
    <row r="209" ht="14.25" customHeight="1">
      <c r="C209" s="195"/>
    </row>
    <row r="210" ht="14.25" customHeight="1">
      <c r="C210" s="195"/>
    </row>
    <row r="211" ht="14.25" customHeight="1">
      <c r="C211" s="195"/>
    </row>
    <row r="212" ht="14.25" customHeight="1">
      <c r="C212" s="195"/>
    </row>
    <row r="213" ht="14.25" customHeight="1">
      <c r="C213" s="195"/>
    </row>
    <row r="214" ht="14.25" customHeight="1">
      <c r="C214" s="195"/>
    </row>
    <row r="215" ht="14.25" customHeight="1">
      <c r="C215" s="195"/>
    </row>
    <row r="216" ht="14.25" customHeight="1">
      <c r="C216" s="195"/>
    </row>
    <row r="217" ht="14.25" customHeight="1">
      <c r="C217" s="195"/>
    </row>
    <row r="218" ht="14.25" customHeight="1">
      <c r="C218" s="195"/>
    </row>
    <row r="219" ht="14.25" customHeight="1">
      <c r="C219" s="195"/>
    </row>
    <row r="220" ht="14.25" customHeight="1">
      <c r="C220" s="195"/>
    </row>
    <row r="221" ht="14.25" customHeight="1">
      <c r="C221" s="195"/>
    </row>
    <row r="222" ht="14.25" customHeight="1">
      <c r="C222" s="195"/>
    </row>
    <row r="223" ht="14.25" customHeight="1">
      <c r="C223" s="195"/>
    </row>
    <row r="224" ht="14.25" customHeight="1">
      <c r="C224" s="195"/>
    </row>
    <row r="225" ht="14.25" customHeight="1">
      <c r="C225" s="195"/>
    </row>
    <row r="226" ht="14.25" customHeight="1">
      <c r="C226" s="195"/>
    </row>
    <row r="227" ht="14.25" customHeight="1">
      <c r="C227" s="195"/>
    </row>
    <row r="228" ht="14.25" customHeight="1">
      <c r="C228" s="195"/>
    </row>
    <row r="229" ht="14.25" customHeight="1">
      <c r="C229" s="195"/>
    </row>
    <row r="230" ht="14.25" customHeight="1">
      <c r="C230" s="195"/>
    </row>
    <row r="231" ht="14.25" customHeight="1">
      <c r="C231" s="195"/>
    </row>
    <row r="232" ht="14.25" customHeight="1">
      <c r="C232" s="195"/>
    </row>
    <row r="233" ht="14.25" customHeight="1">
      <c r="C233" s="195"/>
    </row>
    <row r="234" ht="14.25" customHeight="1">
      <c r="C234" s="195"/>
    </row>
    <row r="235" ht="14.25" customHeight="1">
      <c r="C235" s="195"/>
    </row>
    <row r="236" ht="14.25" customHeight="1">
      <c r="C236" s="195"/>
    </row>
    <row r="237" ht="14.25" customHeight="1">
      <c r="C237" s="195"/>
    </row>
    <row r="238" ht="14.25" customHeight="1">
      <c r="C238" s="195"/>
    </row>
    <row r="239" ht="14.25" customHeight="1">
      <c r="C239" s="195"/>
    </row>
    <row r="240" ht="14.25" customHeight="1">
      <c r="C240" s="19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J$29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5.29"/>
    <col customWidth="1" min="3" max="3" width="8.29"/>
    <col customWidth="1" min="4" max="4" width="96.57"/>
    <col customWidth="1" min="5" max="5" width="13.43"/>
    <col customWidth="1" min="6" max="6" width="8.86"/>
    <col customWidth="1" min="7" max="9" width="8.71"/>
    <col customWidth="1" min="10" max="10" width="72.29"/>
    <col customWidth="1" min="11" max="11" width="8.71"/>
  </cols>
  <sheetData>
    <row r="1" ht="14.25" customHeight="1">
      <c r="A1" s="196" t="s">
        <v>187</v>
      </c>
      <c r="B1" s="239"/>
      <c r="C1" s="195"/>
      <c r="E1" s="196" t="s">
        <v>188</v>
      </c>
    </row>
    <row r="2" ht="14.25" customHeight="1">
      <c r="A2" s="196" t="s">
        <v>200</v>
      </c>
      <c r="B2" s="239"/>
      <c r="C2" s="195"/>
      <c r="E2" s="235">
        <v>10833.07</v>
      </c>
    </row>
    <row r="3" ht="14.25" customHeight="1">
      <c r="A3" s="196" t="s">
        <v>190</v>
      </c>
      <c r="B3" s="239"/>
      <c r="C3" s="195"/>
      <c r="E3" s="235">
        <v>1820.27</v>
      </c>
    </row>
    <row r="4" ht="14.25" customHeight="1">
      <c r="A4" s="196" t="s">
        <v>191</v>
      </c>
      <c r="B4" s="239"/>
      <c r="C4" s="195"/>
      <c r="E4" s="235">
        <v>-10491.21</v>
      </c>
    </row>
    <row r="5" ht="14.25" customHeight="1">
      <c r="A5" s="196" t="s">
        <v>201</v>
      </c>
      <c r="B5" s="239"/>
      <c r="C5" s="195"/>
      <c r="E5" s="235">
        <v>2162.13</v>
      </c>
    </row>
    <row r="6" ht="14.25" customHeight="1">
      <c r="B6" s="239"/>
      <c r="C6" s="195"/>
    </row>
    <row r="7">
      <c r="A7" s="196" t="s">
        <v>100</v>
      </c>
      <c r="B7" s="239"/>
      <c r="C7" s="195"/>
      <c r="D7" s="196" t="s">
        <v>187</v>
      </c>
      <c r="E7" s="196" t="s">
        <v>193</v>
      </c>
      <c r="F7" s="196" t="s">
        <v>194</v>
      </c>
      <c r="J7" s="236"/>
    </row>
    <row r="8">
      <c r="A8" s="236">
        <v>44956.0</v>
      </c>
      <c r="B8" s="239">
        <f t="shared" ref="B8:B36" si="1">IF(E8&lt;0,0,1)</f>
        <v>1</v>
      </c>
      <c r="C8" s="220" t="str">
        <f t="shared" ref="C8:C36" si="2">IF(E8&lt;0,"debit","credit")</f>
        <v>credit</v>
      </c>
      <c r="D8" s="196" t="s">
        <v>200</v>
      </c>
      <c r="F8" s="235">
        <v>10833.07</v>
      </c>
      <c r="G8" s="196" t="str">
        <f t="shared" ref="G8:G36" si="3">IFERROR(VLOOKUP($B$8,B8:E8,4,FALSE),0)</f>
        <v/>
      </c>
      <c r="J8" s="198"/>
    </row>
    <row r="9" ht="14.25" hidden="1" customHeight="1">
      <c r="A9" s="236">
        <v>44956.0</v>
      </c>
      <c r="B9" s="239">
        <f t="shared" si="1"/>
        <v>0</v>
      </c>
      <c r="C9" s="220" t="str">
        <f t="shared" si="2"/>
        <v>debit</v>
      </c>
      <c r="D9" s="196" t="s">
        <v>202</v>
      </c>
      <c r="E9" s="196">
        <v>-250.0</v>
      </c>
      <c r="F9" s="235">
        <v>10583.07</v>
      </c>
      <c r="G9" s="196">
        <f t="shared" si="3"/>
        <v>0</v>
      </c>
    </row>
    <row r="10" ht="14.25" hidden="1" customHeight="1">
      <c r="A10" s="236">
        <v>44956.0</v>
      </c>
      <c r="B10" s="239">
        <f t="shared" si="1"/>
        <v>0</v>
      </c>
      <c r="C10" s="220" t="str">
        <f t="shared" si="2"/>
        <v>debit</v>
      </c>
      <c r="D10" s="196" t="s">
        <v>203</v>
      </c>
      <c r="E10" s="196">
        <v>-35.0</v>
      </c>
      <c r="F10" s="235">
        <v>10548.07</v>
      </c>
      <c r="G10" s="196">
        <f t="shared" si="3"/>
        <v>0</v>
      </c>
    </row>
    <row r="11" hidden="1">
      <c r="A11" s="236">
        <v>44956.0</v>
      </c>
      <c r="B11" s="239">
        <f t="shared" si="1"/>
        <v>0</v>
      </c>
      <c r="C11" s="220" t="str">
        <f t="shared" si="2"/>
        <v>debit</v>
      </c>
      <c r="D11" s="196" t="s">
        <v>204</v>
      </c>
      <c r="E11" s="196">
        <v>-204.33</v>
      </c>
      <c r="F11" s="235">
        <v>10343.74</v>
      </c>
      <c r="G11" s="196">
        <f t="shared" si="3"/>
        <v>0</v>
      </c>
      <c r="J11" s="236"/>
    </row>
    <row r="12" hidden="1">
      <c r="A12" s="236">
        <v>44956.0</v>
      </c>
      <c r="B12" s="239">
        <f t="shared" si="1"/>
        <v>0</v>
      </c>
      <c r="C12" s="220" t="str">
        <f t="shared" si="2"/>
        <v>debit</v>
      </c>
      <c r="D12" s="196" t="s">
        <v>205</v>
      </c>
      <c r="E12" s="196">
        <v>-105.93</v>
      </c>
      <c r="F12" s="235">
        <v>10237.81</v>
      </c>
      <c r="G12" s="196">
        <f t="shared" si="3"/>
        <v>0</v>
      </c>
    </row>
    <row r="13" ht="14.25" hidden="1" customHeight="1">
      <c r="A13" s="236">
        <v>44956.0</v>
      </c>
      <c r="B13" s="239">
        <f t="shared" si="1"/>
        <v>0</v>
      </c>
      <c r="C13" s="220" t="str">
        <f t="shared" si="2"/>
        <v>debit</v>
      </c>
      <c r="D13" s="196" t="s">
        <v>206</v>
      </c>
      <c r="E13" s="235">
        <v>-1300.0</v>
      </c>
      <c r="F13" s="235">
        <v>8937.81</v>
      </c>
      <c r="G13" s="196">
        <f t="shared" si="3"/>
        <v>0</v>
      </c>
    </row>
    <row r="14" ht="14.25" hidden="1" customHeight="1">
      <c r="A14" s="236">
        <v>44957.0</v>
      </c>
      <c r="B14" s="239">
        <f t="shared" si="1"/>
        <v>0</v>
      </c>
      <c r="C14" s="220" t="str">
        <f t="shared" si="2"/>
        <v>debit</v>
      </c>
      <c r="D14" s="196" t="s">
        <v>207</v>
      </c>
      <c r="E14" s="235">
        <v>-3500.0</v>
      </c>
      <c r="F14" s="235">
        <v>5437.81</v>
      </c>
      <c r="G14" s="196">
        <f t="shared" si="3"/>
        <v>0</v>
      </c>
    </row>
    <row r="15" hidden="1">
      <c r="A15" s="236">
        <v>44957.0</v>
      </c>
      <c r="B15" s="239">
        <f t="shared" si="1"/>
        <v>0</v>
      </c>
      <c r="C15" s="220" t="str">
        <f t="shared" si="2"/>
        <v>debit</v>
      </c>
      <c r="D15" s="196" t="s">
        <v>208</v>
      </c>
      <c r="E15" s="196">
        <v>-340.0</v>
      </c>
      <c r="F15" s="235">
        <v>5097.81</v>
      </c>
      <c r="G15" s="196">
        <f t="shared" si="3"/>
        <v>0</v>
      </c>
      <c r="J15" s="236"/>
    </row>
    <row r="16" ht="14.25" hidden="1" customHeight="1">
      <c r="A16" s="236">
        <v>44958.0</v>
      </c>
      <c r="B16" s="239">
        <f t="shared" si="1"/>
        <v>0</v>
      </c>
      <c r="C16" s="220" t="str">
        <f t="shared" si="2"/>
        <v>debit</v>
      </c>
      <c r="D16" s="196" t="s">
        <v>209</v>
      </c>
      <c r="E16" s="196">
        <v>-22.33</v>
      </c>
      <c r="F16" s="235">
        <v>5075.48</v>
      </c>
      <c r="G16" s="196">
        <f t="shared" si="3"/>
        <v>0</v>
      </c>
    </row>
    <row r="17" ht="14.25" hidden="1" customHeight="1">
      <c r="A17" s="236">
        <v>44958.0</v>
      </c>
      <c r="B17" s="239">
        <f t="shared" si="1"/>
        <v>0</v>
      </c>
      <c r="C17" s="220" t="str">
        <f t="shared" si="2"/>
        <v>debit</v>
      </c>
      <c r="D17" s="196" t="s">
        <v>210</v>
      </c>
      <c r="E17" s="235">
        <v>-2300.0</v>
      </c>
      <c r="F17" s="235">
        <v>2775.48</v>
      </c>
      <c r="G17" s="196">
        <f t="shared" si="3"/>
        <v>0</v>
      </c>
    </row>
    <row r="18" ht="14.25" hidden="1" customHeight="1">
      <c r="A18" s="236">
        <v>44958.0</v>
      </c>
      <c r="B18" s="239">
        <f t="shared" si="1"/>
        <v>0</v>
      </c>
      <c r="C18" s="220" t="str">
        <f t="shared" si="2"/>
        <v>debit</v>
      </c>
      <c r="D18" s="196" t="s">
        <v>211</v>
      </c>
      <c r="E18" s="196">
        <v>-739.73</v>
      </c>
      <c r="F18" s="235">
        <v>2035.75</v>
      </c>
      <c r="G18" s="196">
        <f t="shared" si="3"/>
        <v>0</v>
      </c>
    </row>
    <row r="19" hidden="1">
      <c r="A19" s="236">
        <v>44959.0</v>
      </c>
      <c r="B19" s="239">
        <f t="shared" si="1"/>
        <v>0</v>
      </c>
      <c r="C19" s="220" t="str">
        <f t="shared" si="2"/>
        <v>debit</v>
      </c>
      <c r="D19" s="196" t="s">
        <v>212</v>
      </c>
      <c r="E19" s="196">
        <v>-7.0</v>
      </c>
      <c r="F19" s="235">
        <v>2028.75</v>
      </c>
      <c r="G19" s="196">
        <f t="shared" si="3"/>
        <v>0</v>
      </c>
      <c r="J19" s="236"/>
    </row>
    <row r="20" ht="14.25" hidden="1" customHeight="1">
      <c r="A20" s="236">
        <v>44960.0</v>
      </c>
      <c r="B20" s="239">
        <f t="shared" si="1"/>
        <v>0</v>
      </c>
      <c r="C20" s="220" t="str">
        <f t="shared" si="2"/>
        <v>debit</v>
      </c>
      <c r="D20" s="196" t="s">
        <v>213</v>
      </c>
      <c r="E20" s="196">
        <v>-25.0</v>
      </c>
      <c r="F20" s="235">
        <v>2003.75</v>
      </c>
      <c r="G20" s="196">
        <f t="shared" si="3"/>
        <v>0</v>
      </c>
    </row>
    <row r="21" ht="14.25" hidden="1" customHeight="1">
      <c r="A21" s="236">
        <v>44963.0</v>
      </c>
      <c r="B21" s="239">
        <f t="shared" si="1"/>
        <v>0</v>
      </c>
      <c r="C21" s="220" t="str">
        <f t="shared" si="2"/>
        <v>debit</v>
      </c>
      <c r="D21" s="196" t="s">
        <v>214</v>
      </c>
      <c r="E21" s="196">
        <v>-22.33</v>
      </c>
      <c r="F21" s="235">
        <v>1981.42</v>
      </c>
      <c r="G21" s="196">
        <f t="shared" si="3"/>
        <v>0</v>
      </c>
    </row>
    <row r="22" ht="15.75" customHeight="1">
      <c r="A22" s="236">
        <v>44967.0</v>
      </c>
      <c r="B22" s="239">
        <f t="shared" si="1"/>
        <v>1</v>
      </c>
      <c r="C22" s="220" t="str">
        <f t="shared" si="2"/>
        <v>credit</v>
      </c>
      <c r="D22" s="196" t="s">
        <v>215</v>
      </c>
      <c r="E22" s="196">
        <v>900.35</v>
      </c>
      <c r="F22" s="235">
        <v>2881.77</v>
      </c>
      <c r="G22" s="196">
        <f t="shared" si="3"/>
        <v>900.35</v>
      </c>
    </row>
    <row r="23" ht="15.75" hidden="1" customHeight="1">
      <c r="A23" s="236">
        <v>44967.0</v>
      </c>
      <c r="B23" s="239">
        <f t="shared" si="1"/>
        <v>0</v>
      </c>
      <c r="C23" s="220" t="str">
        <f t="shared" si="2"/>
        <v>debit</v>
      </c>
      <c r="D23" s="196" t="s">
        <v>216</v>
      </c>
      <c r="E23" s="196">
        <v>-900.0</v>
      </c>
      <c r="F23" s="235">
        <v>1981.77</v>
      </c>
      <c r="G23" s="196">
        <f t="shared" si="3"/>
        <v>0</v>
      </c>
      <c r="J23" s="236"/>
    </row>
    <row r="24" ht="14.25" hidden="1" customHeight="1">
      <c r="A24" s="236">
        <v>44971.0</v>
      </c>
      <c r="B24" s="239">
        <f t="shared" si="1"/>
        <v>0</v>
      </c>
      <c r="C24" s="220" t="str">
        <f t="shared" si="2"/>
        <v>debit</v>
      </c>
      <c r="D24" s="196" t="s">
        <v>217</v>
      </c>
      <c r="E24" s="196">
        <v>-60.0</v>
      </c>
      <c r="F24" s="235">
        <v>1921.77</v>
      </c>
      <c r="G24" s="196">
        <f t="shared" si="3"/>
        <v>0</v>
      </c>
    </row>
    <row r="25" ht="14.25" hidden="1" customHeight="1">
      <c r="A25" s="236">
        <v>44971.0</v>
      </c>
      <c r="B25" s="239">
        <f t="shared" si="1"/>
        <v>0</v>
      </c>
      <c r="C25" s="220" t="str">
        <f t="shared" si="2"/>
        <v>debit</v>
      </c>
      <c r="D25" s="196" t="s">
        <v>212</v>
      </c>
      <c r="E25" s="196">
        <v>-80.0</v>
      </c>
      <c r="F25" s="235">
        <v>1841.77</v>
      </c>
      <c r="G25" s="196">
        <f t="shared" si="3"/>
        <v>0</v>
      </c>
    </row>
    <row r="26" ht="14.25" hidden="1" customHeight="1">
      <c r="A26" s="236">
        <v>44973.0</v>
      </c>
      <c r="B26" s="239">
        <f t="shared" si="1"/>
        <v>0</v>
      </c>
      <c r="C26" s="220" t="str">
        <f t="shared" si="2"/>
        <v>debit</v>
      </c>
      <c r="D26" s="196" t="s">
        <v>218</v>
      </c>
      <c r="E26" s="196">
        <v>-7.56</v>
      </c>
      <c r="F26" s="235">
        <v>1834.21</v>
      </c>
      <c r="G26" s="196">
        <f t="shared" si="3"/>
        <v>0</v>
      </c>
    </row>
    <row r="27" ht="15.75" hidden="1" customHeight="1">
      <c r="A27" s="236">
        <v>44973.0</v>
      </c>
      <c r="B27" s="239">
        <f t="shared" si="1"/>
        <v>0</v>
      </c>
      <c r="C27" s="220" t="str">
        <f t="shared" si="2"/>
        <v>debit</v>
      </c>
      <c r="D27" s="196" t="s">
        <v>212</v>
      </c>
      <c r="E27" s="196">
        <v>-7.0</v>
      </c>
      <c r="F27" s="235">
        <v>1827.21</v>
      </c>
      <c r="G27" s="196">
        <f t="shared" si="3"/>
        <v>0</v>
      </c>
      <c r="J27" s="236"/>
    </row>
    <row r="28" ht="14.25" customHeight="1">
      <c r="A28" s="236">
        <v>44974.0</v>
      </c>
      <c r="B28" s="239">
        <f t="shared" si="1"/>
        <v>1</v>
      </c>
      <c r="C28" s="220" t="str">
        <f t="shared" si="2"/>
        <v>credit</v>
      </c>
      <c r="D28" s="196" t="s">
        <v>219</v>
      </c>
      <c r="E28" s="196">
        <v>169.92</v>
      </c>
      <c r="F28" s="235">
        <v>1997.13</v>
      </c>
      <c r="G28" s="196">
        <f t="shared" si="3"/>
        <v>169.92</v>
      </c>
    </row>
    <row r="29" ht="14.25" hidden="1" customHeight="1">
      <c r="A29" s="236">
        <v>44974.0</v>
      </c>
      <c r="B29" s="239">
        <f t="shared" si="1"/>
        <v>0</v>
      </c>
      <c r="C29" s="220" t="str">
        <f t="shared" si="2"/>
        <v>debit</v>
      </c>
      <c r="D29" s="196" t="s">
        <v>220</v>
      </c>
      <c r="E29" s="196">
        <v>-150.0</v>
      </c>
      <c r="F29" s="235">
        <v>1847.13</v>
      </c>
      <c r="G29" s="196">
        <f t="shared" si="3"/>
        <v>0</v>
      </c>
    </row>
    <row r="30" ht="14.25" customHeight="1">
      <c r="A30" s="236">
        <v>44978.0</v>
      </c>
      <c r="B30" s="239">
        <f t="shared" si="1"/>
        <v>1</v>
      </c>
      <c r="C30" s="220" t="str">
        <f t="shared" si="2"/>
        <v>credit</v>
      </c>
      <c r="D30" s="196" t="s">
        <v>221</v>
      </c>
      <c r="E30" s="196">
        <v>500.0</v>
      </c>
      <c r="F30" s="235">
        <v>2347.13</v>
      </c>
      <c r="G30" s="196">
        <f t="shared" si="3"/>
        <v>500</v>
      </c>
    </row>
    <row r="31" ht="15.75" customHeight="1">
      <c r="A31" s="236">
        <v>44978.0</v>
      </c>
      <c r="B31" s="239">
        <f t="shared" si="1"/>
        <v>1</v>
      </c>
      <c r="C31" s="220" t="str">
        <f t="shared" si="2"/>
        <v>credit</v>
      </c>
      <c r="D31" s="196" t="s">
        <v>222</v>
      </c>
      <c r="E31" s="196">
        <v>250.0</v>
      </c>
      <c r="F31" s="235">
        <v>2597.13</v>
      </c>
      <c r="G31" s="196">
        <f t="shared" si="3"/>
        <v>250</v>
      </c>
      <c r="J31" s="236"/>
    </row>
    <row r="32" ht="14.25" hidden="1" customHeight="1">
      <c r="A32" s="236">
        <v>44978.0</v>
      </c>
      <c r="B32" s="239">
        <f t="shared" si="1"/>
        <v>0</v>
      </c>
      <c r="C32" s="220" t="str">
        <f t="shared" si="2"/>
        <v>debit</v>
      </c>
      <c r="D32" s="196" t="s">
        <v>223</v>
      </c>
      <c r="E32" s="196">
        <v>-105.0</v>
      </c>
      <c r="F32" s="235">
        <v>2492.13</v>
      </c>
      <c r="G32" s="196">
        <f t="shared" si="3"/>
        <v>0</v>
      </c>
    </row>
    <row r="33" ht="14.25" hidden="1" customHeight="1">
      <c r="A33" s="236">
        <v>44978.0</v>
      </c>
      <c r="B33" s="239">
        <f t="shared" si="1"/>
        <v>0</v>
      </c>
      <c r="C33" s="220" t="str">
        <f t="shared" si="2"/>
        <v>debit</v>
      </c>
      <c r="D33" s="196" t="s">
        <v>224</v>
      </c>
      <c r="E33" s="196">
        <v>-65.0</v>
      </c>
      <c r="F33" s="235">
        <v>2427.13</v>
      </c>
      <c r="G33" s="196">
        <f t="shared" si="3"/>
        <v>0</v>
      </c>
    </row>
    <row r="34" ht="14.25" hidden="1" customHeight="1">
      <c r="A34" s="236">
        <v>44978.0</v>
      </c>
      <c r="B34" s="239">
        <f t="shared" si="1"/>
        <v>0</v>
      </c>
      <c r="C34" s="220" t="str">
        <f t="shared" si="2"/>
        <v>debit</v>
      </c>
      <c r="D34" s="196" t="s">
        <v>225</v>
      </c>
      <c r="E34" s="196">
        <v>-40.0</v>
      </c>
      <c r="F34" s="235">
        <v>2387.13</v>
      </c>
      <c r="G34" s="196">
        <f t="shared" si="3"/>
        <v>0</v>
      </c>
    </row>
    <row r="35" ht="15.75" hidden="1" customHeight="1">
      <c r="A35" s="236">
        <v>44978.0</v>
      </c>
      <c r="B35" s="239">
        <f t="shared" si="1"/>
        <v>0</v>
      </c>
      <c r="C35" s="220" t="str">
        <f t="shared" si="2"/>
        <v>debit</v>
      </c>
      <c r="D35" s="196" t="s">
        <v>226</v>
      </c>
      <c r="E35" s="196">
        <v>-25.0</v>
      </c>
      <c r="F35" s="235">
        <v>2362.13</v>
      </c>
      <c r="G35" s="196">
        <f t="shared" si="3"/>
        <v>0</v>
      </c>
      <c r="J35" s="236"/>
    </row>
    <row r="36" ht="14.25" hidden="1" customHeight="1">
      <c r="A36" s="236">
        <v>44979.0</v>
      </c>
      <c r="B36" s="239">
        <f t="shared" si="1"/>
        <v>0</v>
      </c>
      <c r="C36" s="220" t="str">
        <f t="shared" si="2"/>
        <v>debit</v>
      </c>
      <c r="D36" s="196" t="s">
        <v>227</v>
      </c>
      <c r="E36" s="196">
        <v>-200.0</v>
      </c>
      <c r="F36" s="235">
        <v>2162.13</v>
      </c>
      <c r="G36" s="196">
        <f t="shared" si="3"/>
        <v>0</v>
      </c>
    </row>
    <row r="37" ht="15.75" customHeight="1">
      <c r="B37" s="239"/>
      <c r="C37" s="195"/>
    </row>
    <row r="38" ht="15.75" customHeight="1">
      <c r="B38" s="239"/>
      <c r="C38" s="195"/>
    </row>
    <row r="39" ht="15.75" customHeight="1">
      <c r="B39" s="239"/>
      <c r="C39" s="195"/>
      <c r="J39" s="236"/>
    </row>
    <row r="40" ht="15.75" customHeight="1">
      <c r="B40" s="239"/>
      <c r="C40" s="195"/>
    </row>
    <row r="41" ht="15.75" customHeight="1">
      <c r="B41" s="239"/>
      <c r="C41" s="195"/>
    </row>
    <row r="42" ht="14.25" customHeight="1">
      <c r="B42" s="239"/>
      <c r="C42" s="195"/>
    </row>
    <row r="43" ht="15.75" customHeight="1">
      <c r="B43" s="239"/>
      <c r="C43" s="195"/>
      <c r="D43" s="198" t="s">
        <v>228</v>
      </c>
      <c r="E43" s="196">
        <v>300.0</v>
      </c>
      <c r="J43" s="236"/>
    </row>
    <row r="44" ht="15.75" customHeight="1">
      <c r="B44" s="239"/>
      <c r="C44" s="195"/>
      <c r="E44" s="196">
        <v>900.35</v>
      </c>
    </row>
    <row r="45" ht="15.75" customHeight="1">
      <c r="B45" s="239"/>
      <c r="C45" s="195"/>
      <c r="E45" s="196">
        <v>169.92</v>
      </c>
    </row>
    <row r="46" ht="14.25" customHeight="1">
      <c r="B46" s="239"/>
      <c r="C46" s="195"/>
      <c r="D46" s="196" t="s">
        <v>229</v>
      </c>
      <c r="E46" s="196">
        <v>350.0</v>
      </c>
    </row>
    <row r="47" ht="15.75" customHeight="1">
      <c r="B47" s="239"/>
      <c r="C47" s="195"/>
      <c r="E47" s="240">
        <f>SUM(E43:E46)</f>
        <v>1720.27</v>
      </c>
      <c r="J47" s="236"/>
    </row>
    <row r="48" ht="15.75" customHeight="1">
      <c r="A48" s="241"/>
    </row>
    <row r="49" ht="15.75" customHeight="1">
      <c r="A49" s="242"/>
    </row>
    <row r="50" ht="15.75" customHeight="1">
      <c r="K50" s="235"/>
    </row>
    <row r="51" ht="15.75" customHeight="1">
      <c r="J51" s="236"/>
    </row>
    <row r="52" ht="15.75" customHeight="1">
      <c r="A52" s="241"/>
    </row>
    <row r="53" ht="15.75" customHeight="1">
      <c r="A53" s="242"/>
    </row>
    <row r="54" ht="14.25" customHeight="1"/>
    <row r="55" ht="15.75" customHeight="1">
      <c r="J55" s="236"/>
    </row>
    <row r="56" ht="14.25" customHeight="1"/>
    <row r="57" ht="14.25" customHeight="1"/>
    <row r="58" ht="14.25" customHeight="1"/>
    <row r="59" ht="15.75" customHeight="1">
      <c r="J59" s="236"/>
    </row>
    <row r="60" ht="14.25" customHeight="1"/>
    <row r="61" ht="14.25" customHeight="1"/>
    <row r="62" ht="14.25" customHeight="1"/>
    <row r="63" ht="15.75" customHeight="1">
      <c r="J63" s="236"/>
    </row>
    <row r="64" ht="14.25" customHeight="1"/>
    <row r="65" ht="14.25" customHeight="1"/>
    <row r="66" ht="14.25" customHeight="1"/>
    <row r="67" ht="15.75" customHeight="1">
      <c r="J67" s="236"/>
    </row>
    <row r="68" ht="14.25" customHeight="1"/>
    <row r="69" ht="14.25" customHeight="1"/>
    <row r="70" ht="14.25" customHeight="1"/>
    <row r="71" ht="15.75" customHeight="1">
      <c r="J71" s="236"/>
    </row>
    <row r="72" ht="14.25" customHeight="1"/>
    <row r="73" ht="14.25" customHeight="1"/>
    <row r="74" ht="14.25" customHeight="1"/>
    <row r="75" ht="15.75" customHeight="1">
      <c r="J75" s="236"/>
    </row>
    <row r="76" ht="14.25" customHeight="1"/>
    <row r="77" ht="14.25" customHeight="1"/>
    <row r="78" ht="14.25" customHeight="1"/>
    <row r="79" ht="15.75" customHeight="1">
      <c r="J79" s="236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K$36">
    <filterColumn colId="2">
      <filters>
        <filter val="credit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6" width="13.43"/>
    <col customWidth="1" min="8" max="8" width="36.86"/>
    <col customWidth="1" min="9" max="9" width="11.57"/>
    <col customWidth="1" min="10" max="10" width="15.71"/>
    <col customWidth="1" min="11" max="14" width="8.71"/>
  </cols>
  <sheetData>
    <row r="1">
      <c r="A1" s="196" t="s">
        <v>230</v>
      </c>
    </row>
    <row r="2">
      <c r="A2" s="196" t="s">
        <v>231</v>
      </c>
    </row>
    <row r="3">
      <c r="A3" s="196" t="s">
        <v>232</v>
      </c>
      <c r="B3" s="196" t="s">
        <v>233</v>
      </c>
      <c r="C3" s="196" t="s">
        <v>234</v>
      </c>
      <c r="D3" s="196" t="s">
        <v>235</v>
      </c>
      <c r="G3" s="195" t="s">
        <v>134</v>
      </c>
      <c r="H3" s="195" t="s">
        <v>135</v>
      </c>
      <c r="I3" s="195" t="s">
        <v>92</v>
      </c>
    </row>
    <row r="4">
      <c r="F4" s="196" t="s">
        <v>136</v>
      </c>
      <c r="G4" s="197">
        <f>D6+D7+D8+D9</f>
        <v>46043.41</v>
      </c>
      <c r="H4" s="197">
        <f>D11+D12</f>
        <v>5092.34</v>
      </c>
      <c r="I4" s="197">
        <f t="shared" ref="I4:I6" si="1">G4+H4</f>
        <v>51135.75</v>
      </c>
    </row>
    <row r="5">
      <c r="A5" s="196" t="s">
        <v>236</v>
      </c>
      <c r="F5" s="198" t="s">
        <v>237</v>
      </c>
      <c r="G5" s="197">
        <v>5000.0</v>
      </c>
      <c r="H5" s="197">
        <f>D10+1400</f>
        <v>6436</v>
      </c>
      <c r="I5" s="197">
        <f t="shared" si="1"/>
        <v>11436</v>
      </c>
    </row>
    <row r="6">
      <c r="A6" s="196" t="s">
        <v>238</v>
      </c>
      <c r="B6" s="196" t="s">
        <v>239</v>
      </c>
      <c r="C6" s="196" t="s">
        <v>240</v>
      </c>
      <c r="D6" s="235">
        <v>20483.51</v>
      </c>
      <c r="F6" s="196" t="s">
        <v>241</v>
      </c>
      <c r="G6" s="197">
        <f>VLOOKUP(F6,A5:D29,4,FALSE)</f>
        <v>28434.54</v>
      </c>
      <c r="I6" s="197">
        <f t="shared" si="1"/>
        <v>28434.54</v>
      </c>
      <c r="J6" s="197">
        <f>G5+G6+H7</f>
        <v>47818.22</v>
      </c>
    </row>
    <row r="7" ht="13.5" customHeight="1">
      <c r="A7" s="196" t="s">
        <v>242</v>
      </c>
      <c r="B7" s="196" t="s">
        <v>243</v>
      </c>
      <c r="C7" s="196" t="s">
        <v>240</v>
      </c>
      <c r="D7" s="235">
        <v>22464.09</v>
      </c>
      <c r="E7" s="196"/>
      <c r="F7" s="196" t="s">
        <v>139</v>
      </c>
      <c r="G7" s="197">
        <f>SUM(G4:G6)</f>
        <v>79477.95</v>
      </c>
      <c r="H7" s="197">
        <f>D13</f>
        <v>14383.68</v>
      </c>
      <c r="I7" s="197">
        <f>SUM(I4:I6)</f>
        <v>91006.29</v>
      </c>
      <c r="J7" s="197">
        <f>G8*0.047</f>
        <v>-1012.99805</v>
      </c>
    </row>
    <row r="8" ht="14.25" customHeight="1">
      <c r="A8" s="196" t="s">
        <v>244</v>
      </c>
      <c r="B8" s="196" t="s">
        <v>239</v>
      </c>
      <c r="C8" s="196" t="s">
        <v>240</v>
      </c>
      <c r="D8" s="235">
        <v>3030.54</v>
      </c>
      <c r="F8" s="199" t="s">
        <v>245</v>
      </c>
      <c r="G8" s="200">
        <f>-VLOOKUP(F8,A33:D52,4,)</f>
        <v>-21553.15</v>
      </c>
      <c r="H8" s="199"/>
      <c r="I8" s="200">
        <f>G7+G8+H7</f>
        <v>72308.48</v>
      </c>
      <c r="J8" s="199" t="s">
        <v>141</v>
      </c>
    </row>
    <row r="9" ht="14.25" customHeight="1">
      <c r="A9" s="196" t="s">
        <v>246</v>
      </c>
      <c r="B9" s="196" t="s">
        <v>239</v>
      </c>
      <c r="C9" s="196" t="s">
        <v>240</v>
      </c>
      <c r="D9" s="196">
        <v>65.27</v>
      </c>
      <c r="E9" s="196"/>
      <c r="F9" s="198" t="s">
        <v>142</v>
      </c>
      <c r="G9" s="197">
        <f>I4</f>
        <v>51135.75</v>
      </c>
      <c r="H9" s="197">
        <f>I5</f>
        <v>11436</v>
      </c>
      <c r="I9" s="197">
        <f>G9+H9+I6</f>
        <v>91006.29</v>
      </c>
    </row>
    <row r="10" ht="14.25" customHeight="1">
      <c r="A10" s="196" t="s">
        <v>247</v>
      </c>
      <c r="B10" s="196" t="s">
        <v>248</v>
      </c>
      <c r="C10" s="196" t="s">
        <v>240</v>
      </c>
      <c r="D10" s="235">
        <v>5036.0</v>
      </c>
      <c r="E10" s="196"/>
      <c r="F10" s="243" t="s">
        <v>143</v>
      </c>
      <c r="G10" s="244">
        <f>I7</f>
        <v>91006.29</v>
      </c>
    </row>
    <row r="11" ht="14.25" customHeight="1">
      <c r="A11" s="196" t="s">
        <v>249</v>
      </c>
      <c r="B11" s="196" t="s">
        <v>250</v>
      </c>
      <c r="C11" s="196" t="s">
        <v>240</v>
      </c>
      <c r="D11" s="235">
        <v>1430.26</v>
      </c>
      <c r="E11" s="196"/>
      <c r="F11" s="196" t="s">
        <v>138</v>
      </c>
      <c r="G11" s="196" t="s">
        <v>156</v>
      </c>
      <c r="H11" s="196" t="s">
        <v>157</v>
      </c>
    </row>
    <row r="12" ht="14.25" customHeight="1">
      <c r="A12" s="196" t="s">
        <v>251</v>
      </c>
      <c r="B12" s="196" t="s">
        <v>250</v>
      </c>
      <c r="C12" s="196" t="s">
        <v>240</v>
      </c>
      <c r="D12" s="235">
        <v>3662.08</v>
      </c>
      <c r="E12" s="196"/>
      <c r="F12" s="197">
        <f>G6</f>
        <v>28434.54</v>
      </c>
      <c r="G12" s="197">
        <f>I5</f>
        <v>11436</v>
      </c>
      <c r="H12" s="197">
        <f>I4</f>
        <v>51135.75</v>
      </c>
      <c r="I12" s="197"/>
    </row>
    <row r="13" ht="14.25" customHeight="1">
      <c r="A13" s="196" t="s">
        <v>252</v>
      </c>
      <c r="B13" s="196" t="s">
        <v>253</v>
      </c>
      <c r="C13" s="196" t="s">
        <v>240</v>
      </c>
      <c r="D13" s="235">
        <v>14383.68</v>
      </c>
      <c r="E13" s="196"/>
    </row>
    <row r="14" ht="14.25" customHeight="1">
      <c r="A14" s="196" t="s">
        <v>254</v>
      </c>
      <c r="B14" s="196" t="s">
        <v>255</v>
      </c>
      <c r="C14" s="196" t="s">
        <v>240</v>
      </c>
      <c r="D14" s="235">
        <v>70555.43</v>
      </c>
      <c r="E14" s="196"/>
    </row>
    <row r="15" ht="14.25" customHeight="1">
      <c r="E15" s="196"/>
    </row>
    <row r="16" ht="14.25" customHeight="1">
      <c r="A16" s="196" t="s">
        <v>256</v>
      </c>
      <c r="E16" s="196"/>
    </row>
    <row r="17" ht="14.25" customHeight="1">
      <c r="A17" s="196" t="s">
        <v>257</v>
      </c>
      <c r="B17" s="196" t="s">
        <v>258</v>
      </c>
      <c r="C17" s="196" t="s">
        <v>240</v>
      </c>
      <c r="D17" s="196">
        <v>194.15</v>
      </c>
      <c r="E17" s="196"/>
    </row>
    <row r="18" ht="14.25" customHeight="1">
      <c r="A18" s="196" t="s">
        <v>259</v>
      </c>
      <c r="B18" s="196" t="s">
        <v>239</v>
      </c>
      <c r="C18" s="196" t="s">
        <v>240</v>
      </c>
      <c r="D18" s="196">
        <v>138.0</v>
      </c>
      <c r="E18" s="196"/>
    </row>
    <row r="19" ht="14.25" customHeight="1">
      <c r="A19" s="196" t="s">
        <v>260</v>
      </c>
      <c r="B19" s="196" t="s">
        <v>239</v>
      </c>
      <c r="C19" s="196" t="s">
        <v>240</v>
      </c>
      <c r="E19" s="235"/>
    </row>
    <row r="20" ht="14.25" customHeight="1">
      <c r="A20" s="196" t="s">
        <v>261</v>
      </c>
      <c r="B20" s="196" t="s">
        <v>239</v>
      </c>
      <c r="C20" s="196" t="s">
        <v>240</v>
      </c>
      <c r="D20" s="196">
        <v>520.4</v>
      </c>
      <c r="E20" s="196"/>
    </row>
    <row r="21" ht="14.25" customHeight="1">
      <c r="A21" s="196" t="s">
        <v>262</v>
      </c>
      <c r="B21" s="196" t="s">
        <v>263</v>
      </c>
      <c r="C21" s="196" t="s">
        <v>240</v>
      </c>
      <c r="D21" s="196">
        <v>0.0</v>
      </c>
      <c r="E21" s="235"/>
    </row>
    <row r="22" ht="14.25" customHeight="1">
      <c r="A22" s="196" t="s">
        <v>264</v>
      </c>
      <c r="B22" s="196" t="s">
        <v>239</v>
      </c>
      <c r="C22" s="196" t="s">
        <v>240</v>
      </c>
      <c r="D22" s="235">
        <v>17352.0</v>
      </c>
      <c r="E22" s="235"/>
    </row>
    <row r="23" ht="14.25" customHeight="1">
      <c r="A23" s="196" t="s">
        <v>265</v>
      </c>
      <c r="B23" s="196" t="s">
        <v>266</v>
      </c>
      <c r="C23" s="196" t="s">
        <v>240</v>
      </c>
      <c r="D23" s="196">
        <v>178.67</v>
      </c>
      <c r="E23" s="235"/>
    </row>
    <row r="24" ht="14.25" customHeight="1">
      <c r="A24" s="196" t="s">
        <v>267</v>
      </c>
      <c r="B24" s="196" t="s">
        <v>239</v>
      </c>
      <c r="C24" s="196" t="s">
        <v>240</v>
      </c>
      <c r="D24" s="235">
        <v>10001.15</v>
      </c>
      <c r="E24" s="196"/>
    </row>
    <row r="25" ht="14.25" customHeight="1">
      <c r="A25" s="196" t="s">
        <v>241</v>
      </c>
      <c r="B25" s="196" t="s">
        <v>255</v>
      </c>
      <c r="C25" s="196" t="s">
        <v>240</v>
      </c>
      <c r="D25" s="235">
        <v>28434.54</v>
      </c>
      <c r="E25" s="235"/>
    </row>
    <row r="26" ht="14.25" customHeight="1">
      <c r="E26" s="235"/>
    </row>
    <row r="27" ht="14.25" customHeight="1">
      <c r="A27" s="196" t="s">
        <v>268</v>
      </c>
      <c r="E27" s="196"/>
      <c r="F27" s="235"/>
      <c r="G27" s="196"/>
    </row>
    <row r="28" ht="14.25" customHeight="1">
      <c r="A28" s="196" t="s">
        <v>269</v>
      </c>
      <c r="B28" s="196" t="s">
        <v>270</v>
      </c>
      <c r="C28" s="196" t="s">
        <v>240</v>
      </c>
      <c r="D28" s="235">
        <v>7500.0</v>
      </c>
      <c r="E28" s="196"/>
      <c r="F28" s="235"/>
      <c r="G28" s="196"/>
    </row>
    <row r="29" ht="14.25" customHeight="1">
      <c r="A29" s="196" t="s">
        <v>271</v>
      </c>
      <c r="B29" s="196" t="s">
        <v>255</v>
      </c>
      <c r="C29" s="196" t="s">
        <v>240</v>
      </c>
      <c r="D29" s="235">
        <v>7500.0</v>
      </c>
      <c r="E29" s="196"/>
      <c r="F29" s="235"/>
      <c r="G29" s="196"/>
    </row>
    <row r="30" ht="14.25" customHeight="1">
      <c r="E30" s="196"/>
      <c r="F30" s="235"/>
      <c r="G30" s="196" t="s">
        <v>272</v>
      </c>
      <c r="I30" s="245" t="str">
        <f>A7</f>
        <v>Merrill Lynch Merrill Edge-CMA-Edgex2085-CMA-x-2085</v>
      </c>
      <c r="K30" s="245" t="str">
        <f>A6</f>
        <v>Robinhood-Robinhood Brokerage-brokerageCash-x-8271</v>
      </c>
      <c r="L30" s="245" t="str">
        <f>A8</f>
        <v>Chase-Self-Directed-individual-x-3098</v>
      </c>
    </row>
    <row r="31" ht="14.25" customHeight="1">
      <c r="A31" s="196" t="s">
        <v>273</v>
      </c>
      <c r="B31" s="196" t="s">
        <v>255</v>
      </c>
      <c r="C31" s="196" t="s">
        <v>240</v>
      </c>
      <c r="D31" s="235">
        <v>101397.63</v>
      </c>
      <c r="E31" s="196"/>
      <c r="F31" s="235"/>
      <c r="G31" s="196" t="s">
        <v>274</v>
      </c>
      <c r="H31" s="196">
        <v>190.0</v>
      </c>
      <c r="I31" s="196">
        <v>347.38</v>
      </c>
      <c r="K31" s="196">
        <f>6.2*173</f>
        <v>1072.6</v>
      </c>
    </row>
    <row r="32" ht="14.25" customHeight="1">
      <c r="E32" s="196"/>
      <c r="F32" s="235"/>
      <c r="G32" s="196" t="s">
        <v>275</v>
      </c>
      <c r="H32" s="196">
        <v>150.0</v>
      </c>
      <c r="I32" s="196">
        <v>110.0</v>
      </c>
      <c r="J32" s="196">
        <f>H32/36.97</f>
        <v>4.057343792</v>
      </c>
      <c r="K32" s="196">
        <v>152.0</v>
      </c>
    </row>
    <row r="33" ht="14.25" customHeight="1">
      <c r="A33" s="196" t="s">
        <v>276</v>
      </c>
      <c r="B33" s="196" t="s">
        <v>233</v>
      </c>
      <c r="C33" s="196" t="s">
        <v>234</v>
      </c>
      <c r="D33" s="196" t="s">
        <v>235</v>
      </c>
      <c r="E33" s="196"/>
      <c r="F33" s="235"/>
      <c r="G33" s="196" t="s">
        <v>277</v>
      </c>
      <c r="H33" s="196">
        <v>20.0</v>
      </c>
      <c r="K33" s="196">
        <v>450.0</v>
      </c>
    </row>
    <row r="34" ht="14.25" customHeight="1">
      <c r="E34" s="196"/>
      <c r="F34" s="235"/>
      <c r="G34" s="196" t="s">
        <v>278</v>
      </c>
      <c r="H34" s="196">
        <v>80.0</v>
      </c>
      <c r="I34" s="196">
        <v>154.69</v>
      </c>
      <c r="K34" s="196">
        <v>1000.0</v>
      </c>
    </row>
    <row r="35" ht="14.25" customHeight="1">
      <c r="A35" s="196" t="s">
        <v>279</v>
      </c>
      <c r="E35" s="196"/>
      <c r="F35" s="235"/>
      <c r="G35" s="196" t="s">
        <v>280</v>
      </c>
      <c r="H35" s="196">
        <v>250.0</v>
      </c>
      <c r="I35" s="196">
        <v>212.3</v>
      </c>
    </row>
    <row r="36" ht="14.25" customHeight="1">
      <c r="A36" s="196" t="s">
        <v>281</v>
      </c>
      <c r="B36" s="196" t="s">
        <v>239</v>
      </c>
      <c r="C36" s="196" t="s">
        <v>240</v>
      </c>
      <c r="D36" s="196">
        <v>0.0</v>
      </c>
      <c r="E36" s="196"/>
      <c r="F36" s="235"/>
      <c r="G36" s="196" t="s">
        <v>282</v>
      </c>
      <c r="H36" s="196">
        <v>450.0</v>
      </c>
      <c r="K36" s="196">
        <v>1000.0</v>
      </c>
    </row>
    <row r="37" ht="14.25" customHeight="1">
      <c r="A37" s="196" t="s">
        <v>283</v>
      </c>
      <c r="B37" s="196" t="s">
        <v>239</v>
      </c>
      <c r="C37" s="196" t="s">
        <v>240</v>
      </c>
      <c r="D37" s="196">
        <v>0.0</v>
      </c>
      <c r="E37" s="196"/>
      <c r="F37" s="235"/>
      <c r="G37" s="196" t="s">
        <v>284</v>
      </c>
      <c r="H37" s="196">
        <v>322.0</v>
      </c>
      <c r="I37" s="196">
        <v>494.0</v>
      </c>
    </row>
    <row r="38" ht="14.25" customHeight="1">
      <c r="A38" s="196" t="s">
        <v>285</v>
      </c>
      <c r="B38" s="196" t="s">
        <v>258</v>
      </c>
      <c r="C38" s="196" t="s">
        <v>240</v>
      </c>
      <c r="D38" s="235">
        <v>3465.34</v>
      </c>
      <c r="E38" s="246"/>
      <c r="G38" s="196" t="s">
        <v>286</v>
      </c>
      <c r="H38" s="196">
        <v>167.0</v>
      </c>
      <c r="K38" s="196">
        <f>4*122</f>
        <v>488</v>
      </c>
    </row>
    <row r="39" ht="14.25" customHeight="1">
      <c r="A39" s="196" t="s">
        <v>287</v>
      </c>
      <c r="B39" s="196" t="s">
        <v>258</v>
      </c>
      <c r="C39" s="196" t="s">
        <v>240</v>
      </c>
      <c r="D39" s="235">
        <v>10318.95</v>
      </c>
      <c r="G39" s="196" t="s">
        <v>288</v>
      </c>
      <c r="K39" s="196">
        <f>3.135147*397</f>
        <v>1244.653359</v>
      </c>
    </row>
    <row r="40" ht="14.25" customHeight="1">
      <c r="A40" s="196" t="s">
        <v>289</v>
      </c>
      <c r="B40" s="196" t="s">
        <v>290</v>
      </c>
      <c r="C40" s="196" t="s">
        <v>240</v>
      </c>
      <c r="D40" s="196">
        <v>0.0</v>
      </c>
      <c r="G40" s="196" t="s">
        <v>291</v>
      </c>
      <c r="K40" s="196">
        <v>223.0</v>
      </c>
      <c r="L40" s="196">
        <f>2*454.5</f>
        <v>909</v>
      </c>
    </row>
    <row r="41" ht="14.25" customHeight="1">
      <c r="A41" s="196" t="s">
        <v>292</v>
      </c>
      <c r="B41" s="196" t="s">
        <v>293</v>
      </c>
      <c r="C41" s="196" t="s">
        <v>240</v>
      </c>
      <c r="D41" s="196">
        <v>0.0</v>
      </c>
      <c r="G41" s="196" t="s">
        <v>294</v>
      </c>
      <c r="K41" s="196">
        <v>313.0</v>
      </c>
    </row>
    <row r="42" ht="14.25" customHeight="1">
      <c r="A42" s="196" t="s">
        <v>295</v>
      </c>
      <c r="B42" s="196" t="s">
        <v>258</v>
      </c>
      <c r="C42" s="196" t="s">
        <v>240</v>
      </c>
      <c r="D42" s="196">
        <v>-27.28</v>
      </c>
      <c r="E42" s="196"/>
      <c r="G42" s="196" t="s">
        <v>296</v>
      </c>
      <c r="K42" s="196">
        <v>430.0</v>
      </c>
    </row>
    <row r="43" ht="14.25" customHeight="1">
      <c r="A43" s="196" t="s">
        <v>297</v>
      </c>
      <c r="B43" s="196" t="s">
        <v>298</v>
      </c>
      <c r="C43" s="196" t="s">
        <v>240</v>
      </c>
      <c r="D43" s="196">
        <v>0.0</v>
      </c>
      <c r="E43" s="196"/>
      <c r="G43" s="196" t="s">
        <v>299</v>
      </c>
      <c r="K43" s="196">
        <v>300.0</v>
      </c>
    </row>
    <row r="44" ht="14.25" customHeight="1">
      <c r="A44" s="196" t="s">
        <v>300</v>
      </c>
      <c r="B44" s="196" t="s">
        <v>290</v>
      </c>
      <c r="C44" s="196" t="s">
        <v>240</v>
      </c>
      <c r="D44" s="196">
        <v>0.0</v>
      </c>
      <c r="E44" s="196"/>
      <c r="H44" s="196">
        <f t="shared" ref="H44:I44" si="2">SUM(H29:H43)</f>
        <v>1629</v>
      </c>
      <c r="I44" s="196">
        <f t="shared" si="2"/>
        <v>1318.37</v>
      </c>
      <c r="K44" s="196">
        <f t="shared" ref="K44:L44" si="3">SUM(K29:K43)</f>
        <v>6673.253359</v>
      </c>
      <c r="L44" s="196">
        <f t="shared" si="3"/>
        <v>909</v>
      </c>
      <c r="M44" s="196">
        <f>SUM(I44:L44)</f>
        <v>8900.623359</v>
      </c>
    </row>
    <row r="45" ht="14.25" customHeight="1">
      <c r="A45" s="196" t="s">
        <v>301</v>
      </c>
      <c r="B45" s="196" t="s">
        <v>239</v>
      </c>
      <c r="C45" s="196" t="s">
        <v>240</v>
      </c>
      <c r="D45" s="196">
        <v>266.43</v>
      </c>
      <c r="E45" s="196"/>
    </row>
    <row r="46" ht="14.25" customHeight="1">
      <c r="A46" s="196" t="s">
        <v>302</v>
      </c>
      <c r="B46" s="196" t="s">
        <v>239</v>
      </c>
      <c r="C46" s="196" t="s">
        <v>240</v>
      </c>
      <c r="D46" s="196">
        <v>0.0</v>
      </c>
      <c r="E46" s="196"/>
      <c r="I46" s="196" t="s">
        <v>303</v>
      </c>
      <c r="J46" s="196">
        <v>2300.0</v>
      </c>
      <c r="M46" s="196">
        <f>SUM(J46+M44)</f>
        <v>11200.62336</v>
      </c>
      <c r="N46" s="196" t="s">
        <v>304</v>
      </c>
    </row>
    <row r="47" ht="14.25" customHeight="1">
      <c r="A47" s="196" t="s">
        <v>305</v>
      </c>
      <c r="B47" s="196" t="s">
        <v>239</v>
      </c>
      <c r="C47" s="196" t="s">
        <v>240</v>
      </c>
      <c r="D47" s="196">
        <v>0.0</v>
      </c>
      <c r="E47" s="196"/>
    </row>
    <row r="48" ht="14.25" customHeight="1">
      <c r="A48" s="196" t="s">
        <v>306</v>
      </c>
      <c r="B48" s="196" t="s">
        <v>307</v>
      </c>
      <c r="C48" s="196" t="s">
        <v>240</v>
      </c>
      <c r="D48" s="196">
        <v>0.0</v>
      </c>
    </row>
    <row r="49" ht="14.25" customHeight="1">
      <c r="A49" s="196" t="s">
        <v>308</v>
      </c>
      <c r="B49" s="196" t="s">
        <v>307</v>
      </c>
      <c r="C49" s="196" t="s">
        <v>240</v>
      </c>
      <c r="D49" s="196">
        <v>0.0</v>
      </c>
    </row>
    <row r="50" ht="14.25" customHeight="1">
      <c r="A50" s="196" t="s">
        <v>309</v>
      </c>
      <c r="B50" s="196" t="s">
        <v>307</v>
      </c>
      <c r="C50" s="196" t="s">
        <v>240</v>
      </c>
      <c r="D50" s="235">
        <v>7796.14</v>
      </c>
    </row>
    <row r="51" ht="14.25" customHeight="1">
      <c r="B51" s="196" t="s">
        <v>255</v>
      </c>
      <c r="C51" s="196" t="s">
        <v>240</v>
      </c>
      <c r="D51" s="235">
        <v>21819.58</v>
      </c>
    </row>
    <row r="52" ht="14.25" customHeight="1">
      <c r="A52" s="196" t="s">
        <v>245</v>
      </c>
      <c r="C52" s="196" t="s">
        <v>240</v>
      </c>
      <c r="D52" s="235">
        <f>D51-D45</f>
        <v>21553.15</v>
      </c>
    </row>
    <row r="53" ht="14.25" customHeight="1">
      <c r="A53" s="196" t="s">
        <v>310</v>
      </c>
    </row>
    <row r="54" ht="14.25" customHeight="1">
      <c r="A54" s="196" t="s">
        <v>311</v>
      </c>
      <c r="B54" s="196" t="s">
        <v>312</v>
      </c>
      <c r="C54" s="196" t="s">
        <v>240</v>
      </c>
      <c r="D54" s="235">
        <v>11700.0</v>
      </c>
    </row>
    <row r="55" ht="14.25" customHeight="1">
      <c r="A55" s="196" t="s">
        <v>313</v>
      </c>
      <c r="B55" s="196" t="s">
        <v>314</v>
      </c>
      <c r="C55" s="196" t="s">
        <v>240</v>
      </c>
      <c r="D55" s="235">
        <v>13917.5</v>
      </c>
    </row>
    <row r="56" ht="14.25" customHeight="1">
      <c r="A56" s="196" t="s">
        <v>315</v>
      </c>
      <c r="B56" s="196" t="s">
        <v>316</v>
      </c>
      <c r="C56" s="196" t="s">
        <v>240</v>
      </c>
      <c r="D56" s="235">
        <v>32199.0</v>
      </c>
    </row>
    <row r="57" ht="14.25" customHeight="1">
      <c r="A57" s="196" t="s">
        <v>317</v>
      </c>
      <c r="B57" s="196" t="s">
        <v>318</v>
      </c>
      <c r="C57" s="196" t="s">
        <v>240</v>
      </c>
      <c r="D57" s="235">
        <v>50000.0</v>
      </c>
    </row>
    <row r="58" ht="14.25" customHeight="1">
      <c r="A58" s="196" t="s">
        <v>319</v>
      </c>
      <c r="B58" s="196" t="s">
        <v>320</v>
      </c>
      <c r="C58" s="196" t="s">
        <v>240</v>
      </c>
      <c r="D58" s="235">
        <v>5658.0</v>
      </c>
      <c r="E58" s="235">
        <f>D55+D56+D57</f>
        <v>96116.5</v>
      </c>
    </row>
    <row r="59" ht="14.25" customHeight="1">
      <c r="A59" s="196" t="s">
        <v>321</v>
      </c>
      <c r="B59" s="196" t="s">
        <v>255</v>
      </c>
      <c r="C59" s="196" t="s">
        <v>240</v>
      </c>
      <c r="D59" s="235">
        <v>113474.5</v>
      </c>
    </row>
    <row r="60" ht="14.25" customHeight="1"/>
    <row r="61" ht="14.25" customHeight="1">
      <c r="A61" s="196" t="s">
        <v>322</v>
      </c>
    </row>
    <row r="62" ht="14.25" customHeight="1">
      <c r="A62" s="196" t="s">
        <v>323</v>
      </c>
      <c r="B62" s="196" t="s">
        <v>312</v>
      </c>
      <c r="C62" s="196" t="s">
        <v>240</v>
      </c>
      <c r="D62" s="235">
        <v>10090.0</v>
      </c>
    </row>
    <row r="63" ht="14.25" customHeight="1">
      <c r="A63" s="196" t="s">
        <v>324</v>
      </c>
      <c r="B63" s="196" t="s">
        <v>255</v>
      </c>
      <c r="C63" s="196" t="s">
        <v>240</v>
      </c>
      <c r="D63" s="235">
        <v>10090.0</v>
      </c>
    </row>
    <row r="64" ht="14.25" customHeight="1"/>
    <row r="65" ht="14.25" customHeight="1">
      <c r="A65" s="196" t="s">
        <v>325</v>
      </c>
      <c r="B65" s="196" t="s">
        <v>255</v>
      </c>
      <c r="C65" s="196" t="s">
        <v>240</v>
      </c>
      <c r="D65" s="235">
        <v>145384.08</v>
      </c>
      <c r="E65" s="233">
        <f>G10-D65</f>
        <v>-54377.79</v>
      </c>
    </row>
    <row r="66" ht="14.25" customHeight="1"/>
    <row r="67" ht="14.25" customHeight="1">
      <c r="A67" s="196" t="s">
        <v>326</v>
      </c>
      <c r="B67" s="196" t="s">
        <v>255</v>
      </c>
      <c r="C67" s="196" t="s">
        <v>240</v>
      </c>
      <c r="D67" s="235">
        <v>-43986.45</v>
      </c>
    </row>
    <row r="68" ht="14.25" customHeight="1">
      <c r="B68" s="247"/>
    </row>
    <row r="69" ht="14.25" customHeight="1">
      <c r="B69" s="247"/>
    </row>
    <row r="70" ht="14.25" customHeight="1">
      <c r="B70" s="247"/>
    </row>
    <row r="71" ht="14.25" customHeight="1">
      <c r="B71" s="247"/>
    </row>
    <row r="72" ht="14.25" customHeight="1">
      <c r="B72" s="247"/>
    </row>
    <row r="73" ht="14.25" customHeight="1">
      <c r="B73" s="247"/>
    </row>
    <row r="74" ht="14.25" customHeight="1">
      <c r="B74" s="247"/>
    </row>
    <row r="75" ht="14.25" customHeight="1">
      <c r="B75" s="247"/>
    </row>
    <row r="76" ht="14.25" customHeight="1">
      <c r="B76" s="247"/>
    </row>
    <row r="77" ht="14.25" customHeight="1">
      <c r="B77" s="247"/>
    </row>
    <row r="78" ht="14.25" customHeight="1">
      <c r="B78" s="247"/>
    </row>
    <row r="79" ht="14.25" customHeight="1">
      <c r="B79" s="247"/>
    </row>
    <row r="80" ht="14.25" customHeight="1">
      <c r="B80" s="247"/>
    </row>
    <row r="81" ht="14.25" customHeight="1">
      <c r="B81" s="247"/>
    </row>
    <row r="82" ht="14.25" customHeight="1">
      <c r="B82" s="247"/>
    </row>
    <row r="83" ht="14.25" customHeight="1">
      <c r="B83" s="247"/>
    </row>
    <row r="84" ht="14.25" customHeight="1">
      <c r="B84" s="247"/>
    </row>
    <row r="85" ht="14.25" customHeight="1">
      <c r="B85" s="247"/>
    </row>
    <row r="86" ht="14.25" customHeight="1">
      <c r="B86" s="247"/>
    </row>
    <row r="87" ht="14.25" customHeight="1">
      <c r="B87" s="247"/>
    </row>
    <row r="88" ht="14.25" customHeight="1">
      <c r="B88" s="247"/>
    </row>
    <row r="89" ht="14.25" customHeight="1">
      <c r="B89" s="247"/>
    </row>
    <row r="90" ht="14.25" customHeight="1">
      <c r="B90" s="247"/>
    </row>
    <row r="91" ht="14.25" customHeight="1">
      <c r="B91" s="247"/>
    </row>
    <row r="92" ht="14.25" customHeight="1">
      <c r="B92" s="247"/>
    </row>
    <row r="93" ht="14.25" customHeight="1">
      <c r="B93" s="247"/>
    </row>
    <row r="94" ht="14.25" customHeight="1">
      <c r="B94" s="247"/>
    </row>
    <row r="95" ht="14.25" customHeight="1">
      <c r="B95" s="247"/>
    </row>
    <row r="96" ht="14.25" customHeight="1">
      <c r="B96" s="247"/>
    </row>
    <row r="97" ht="14.25" customHeight="1">
      <c r="B97" s="247"/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5" width="13.43"/>
    <col customWidth="1" min="6" max="6" width="22.71"/>
    <col customWidth="1" min="8" max="8" width="36.86"/>
    <col customWidth="1" min="9" max="9" width="12.29"/>
    <col customWidth="1" min="10" max="10" width="15.71"/>
    <col customWidth="1" min="11" max="14" width="8.71"/>
  </cols>
  <sheetData>
    <row r="1">
      <c r="A1" s="196" t="s">
        <v>230</v>
      </c>
    </row>
    <row r="2">
      <c r="A2" s="196" t="s">
        <v>231</v>
      </c>
    </row>
    <row r="3">
      <c r="A3" s="196" t="s">
        <v>232</v>
      </c>
      <c r="B3" s="196" t="s">
        <v>233</v>
      </c>
      <c r="C3" s="196" t="s">
        <v>234</v>
      </c>
      <c r="D3" s="196" t="s">
        <v>235</v>
      </c>
      <c r="G3" s="195" t="s">
        <v>134</v>
      </c>
      <c r="H3" s="195" t="s">
        <v>135</v>
      </c>
      <c r="I3" s="195" t="s">
        <v>92</v>
      </c>
    </row>
    <row r="4">
      <c r="F4" s="196" t="s">
        <v>136</v>
      </c>
      <c r="G4" s="197">
        <f>D6+D7+D8+D9</f>
        <v>36371.61</v>
      </c>
      <c r="H4" s="197">
        <f>D11+D12</f>
        <v>5072.84</v>
      </c>
      <c r="I4" s="197">
        <f t="shared" ref="I4:I6" si="1">G4+H4</f>
        <v>41444.45</v>
      </c>
    </row>
    <row r="5">
      <c r="A5" s="196" t="s">
        <v>236</v>
      </c>
      <c r="F5" s="198" t="s">
        <v>237</v>
      </c>
      <c r="G5" s="197">
        <v>19200.0</v>
      </c>
      <c r="H5" s="197">
        <f>D10+1400</f>
        <v>6436</v>
      </c>
      <c r="I5" s="197">
        <f t="shared" si="1"/>
        <v>25636</v>
      </c>
    </row>
    <row r="6">
      <c r="A6" s="196" t="s">
        <v>238</v>
      </c>
      <c r="B6" s="196" t="s">
        <v>327</v>
      </c>
      <c r="C6" s="196" t="s">
        <v>240</v>
      </c>
      <c r="D6" s="235">
        <v>13511.24</v>
      </c>
      <c r="F6" s="196" t="s">
        <v>241</v>
      </c>
      <c r="G6" s="197">
        <f>VLOOKUP(F6,A5:D32,4,FALSE)</f>
        <v>19668.51</v>
      </c>
      <c r="I6" s="197">
        <f t="shared" si="1"/>
        <v>19668.51</v>
      </c>
      <c r="J6" s="197">
        <f>G5+G6+H7</f>
        <v>53252.19</v>
      </c>
    </row>
    <row r="7" ht="13.5" customHeight="1">
      <c r="A7" s="196" t="s">
        <v>242</v>
      </c>
      <c r="B7" s="196" t="s">
        <v>327</v>
      </c>
      <c r="C7" s="196" t="s">
        <v>240</v>
      </c>
      <c r="D7" s="235">
        <v>20826.16</v>
      </c>
      <c r="E7" s="196"/>
      <c r="F7" s="196" t="s">
        <v>139</v>
      </c>
      <c r="G7" s="197">
        <f>SUM(G4:G6)</f>
        <v>75240.12</v>
      </c>
      <c r="H7" s="197">
        <f>D13</f>
        <v>14383.68</v>
      </c>
      <c r="I7" s="197">
        <f>SUM(I4:I6)</f>
        <v>86748.96</v>
      </c>
      <c r="J7" s="197">
        <f>G8*0.047</f>
        <v>-853.191</v>
      </c>
    </row>
    <row r="8" ht="14.25" customHeight="1">
      <c r="A8" s="196" t="s">
        <v>244</v>
      </c>
      <c r="B8" s="196" t="s">
        <v>327</v>
      </c>
      <c r="C8" s="196" t="s">
        <v>240</v>
      </c>
      <c r="D8" s="235">
        <v>1981.39</v>
      </c>
      <c r="F8" s="199" t="s">
        <v>245</v>
      </c>
      <c r="G8" s="200">
        <f>-VLOOKUP(F8,A36:D55,4,)</f>
        <v>-18153</v>
      </c>
      <c r="H8" s="199"/>
      <c r="I8" s="200">
        <f>G7+G8+H7</f>
        <v>71470.8</v>
      </c>
      <c r="J8" s="199" t="s">
        <v>141</v>
      </c>
    </row>
    <row r="9" ht="14.25" customHeight="1">
      <c r="A9" s="196" t="s">
        <v>246</v>
      </c>
      <c r="B9" s="196" t="s">
        <v>327</v>
      </c>
      <c r="C9" s="196" t="s">
        <v>240</v>
      </c>
      <c r="D9" s="196">
        <v>52.82</v>
      </c>
      <c r="E9" s="196">
        <f>600+600</f>
        <v>1200</v>
      </c>
      <c r="F9" s="198" t="s">
        <v>328</v>
      </c>
      <c r="G9" s="248">
        <f>E9/montly!D24</f>
        <v>0.3483062549</v>
      </c>
      <c r="H9" s="197"/>
      <c r="I9" s="197"/>
    </row>
    <row r="10" ht="14.25" customHeight="1">
      <c r="A10" s="196" t="s">
        <v>247</v>
      </c>
      <c r="B10" s="196" t="s">
        <v>248</v>
      </c>
      <c r="C10" s="196" t="s">
        <v>240</v>
      </c>
      <c r="D10" s="235">
        <v>5036.0</v>
      </c>
      <c r="E10" s="196"/>
      <c r="F10" s="243" t="s">
        <v>329</v>
      </c>
      <c r="G10" s="244">
        <f>I7</f>
        <v>86748.96</v>
      </c>
      <c r="H10" s="244">
        <f>G10+H7</f>
        <v>101132.64</v>
      </c>
    </row>
    <row r="11" ht="14.25" customHeight="1">
      <c r="A11" s="196" t="s">
        <v>249</v>
      </c>
      <c r="B11" s="196" t="s">
        <v>330</v>
      </c>
      <c r="C11" s="196" t="s">
        <v>240</v>
      </c>
      <c r="D11" s="235">
        <v>1422.18</v>
      </c>
      <c r="E11" s="196"/>
      <c r="F11" s="196" t="s">
        <v>138</v>
      </c>
      <c r="G11" s="196" t="s">
        <v>331</v>
      </c>
      <c r="H11" s="196" t="s">
        <v>157</v>
      </c>
      <c r="I11" s="196" t="s">
        <v>332</v>
      </c>
    </row>
    <row r="12" ht="14.25" customHeight="1">
      <c r="A12" s="196" t="s">
        <v>251</v>
      </c>
      <c r="B12" s="196" t="s">
        <v>330</v>
      </c>
      <c r="C12" s="196" t="s">
        <v>240</v>
      </c>
      <c r="D12" s="235">
        <v>3650.66</v>
      </c>
      <c r="E12" s="196"/>
      <c r="F12" s="197">
        <f>G6</f>
        <v>19668.51</v>
      </c>
      <c r="G12" s="197">
        <f>I5</f>
        <v>25636</v>
      </c>
      <c r="H12" s="197">
        <f>I4</f>
        <v>41444.45</v>
      </c>
      <c r="I12" s="197">
        <f>H7</f>
        <v>14383.68</v>
      </c>
      <c r="J12" s="197">
        <f>SUM(F12:I12)</f>
        <v>101132.64</v>
      </c>
    </row>
    <row r="13" ht="14.25" customHeight="1">
      <c r="A13" s="196" t="s">
        <v>252</v>
      </c>
      <c r="B13" s="196" t="s">
        <v>253</v>
      </c>
      <c r="C13" s="196" t="s">
        <v>240</v>
      </c>
      <c r="D13" s="235">
        <v>14383.68</v>
      </c>
      <c r="E13" s="196"/>
    </row>
    <row r="14" ht="14.25" customHeight="1">
      <c r="A14" s="196" t="s">
        <v>254</v>
      </c>
      <c r="B14" s="196" t="s">
        <v>255</v>
      </c>
      <c r="C14" s="196" t="s">
        <v>240</v>
      </c>
      <c r="D14" s="235">
        <v>60864.13</v>
      </c>
      <c r="E14" s="196"/>
    </row>
    <row r="15" ht="14.25" customHeight="1">
      <c r="E15" s="196"/>
    </row>
    <row r="16" ht="14.25" customHeight="1">
      <c r="A16" s="196" t="s">
        <v>256</v>
      </c>
      <c r="E16" s="196"/>
    </row>
    <row r="17" ht="14.25" customHeight="1">
      <c r="A17" s="196" t="s">
        <v>257</v>
      </c>
      <c r="B17" s="196" t="s">
        <v>327</v>
      </c>
      <c r="C17" s="196" t="s">
        <v>240</v>
      </c>
      <c r="D17" s="235">
        <v>5966.15</v>
      </c>
      <c r="E17" s="196"/>
    </row>
    <row r="18" ht="14.25" customHeight="1">
      <c r="A18" s="196" t="s">
        <v>259</v>
      </c>
      <c r="B18" s="196" t="s">
        <v>327</v>
      </c>
      <c r="C18" s="196" t="s">
        <v>240</v>
      </c>
      <c r="D18" s="196">
        <v>59.47</v>
      </c>
      <c r="E18" s="196"/>
    </row>
    <row r="19" ht="14.25" customHeight="1">
      <c r="A19" s="196" t="s">
        <v>260</v>
      </c>
      <c r="B19" s="196" t="s">
        <v>327</v>
      </c>
      <c r="C19" s="196" t="s">
        <v>240</v>
      </c>
      <c r="D19" s="196">
        <v>95.65</v>
      </c>
      <c r="E19" s="235"/>
    </row>
    <row r="20" ht="14.25" customHeight="1">
      <c r="A20" s="196" t="s">
        <v>261</v>
      </c>
      <c r="B20" s="196" t="s">
        <v>327</v>
      </c>
      <c r="C20" s="196" t="s">
        <v>240</v>
      </c>
      <c r="D20" s="196">
        <v>520.4</v>
      </c>
      <c r="E20" s="196"/>
    </row>
    <row r="21" ht="14.25" customHeight="1">
      <c r="A21" s="196" t="s">
        <v>262</v>
      </c>
      <c r="B21" s="196" t="s">
        <v>263</v>
      </c>
      <c r="C21" s="196" t="s">
        <v>240</v>
      </c>
      <c r="D21" s="196">
        <v>0.0</v>
      </c>
      <c r="E21" s="235"/>
    </row>
    <row r="22" ht="14.25" customHeight="1">
      <c r="A22" s="196" t="s">
        <v>333</v>
      </c>
      <c r="B22" s="196" t="s">
        <v>327</v>
      </c>
      <c r="C22" s="196" t="s">
        <v>240</v>
      </c>
      <c r="D22" s="196">
        <v>549.59</v>
      </c>
      <c r="E22" s="235"/>
    </row>
    <row r="23" ht="14.25" customHeight="1">
      <c r="A23" s="196" t="s">
        <v>264</v>
      </c>
      <c r="B23" s="196" t="s">
        <v>327</v>
      </c>
      <c r="C23" s="196" t="s">
        <v>240</v>
      </c>
      <c r="D23" s="235">
        <v>2942.0</v>
      </c>
      <c r="E23" s="235"/>
    </row>
    <row r="24" ht="14.25" customHeight="1">
      <c r="A24" s="196" t="s">
        <v>334</v>
      </c>
      <c r="B24" s="196" t="s">
        <v>327</v>
      </c>
      <c r="C24" s="196" t="s">
        <v>240</v>
      </c>
      <c r="D24" s="235">
        <v>5163.27</v>
      </c>
      <c r="E24" s="235"/>
    </row>
    <row r="25" ht="14.25" customHeight="1">
      <c r="A25" s="196" t="s">
        <v>265</v>
      </c>
      <c r="B25" s="196" t="s">
        <v>335</v>
      </c>
      <c r="C25" s="196" t="s">
        <v>240</v>
      </c>
      <c r="D25" s="196">
        <v>179.34</v>
      </c>
      <c r="E25" s="235"/>
    </row>
    <row r="26" ht="14.25" customHeight="1">
      <c r="A26" s="196" t="s">
        <v>267</v>
      </c>
      <c r="B26" s="196" t="s">
        <v>327</v>
      </c>
      <c r="C26" s="196" t="s">
        <v>240</v>
      </c>
      <c r="D26" s="235">
        <v>10001.15</v>
      </c>
      <c r="E26" s="196"/>
    </row>
    <row r="27" ht="14.25" customHeight="1">
      <c r="B27" s="196" t="s">
        <v>255</v>
      </c>
      <c r="C27" s="196" t="s">
        <v>240</v>
      </c>
      <c r="D27" s="235">
        <v>25477.02</v>
      </c>
      <c r="E27" s="235"/>
    </row>
    <row r="28" ht="14.25" customHeight="1">
      <c r="A28" s="196" t="s">
        <v>241</v>
      </c>
      <c r="D28" s="235">
        <f>D17+D23+D25+D26+D18+D20+D21</f>
        <v>19668.51</v>
      </c>
      <c r="E28" s="235"/>
    </row>
    <row r="29" ht="14.25" customHeight="1">
      <c r="E29" s="235"/>
    </row>
    <row r="30" ht="14.25" customHeight="1">
      <c r="A30" s="196" t="s">
        <v>268</v>
      </c>
      <c r="E30" s="196"/>
      <c r="F30" s="235"/>
      <c r="G30" s="196"/>
    </row>
    <row r="31" ht="14.25" customHeight="1">
      <c r="A31" s="196" t="s">
        <v>269</v>
      </c>
      <c r="B31" s="196" t="s">
        <v>270</v>
      </c>
      <c r="C31" s="196" t="s">
        <v>240</v>
      </c>
      <c r="D31" s="235">
        <v>7500.0</v>
      </c>
      <c r="E31" s="196"/>
      <c r="F31" s="235"/>
      <c r="G31" s="196"/>
    </row>
    <row r="32" ht="14.25" customHeight="1">
      <c r="A32" s="196" t="s">
        <v>271</v>
      </c>
      <c r="B32" s="196" t="s">
        <v>255</v>
      </c>
      <c r="C32" s="196" t="s">
        <v>240</v>
      </c>
      <c r="D32" s="235">
        <v>7500.0</v>
      </c>
      <c r="E32" s="196"/>
      <c r="F32" s="235"/>
      <c r="G32" s="196"/>
    </row>
    <row r="33" ht="14.25" customHeight="1">
      <c r="E33" s="196"/>
      <c r="F33" s="235"/>
      <c r="G33" s="196" t="s">
        <v>272</v>
      </c>
      <c r="I33" s="245" t="str">
        <f>A7</f>
        <v>Merrill Lynch Merrill Edge-CMA-Edgex2085-CMA-x-2085</v>
      </c>
      <c r="K33" s="245" t="str">
        <f>A6</f>
        <v>Robinhood-Robinhood Brokerage-brokerageCash-x-8271</v>
      </c>
      <c r="L33" s="245" t="str">
        <f>A8</f>
        <v>Chase-Self-Directed-individual-x-3098</v>
      </c>
    </row>
    <row r="34" ht="14.25" customHeight="1">
      <c r="A34" s="196" t="s">
        <v>273</v>
      </c>
      <c r="B34" s="196" t="s">
        <v>255</v>
      </c>
      <c r="C34" s="196" t="s">
        <v>240</v>
      </c>
      <c r="D34" s="235">
        <v>93841.15</v>
      </c>
      <c r="E34" s="196"/>
      <c r="F34" s="235"/>
      <c r="G34" s="196" t="s">
        <v>274</v>
      </c>
      <c r="H34" s="196">
        <v>190.0</v>
      </c>
      <c r="I34" s="196">
        <v>347.38</v>
      </c>
      <c r="K34" s="196">
        <f>6.2*173</f>
        <v>1072.6</v>
      </c>
    </row>
    <row r="35" ht="14.25" customHeight="1">
      <c r="E35" s="196"/>
      <c r="F35" s="235"/>
      <c r="G35" s="196" t="s">
        <v>275</v>
      </c>
      <c r="H35" s="196">
        <v>150.0</v>
      </c>
      <c r="I35" s="196">
        <v>110.0</v>
      </c>
      <c r="J35" s="196">
        <f>H35/36.97</f>
        <v>4.057343792</v>
      </c>
      <c r="K35" s="196">
        <v>152.0</v>
      </c>
    </row>
    <row r="36" ht="14.25" customHeight="1">
      <c r="A36" s="196" t="s">
        <v>276</v>
      </c>
      <c r="B36" s="196" t="s">
        <v>233</v>
      </c>
      <c r="C36" s="196" t="s">
        <v>234</v>
      </c>
      <c r="D36" s="196" t="s">
        <v>235</v>
      </c>
      <c r="E36" s="196"/>
      <c r="F36" s="235"/>
      <c r="G36" s="196" t="s">
        <v>277</v>
      </c>
      <c r="H36" s="196">
        <v>20.0</v>
      </c>
      <c r="K36" s="196">
        <v>450.0</v>
      </c>
    </row>
    <row r="37" ht="14.25" customHeight="1">
      <c r="E37" s="196"/>
      <c r="F37" s="235"/>
      <c r="G37" s="196" t="s">
        <v>278</v>
      </c>
      <c r="H37" s="196">
        <v>80.0</v>
      </c>
      <c r="I37" s="196">
        <v>154.69</v>
      </c>
      <c r="K37" s="196">
        <v>1000.0</v>
      </c>
    </row>
    <row r="38" ht="14.25" customHeight="1">
      <c r="A38" s="196" t="s">
        <v>279</v>
      </c>
      <c r="E38" s="196"/>
      <c r="F38" s="235"/>
      <c r="G38" s="196" t="s">
        <v>280</v>
      </c>
      <c r="H38" s="196">
        <v>250.0</v>
      </c>
      <c r="I38" s="196">
        <v>212.3</v>
      </c>
    </row>
    <row r="39" ht="14.25" customHeight="1">
      <c r="A39" s="196" t="s">
        <v>281</v>
      </c>
      <c r="B39" s="196" t="s">
        <v>327</v>
      </c>
      <c r="C39" s="196" t="s">
        <v>240</v>
      </c>
      <c r="D39" s="196">
        <v>0.0</v>
      </c>
      <c r="E39" s="196"/>
      <c r="F39" s="235"/>
      <c r="G39" s="196" t="s">
        <v>282</v>
      </c>
      <c r="H39" s="196">
        <v>450.0</v>
      </c>
      <c r="K39" s="196">
        <v>1000.0</v>
      </c>
    </row>
    <row r="40" ht="14.25" customHeight="1">
      <c r="A40" s="196" t="s">
        <v>283</v>
      </c>
      <c r="B40" s="196" t="s">
        <v>327</v>
      </c>
      <c r="C40" s="196" t="s">
        <v>240</v>
      </c>
      <c r="D40" s="196">
        <v>0.0</v>
      </c>
      <c r="E40" s="196"/>
      <c r="F40" s="235"/>
      <c r="G40" s="196" t="s">
        <v>284</v>
      </c>
      <c r="H40" s="196">
        <v>322.0</v>
      </c>
      <c r="I40" s="196">
        <v>494.0</v>
      </c>
    </row>
    <row r="41" ht="14.25" customHeight="1">
      <c r="A41" s="196" t="s">
        <v>285</v>
      </c>
      <c r="B41" s="196" t="s">
        <v>327</v>
      </c>
      <c r="C41" s="196" t="s">
        <v>240</v>
      </c>
      <c r="D41" s="235">
        <v>7261.38</v>
      </c>
      <c r="E41" s="246"/>
      <c r="G41" s="196" t="s">
        <v>286</v>
      </c>
      <c r="H41" s="196">
        <v>167.0</v>
      </c>
      <c r="K41" s="196">
        <f>4*122</f>
        <v>488</v>
      </c>
    </row>
    <row r="42" ht="14.25" customHeight="1">
      <c r="A42" s="196" t="s">
        <v>287</v>
      </c>
      <c r="B42" s="196" t="s">
        <v>327</v>
      </c>
      <c r="C42" s="196" t="s">
        <v>240</v>
      </c>
      <c r="D42" s="235">
        <v>3008.7</v>
      </c>
      <c r="G42" s="196" t="s">
        <v>288</v>
      </c>
      <c r="K42" s="196">
        <f>3.135147*397</f>
        <v>1244.653359</v>
      </c>
    </row>
    <row r="43" ht="14.25" customHeight="1">
      <c r="A43" s="196" t="s">
        <v>289</v>
      </c>
      <c r="B43" s="196" t="s">
        <v>290</v>
      </c>
      <c r="C43" s="196" t="s">
        <v>240</v>
      </c>
      <c r="D43" s="196">
        <v>0.0</v>
      </c>
      <c r="G43" s="196" t="s">
        <v>291</v>
      </c>
      <c r="K43" s="196">
        <v>223.0</v>
      </c>
      <c r="L43" s="196">
        <f>2*454.5</f>
        <v>909</v>
      </c>
    </row>
    <row r="44" ht="14.25" customHeight="1">
      <c r="A44" s="196" t="s">
        <v>292</v>
      </c>
      <c r="B44" s="196" t="s">
        <v>293</v>
      </c>
      <c r="C44" s="196" t="s">
        <v>240</v>
      </c>
      <c r="D44" s="196">
        <v>0.0</v>
      </c>
      <c r="G44" s="196" t="s">
        <v>294</v>
      </c>
      <c r="K44" s="196">
        <v>313.0</v>
      </c>
    </row>
    <row r="45" ht="14.25" customHeight="1">
      <c r="A45" s="196" t="s">
        <v>295</v>
      </c>
      <c r="B45" s="196" t="s">
        <v>327</v>
      </c>
      <c r="C45" s="196" t="s">
        <v>240</v>
      </c>
      <c r="D45" s="196">
        <v>-27.28</v>
      </c>
      <c r="E45" s="196"/>
      <c r="G45" s="196" t="s">
        <v>296</v>
      </c>
      <c r="K45" s="196">
        <v>430.0</v>
      </c>
    </row>
    <row r="46" ht="14.25" customHeight="1">
      <c r="A46" s="196" t="s">
        <v>297</v>
      </c>
      <c r="B46" s="196" t="s">
        <v>298</v>
      </c>
      <c r="C46" s="196" t="s">
        <v>240</v>
      </c>
      <c r="D46" s="196">
        <v>0.0</v>
      </c>
      <c r="E46" s="196"/>
      <c r="G46" s="196" t="s">
        <v>299</v>
      </c>
      <c r="K46" s="196">
        <v>300.0</v>
      </c>
    </row>
    <row r="47" ht="14.25" customHeight="1">
      <c r="A47" s="196" t="s">
        <v>300</v>
      </c>
      <c r="B47" s="196" t="s">
        <v>290</v>
      </c>
      <c r="C47" s="196" t="s">
        <v>240</v>
      </c>
      <c r="D47" s="196">
        <v>0.0</v>
      </c>
      <c r="E47" s="196"/>
      <c r="H47" s="196">
        <f t="shared" ref="H47:I47" si="2">SUM(H32:H46)</f>
        <v>1629</v>
      </c>
      <c r="I47" s="196">
        <f t="shared" si="2"/>
        <v>1318.37</v>
      </c>
      <c r="K47" s="196">
        <f t="shared" ref="K47:L47" si="3">SUM(K32:K46)</f>
        <v>6673.253359</v>
      </c>
      <c r="L47" s="196">
        <f t="shared" si="3"/>
        <v>909</v>
      </c>
      <c r="M47" s="196">
        <f t="shared" ref="M47:M48" si="4">SUM(I47:L47)</f>
        <v>8900.623359</v>
      </c>
    </row>
    <row r="48" ht="14.25" customHeight="1">
      <c r="A48" s="196" t="s">
        <v>301</v>
      </c>
      <c r="B48" s="196" t="s">
        <v>327</v>
      </c>
      <c r="C48" s="196" t="s">
        <v>240</v>
      </c>
      <c r="D48" s="196">
        <v>166.4</v>
      </c>
      <c r="E48" s="196"/>
      <c r="H48" s="249" t="s">
        <v>336</v>
      </c>
      <c r="I48" s="196">
        <v>1400.0</v>
      </c>
      <c r="K48" s="196">
        <v>6777.0</v>
      </c>
      <c r="L48" s="196">
        <v>944.0</v>
      </c>
      <c r="M48" s="196">
        <f t="shared" si="4"/>
        <v>9121</v>
      </c>
    </row>
    <row r="49" ht="14.25" customHeight="1">
      <c r="A49" s="196" t="s">
        <v>302</v>
      </c>
      <c r="B49" s="196" t="s">
        <v>327</v>
      </c>
      <c r="C49" s="196" t="s">
        <v>240</v>
      </c>
      <c r="D49" s="196">
        <v>0.0</v>
      </c>
      <c r="E49" s="196"/>
      <c r="I49" s="196" t="s">
        <v>303</v>
      </c>
      <c r="J49" s="196">
        <v>2300.0</v>
      </c>
      <c r="M49" s="196">
        <f>SUM(J49+M47)</f>
        <v>11200.62336</v>
      </c>
      <c r="N49" s="196" t="s">
        <v>304</v>
      </c>
    </row>
    <row r="50" ht="14.25" customHeight="1">
      <c r="A50" s="196" t="s">
        <v>305</v>
      </c>
      <c r="B50" s="196" t="s">
        <v>327</v>
      </c>
      <c r="C50" s="196" t="s">
        <v>240</v>
      </c>
      <c r="D50" s="196">
        <v>0.0</v>
      </c>
      <c r="E50" s="196"/>
    </row>
    <row r="51" ht="14.25" customHeight="1">
      <c r="A51" s="196" t="s">
        <v>306</v>
      </c>
      <c r="B51" s="196" t="s">
        <v>337</v>
      </c>
      <c r="C51" s="196" t="s">
        <v>240</v>
      </c>
      <c r="D51" s="196">
        <v>0.0</v>
      </c>
    </row>
    <row r="52" ht="14.25" customHeight="1">
      <c r="A52" s="196" t="s">
        <v>308</v>
      </c>
      <c r="B52" s="196" t="s">
        <v>337</v>
      </c>
      <c r="C52" s="196" t="s">
        <v>240</v>
      </c>
      <c r="D52" s="196">
        <v>0.0</v>
      </c>
    </row>
    <row r="53" ht="14.25" customHeight="1">
      <c r="A53" s="196" t="s">
        <v>309</v>
      </c>
      <c r="B53" s="196" t="s">
        <v>337</v>
      </c>
      <c r="C53" s="196" t="s">
        <v>240</v>
      </c>
      <c r="D53" s="235">
        <v>7910.2</v>
      </c>
    </row>
    <row r="54" ht="14.25" customHeight="1">
      <c r="B54" s="196" t="s">
        <v>255</v>
      </c>
      <c r="C54" s="196" t="s">
        <v>240</v>
      </c>
      <c r="D54" s="235">
        <v>18319.4</v>
      </c>
    </row>
    <row r="55" ht="14.25" customHeight="1">
      <c r="A55" s="196" t="s">
        <v>245</v>
      </c>
      <c r="C55" s="196" t="s">
        <v>240</v>
      </c>
      <c r="D55" s="235">
        <f>D54-D48</f>
        <v>18153</v>
      </c>
    </row>
    <row r="56" ht="14.25" customHeight="1">
      <c r="A56" s="196" t="s">
        <v>310</v>
      </c>
    </row>
    <row r="57" ht="14.25" customHeight="1">
      <c r="A57" s="196" t="s">
        <v>338</v>
      </c>
      <c r="B57" s="196" t="s">
        <v>339</v>
      </c>
      <c r="C57" s="196" t="s">
        <v>240</v>
      </c>
      <c r="D57" s="235">
        <v>2000.0</v>
      </c>
    </row>
    <row r="58" ht="14.25" customHeight="1">
      <c r="A58" s="196" t="s">
        <v>340</v>
      </c>
      <c r="B58" s="196" t="s">
        <v>339</v>
      </c>
      <c r="C58" s="196" t="s">
        <v>240</v>
      </c>
      <c r="D58" s="235">
        <v>1932.87</v>
      </c>
    </row>
    <row r="59" ht="14.25" customHeight="1">
      <c r="A59" s="196" t="s">
        <v>341</v>
      </c>
      <c r="B59" s="196" t="s">
        <v>339</v>
      </c>
      <c r="C59" s="196" t="s">
        <v>240</v>
      </c>
      <c r="D59" s="235">
        <v>8589.0</v>
      </c>
    </row>
    <row r="60" ht="14.25" customHeight="1">
      <c r="A60" s="196" t="s">
        <v>342</v>
      </c>
      <c r="B60" s="196" t="s">
        <v>339</v>
      </c>
      <c r="C60" s="196" t="s">
        <v>240</v>
      </c>
      <c r="D60" s="235">
        <v>11843.0</v>
      </c>
    </row>
    <row r="61" ht="14.25" customHeight="1">
      <c r="A61" s="196" t="s">
        <v>343</v>
      </c>
      <c r="B61" s="196" t="s">
        <v>339</v>
      </c>
      <c r="C61" s="196" t="s">
        <v>240</v>
      </c>
      <c r="D61" s="235">
        <v>8657.0</v>
      </c>
    </row>
    <row r="62" ht="14.25" customHeight="1">
      <c r="A62" s="196" t="s">
        <v>344</v>
      </c>
      <c r="B62" s="196" t="s">
        <v>339</v>
      </c>
      <c r="C62" s="196" t="s">
        <v>240</v>
      </c>
      <c r="D62" s="196">
        <v>531.0</v>
      </c>
    </row>
    <row r="63" ht="14.25" customHeight="1">
      <c r="A63" s="196" t="s">
        <v>340</v>
      </c>
      <c r="B63" s="196" t="s">
        <v>345</v>
      </c>
      <c r="C63" s="196" t="s">
        <v>240</v>
      </c>
      <c r="D63" s="235">
        <v>1932.87</v>
      </c>
    </row>
    <row r="64" ht="14.25" customHeight="1">
      <c r="A64" s="196" t="s">
        <v>346</v>
      </c>
      <c r="B64" s="196" t="s">
        <v>339</v>
      </c>
      <c r="C64" s="196" t="s">
        <v>240</v>
      </c>
      <c r="D64" s="235">
        <v>4500.0</v>
      </c>
    </row>
    <row r="65" ht="14.25" customHeight="1">
      <c r="A65" s="196" t="s">
        <v>347</v>
      </c>
      <c r="B65" s="196" t="s">
        <v>339</v>
      </c>
      <c r="C65" s="196" t="s">
        <v>240</v>
      </c>
      <c r="D65" s="196">
        <v>907.59</v>
      </c>
      <c r="G65" s="250" t="s">
        <v>348</v>
      </c>
      <c r="H65" s="251">
        <f>SUM(F68:J68)</f>
        <v>137111.55</v>
      </c>
    </row>
    <row r="66" ht="14.25" customHeight="1">
      <c r="A66" s="196" t="s">
        <v>349</v>
      </c>
      <c r="B66" s="196" t="s">
        <v>339</v>
      </c>
      <c r="C66" s="196" t="s">
        <v>240</v>
      </c>
      <c r="D66" s="196">
        <v>636.2</v>
      </c>
    </row>
    <row r="67" ht="14.25" customHeight="1">
      <c r="A67" s="196" t="s">
        <v>350</v>
      </c>
      <c r="B67" s="196" t="s">
        <v>339</v>
      </c>
      <c r="C67" s="196" t="s">
        <v>240</v>
      </c>
      <c r="D67" s="235">
        <v>4500.0</v>
      </c>
      <c r="F67" s="196" t="s">
        <v>351</v>
      </c>
      <c r="G67" s="196" t="str">
        <f>A79</f>
        <v>Loan BPS Collen Fund-Personal</v>
      </c>
      <c r="H67" s="196" t="str">
        <f>A80</f>
        <v>NYS Loan Masters Edu-Personal</v>
      </c>
      <c r="I67" s="196" t="str">
        <f>A81</f>
        <v>TEACh Grant-Personal</v>
      </c>
      <c r="J67" s="196" t="str">
        <f>A55</f>
        <v>			Cards TOTAL</v>
      </c>
    </row>
    <row r="68" ht="14.25" customHeight="1">
      <c r="A68" s="196" t="s">
        <v>352</v>
      </c>
      <c r="B68" s="196" t="s">
        <v>339</v>
      </c>
      <c r="C68" s="196" t="s">
        <v>240</v>
      </c>
      <c r="D68" s="235">
        <v>5896.67</v>
      </c>
      <c r="F68" s="235">
        <f>E78</f>
        <v>87683.05</v>
      </c>
      <c r="G68" s="235">
        <f>D79</f>
        <v>11700</v>
      </c>
      <c r="H68" s="235">
        <f>D80</f>
        <v>13917.5</v>
      </c>
      <c r="I68" s="235">
        <f>D81</f>
        <v>5658</v>
      </c>
      <c r="J68" s="235">
        <f>D55</f>
        <v>18153</v>
      </c>
    </row>
    <row r="69" ht="14.25" customHeight="1">
      <c r="A69" s="196" t="s">
        <v>353</v>
      </c>
      <c r="B69" s="196" t="s">
        <v>339</v>
      </c>
      <c r="C69" s="196" t="s">
        <v>240</v>
      </c>
      <c r="D69" s="235">
        <v>5500.0</v>
      </c>
    </row>
    <row r="70" ht="14.25" customHeight="1">
      <c r="A70" s="196" t="s">
        <v>354</v>
      </c>
      <c r="B70" s="196" t="s">
        <v>339</v>
      </c>
      <c r="C70" s="196" t="s">
        <v>240</v>
      </c>
      <c r="D70" s="235">
        <v>6613.65</v>
      </c>
    </row>
    <row r="71" ht="14.25" customHeight="1">
      <c r="A71" s="196" t="s">
        <v>355</v>
      </c>
      <c r="B71" s="196" t="s">
        <v>345</v>
      </c>
      <c r="C71" s="196" t="s">
        <v>240</v>
      </c>
      <c r="D71" s="235">
        <v>6429.0</v>
      </c>
    </row>
    <row r="72" ht="14.25" customHeight="1">
      <c r="A72" s="196" t="s">
        <v>338</v>
      </c>
      <c r="B72" s="196" t="s">
        <v>345</v>
      </c>
      <c r="C72" s="196" t="s">
        <v>240</v>
      </c>
      <c r="D72" s="235">
        <v>2000.0</v>
      </c>
    </row>
    <row r="73" ht="14.25" customHeight="1">
      <c r="A73" s="196" t="s">
        <v>356</v>
      </c>
      <c r="B73" s="196" t="s">
        <v>345</v>
      </c>
      <c r="C73" s="196" t="s">
        <v>240</v>
      </c>
      <c r="D73" s="235">
        <v>1400.0</v>
      </c>
    </row>
    <row r="74" ht="14.25" customHeight="1">
      <c r="A74" s="196" t="s">
        <v>357</v>
      </c>
      <c r="B74" s="196" t="s">
        <v>345</v>
      </c>
      <c r="C74" s="196" t="s">
        <v>240</v>
      </c>
      <c r="D74" s="235">
        <v>1936.1</v>
      </c>
    </row>
    <row r="75" ht="14.25" customHeight="1">
      <c r="A75" s="196" t="s">
        <v>355</v>
      </c>
      <c r="B75" s="196" t="s">
        <v>339</v>
      </c>
      <c r="C75" s="196" t="s">
        <v>240</v>
      </c>
      <c r="D75" s="235">
        <v>6429.0</v>
      </c>
    </row>
    <row r="76" ht="14.25" customHeight="1">
      <c r="A76" s="196" t="s">
        <v>357</v>
      </c>
      <c r="B76" s="196" t="s">
        <v>339</v>
      </c>
      <c r="C76" s="196" t="s">
        <v>240</v>
      </c>
      <c r="D76" s="235">
        <v>1936.1</v>
      </c>
    </row>
    <row r="77" ht="14.25" customHeight="1">
      <c r="A77" s="196" t="s">
        <v>356</v>
      </c>
      <c r="B77" s="196" t="s">
        <v>339</v>
      </c>
      <c r="C77" s="196" t="s">
        <v>240</v>
      </c>
      <c r="D77" s="235">
        <v>1400.0</v>
      </c>
    </row>
    <row r="78" ht="14.25" customHeight="1">
      <c r="A78" s="196" t="s">
        <v>358</v>
      </c>
      <c r="B78" s="196" t="s">
        <v>339</v>
      </c>
      <c r="C78" s="196" t="s">
        <v>240</v>
      </c>
      <c r="D78" s="235">
        <v>2113.0</v>
      </c>
      <c r="E78" s="235">
        <f>SUM(D57:D78)</f>
        <v>87683.05</v>
      </c>
    </row>
    <row r="79" ht="14.25" customHeight="1">
      <c r="A79" s="196" t="s">
        <v>311</v>
      </c>
      <c r="B79" s="196" t="s">
        <v>312</v>
      </c>
      <c r="C79" s="196" t="s">
        <v>240</v>
      </c>
      <c r="D79" s="235">
        <v>11700.0</v>
      </c>
    </row>
    <row r="80" ht="14.25" customHeight="1">
      <c r="A80" s="196" t="s">
        <v>313</v>
      </c>
      <c r="B80" s="196" t="s">
        <v>314</v>
      </c>
      <c r="C80" s="196" t="s">
        <v>240</v>
      </c>
      <c r="D80" s="235">
        <v>13917.5</v>
      </c>
    </row>
    <row r="81" ht="14.25" customHeight="1">
      <c r="A81" s="196" t="s">
        <v>319</v>
      </c>
      <c r="B81" s="196" t="s">
        <v>320</v>
      </c>
      <c r="C81" s="196" t="s">
        <v>240</v>
      </c>
      <c r="D81" s="235">
        <v>5658.0</v>
      </c>
    </row>
    <row r="82" ht="14.25" customHeight="1">
      <c r="A82" s="196" t="s">
        <v>321</v>
      </c>
      <c r="B82" s="196" t="s">
        <v>255</v>
      </c>
      <c r="C82" s="196" t="s">
        <v>240</v>
      </c>
      <c r="D82" s="252">
        <v>113474.5</v>
      </c>
    </row>
    <row r="83" ht="14.25" customHeight="1"/>
    <row r="84" ht="14.25" customHeight="1">
      <c r="A84" s="196" t="s">
        <v>322</v>
      </c>
    </row>
    <row r="85" ht="14.25" customHeight="1">
      <c r="A85" s="196" t="s">
        <v>323</v>
      </c>
      <c r="B85" s="196" t="s">
        <v>312</v>
      </c>
      <c r="C85" s="196" t="s">
        <v>240</v>
      </c>
      <c r="D85" s="235">
        <v>10090.0</v>
      </c>
    </row>
    <row r="86" ht="14.25" customHeight="1">
      <c r="A86" s="196" t="s">
        <v>324</v>
      </c>
      <c r="B86" s="196" t="s">
        <v>255</v>
      </c>
      <c r="C86" s="196" t="s">
        <v>240</v>
      </c>
      <c r="D86" s="235">
        <v>10090.0</v>
      </c>
    </row>
    <row r="87" ht="14.25" customHeight="1"/>
    <row r="88" ht="14.25" customHeight="1">
      <c r="A88" s="196" t="s">
        <v>325</v>
      </c>
      <c r="B88" s="196" t="s">
        <v>255</v>
      </c>
      <c r="C88" s="196" t="s">
        <v>240</v>
      </c>
      <c r="D88" s="252">
        <v>145384.08</v>
      </c>
      <c r="E88" s="197">
        <f>G10-D88</f>
        <v>-58635.12</v>
      </c>
    </row>
    <row r="89" ht="14.25" customHeight="1"/>
    <row r="90" ht="14.25" customHeight="1">
      <c r="A90" s="196" t="s">
        <v>326</v>
      </c>
      <c r="B90" s="196" t="s">
        <v>255</v>
      </c>
      <c r="C90" s="196" t="s">
        <v>240</v>
      </c>
      <c r="D90" s="252">
        <v>-43986.45</v>
      </c>
      <c r="E90" s="253">
        <f>H10-H65</f>
        <v>-35978.91</v>
      </c>
      <c r="F90" s="198" t="s">
        <v>359</v>
      </c>
    </row>
    <row r="91" ht="14.25" customHeight="1">
      <c r="B91" s="247"/>
    </row>
    <row r="92" ht="14.25" customHeight="1">
      <c r="B92" s="247"/>
    </row>
    <row r="93" ht="14.25" customHeight="1">
      <c r="B93" s="247"/>
    </row>
    <row r="94" ht="14.25" customHeight="1">
      <c r="B94" s="247"/>
    </row>
    <row r="95" ht="14.25" customHeight="1">
      <c r="B95" s="247"/>
    </row>
    <row r="96" ht="14.25" customHeight="1">
      <c r="B96" s="247"/>
    </row>
    <row r="97" ht="14.25" customHeight="1">
      <c r="B97" s="247"/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4.25" customHeight="1">
      <c r="B268" s="247"/>
    </row>
    <row r="269" ht="14.25" customHeight="1">
      <c r="B269" s="247"/>
    </row>
    <row r="270" ht="14.25" customHeight="1">
      <c r="B270" s="247"/>
    </row>
    <row r="271" ht="14.25" customHeight="1">
      <c r="B271" s="247"/>
    </row>
    <row r="272" ht="14.25" customHeight="1">
      <c r="B272" s="247"/>
    </row>
    <row r="273" ht="14.25" customHeight="1">
      <c r="B273" s="247"/>
    </row>
    <row r="274" ht="14.25" customHeight="1">
      <c r="B274" s="247"/>
    </row>
    <row r="275" ht="14.25" customHeight="1">
      <c r="B275" s="247"/>
    </row>
    <row r="276" ht="14.25" customHeight="1">
      <c r="B276" s="247"/>
    </row>
    <row r="277" ht="14.25" customHeight="1">
      <c r="B277" s="247"/>
    </row>
    <row r="278" ht="14.25" customHeight="1">
      <c r="B278" s="247"/>
    </row>
    <row r="279" ht="14.25" customHeight="1">
      <c r="B279" s="247"/>
    </row>
    <row r="280" ht="14.25" customHeight="1">
      <c r="B280" s="247"/>
    </row>
    <row r="281" ht="14.25" customHeight="1">
      <c r="B281" s="247"/>
    </row>
    <row r="282" ht="14.25" customHeight="1">
      <c r="B282" s="247"/>
    </row>
    <row r="283" ht="14.25" customHeight="1">
      <c r="B283" s="247"/>
    </row>
    <row r="284" ht="14.25" customHeight="1">
      <c r="B284" s="247"/>
    </row>
    <row r="285" ht="14.25" customHeight="1">
      <c r="B285" s="247"/>
    </row>
    <row r="286" ht="14.25" customHeight="1">
      <c r="B286" s="247"/>
    </row>
    <row r="287" ht="14.25" customHeight="1">
      <c r="B287" s="247"/>
    </row>
    <row r="288" ht="14.25" customHeight="1">
      <c r="B288" s="247"/>
    </row>
    <row r="289" ht="14.25" customHeight="1">
      <c r="B289" s="247"/>
    </row>
    <row r="290" ht="14.25" customHeight="1">
      <c r="B290" s="247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5" width="14.14"/>
    <col customWidth="1" min="6" max="6" width="22.71"/>
    <col customWidth="1" min="7" max="7" width="16.0"/>
    <col customWidth="1" min="8" max="8" width="36.86"/>
    <col customWidth="1" min="9" max="9" width="12.29"/>
    <col customWidth="1" min="10" max="10" width="15.71"/>
    <col customWidth="1" min="11" max="14" width="8.71"/>
  </cols>
  <sheetData>
    <row r="1">
      <c r="A1" s="254" t="s">
        <v>360</v>
      </c>
    </row>
    <row r="2">
      <c r="A2" s="196" t="s">
        <v>231</v>
      </c>
    </row>
    <row r="3">
      <c r="A3" s="196" t="s">
        <v>232</v>
      </c>
      <c r="B3" s="196" t="s">
        <v>233</v>
      </c>
      <c r="C3" s="196" t="s">
        <v>234</v>
      </c>
      <c r="D3" s="196" t="s">
        <v>235</v>
      </c>
      <c r="G3" s="195" t="s">
        <v>134</v>
      </c>
      <c r="H3" s="195" t="s">
        <v>135</v>
      </c>
      <c r="I3" s="195" t="s">
        <v>92</v>
      </c>
    </row>
    <row r="4">
      <c r="F4" s="196" t="s">
        <v>136</v>
      </c>
      <c r="G4" s="197">
        <f>D6+D7+D8+D9</f>
        <v>38932.61</v>
      </c>
      <c r="H4" s="197">
        <f>D13+D14+D11+D12</f>
        <v>5245.7</v>
      </c>
      <c r="I4" s="197">
        <f t="shared" ref="I4:I6" si="1">G4+H4</f>
        <v>44178.31</v>
      </c>
    </row>
    <row r="5">
      <c r="A5" s="196" t="s">
        <v>236</v>
      </c>
      <c r="F5" s="198" t="s">
        <v>237</v>
      </c>
      <c r="G5" s="197">
        <v>29400.0</v>
      </c>
      <c r="H5" s="197">
        <f>D10+1400</f>
        <v>6436</v>
      </c>
      <c r="I5" s="197">
        <f t="shared" si="1"/>
        <v>35836</v>
      </c>
    </row>
    <row r="6">
      <c r="A6" s="254" t="s">
        <v>238</v>
      </c>
      <c r="B6" s="254" t="s">
        <v>361</v>
      </c>
      <c r="C6" s="254" t="s">
        <v>240</v>
      </c>
      <c r="D6" s="235">
        <v>14587.83</v>
      </c>
      <c r="F6" s="196" t="s">
        <v>241</v>
      </c>
      <c r="G6" s="197">
        <f>VLOOKUP(F6,A5:D34,4,FALSE)</f>
        <v>17673.28</v>
      </c>
      <c r="I6" s="197">
        <f t="shared" si="1"/>
        <v>17673.28</v>
      </c>
      <c r="J6" s="197">
        <f>G5+G6+H7</f>
        <v>61456.96</v>
      </c>
    </row>
    <row r="7" ht="13.5" customHeight="1">
      <c r="A7" s="254" t="s">
        <v>242</v>
      </c>
      <c r="B7" s="254" t="s">
        <v>361</v>
      </c>
      <c r="C7" s="254" t="s">
        <v>240</v>
      </c>
      <c r="D7" s="235">
        <v>22238.17</v>
      </c>
      <c r="E7" s="196"/>
      <c r="F7" s="196" t="s">
        <v>139</v>
      </c>
      <c r="G7" s="197">
        <f>SUM(G4:G6)</f>
        <v>86005.89</v>
      </c>
      <c r="H7" s="197">
        <f>D15</f>
        <v>14383.68</v>
      </c>
      <c r="I7" s="197">
        <f>SUM(I4:I6)</f>
        <v>97687.59</v>
      </c>
      <c r="J7" s="197">
        <f>G8*0.047</f>
        <v>-841.13503</v>
      </c>
    </row>
    <row r="8" ht="14.25" customHeight="1">
      <c r="A8" s="254" t="s">
        <v>244</v>
      </c>
      <c r="B8" s="254" t="s">
        <v>361</v>
      </c>
      <c r="C8" s="254" t="s">
        <v>240</v>
      </c>
      <c r="D8" s="235">
        <v>2054.08</v>
      </c>
      <c r="F8" s="199" t="s">
        <v>245</v>
      </c>
      <c r="G8" s="200">
        <f>-VLOOKUP(F8,A38:D57,4,)</f>
        <v>-17896.49</v>
      </c>
      <c r="H8" s="199"/>
      <c r="I8" s="200">
        <f>G7+G8+H7</f>
        <v>82493.08</v>
      </c>
      <c r="J8" s="199" t="s">
        <v>141</v>
      </c>
    </row>
    <row r="9" ht="14.25" customHeight="1">
      <c r="A9" s="254" t="s">
        <v>362</v>
      </c>
      <c r="B9" s="254" t="s">
        <v>361</v>
      </c>
      <c r="C9" s="254" t="s">
        <v>240</v>
      </c>
      <c r="D9" s="254">
        <v>52.53</v>
      </c>
      <c r="E9" s="196"/>
      <c r="F9" s="198"/>
      <c r="G9" s="197"/>
      <c r="H9" s="197"/>
      <c r="I9" s="197"/>
    </row>
    <row r="10" ht="14.25" customHeight="1">
      <c r="A10" s="254" t="s">
        <v>247</v>
      </c>
      <c r="B10" s="254" t="s">
        <v>248</v>
      </c>
      <c r="C10" s="254" t="s">
        <v>240</v>
      </c>
      <c r="D10" s="235">
        <v>5036.0</v>
      </c>
      <c r="E10" s="196"/>
      <c r="F10" s="255" t="s">
        <v>329</v>
      </c>
      <c r="G10" s="256">
        <f>I7</f>
        <v>97687.59</v>
      </c>
      <c r="H10" s="256">
        <f>G10+H7</f>
        <v>112071.27</v>
      </c>
    </row>
    <row r="11">
      <c r="A11" s="254" t="s">
        <v>363</v>
      </c>
      <c r="B11" s="254" t="s">
        <v>361</v>
      </c>
      <c r="C11" s="254" t="s">
        <v>240</v>
      </c>
      <c r="D11" s="254">
        <v>1.21</v>
      </c>
      <c r="E11" s="196"/>
      <c r="F11" s="196" t="s">
        <v>138</v>
      </c>
      <c r="G11" s="196" t="s">
        <v>331</v>
      </c>
      <c r="H11" s="196" t="s">
        <v>157</v>
      </c>
      <c r="I11" s="196" t="s">
        <v>332</v>
      </c>
    </row>
    <row r="12">
      <c r="A12" s="254" t="s">
        <v>364</v>
      </c>
      <c r="B12" s="254" t="s">
        <v>361</v>
      </c>
      <c r="C12" s="254" t="s">
        <v>240</v>
      </c>
      <c r="D12" s="254">
        <v>2.02</v>
      </c>
      <c r="E12" s="196"/>
      <c r="F12" s="197">
        <f>G6</f>
        <v>17673.28</v>
      </c>
      <c r="G12" s="197">
        <f>I5</f>
        <v>35836</v>
      </c>
      <c r="H12" s="197">
        <f>I4</f>
        <v>44178.31</v>
      </c>
      <c r="I12" s="197">
        <f>H7</f>
        <v>14383.68</v>
      </c>
      <c r="J12" s="197">
        <f>SUM(F12:I12)</f>
        <v>112071.27</v>
      </c>
    </row>
    <row r="13" ht="14.25" customHeight="1">
      <c r="A13" s="254" t="s">
        <v>249</v>
      </c>
      <c r="B13" s="254" t="s">
        <v>365</v>
      </c>
      <c r="C13" s="254" t="s">
        <v>240</v>
      </c>
      <c r="D13" s="235">
        <v>1489.08</v>
      </c>
      <c r="E13" s="196"/>
      <c r="G13" s="197"/>
    </row>
    <row r="14" ht="14.25" customHeight="1">
      <c r="A14" s="254" t="s">
        <v>251</v>
      </c>
      <c r="B14" s="254" t="s">
        <v>365</v>
      </c>
      <c r="C14" s="254" t="s">
        <v>240</v>
      </c>
      <c r="D14" s="235">
        <v>3753.39</v>
      </c>
      <c r="E14" s="196"/>
    </row>
    <row r="15" ht="14.25" customHeight="1">
      <c r="A15" s="254" t="s">
        <v>252</v>
      </c>
      <c r="B15" s="254" t="s">
        <v>253</v>
      </c>
      <c r="C15" s="254" t="s">
        <v>240</v>
      </c>
      <c r="D15" s="235">
        <v>14383.68</v>
      </c>
      <c r="E15" s="196"/>
    </row>
    <row r="16" ht="14.25" customHeight="1">
      <c r="A16" s="254" t="s">
        <v>254</v>
      </c>
      <c r="B16" s="254" t="s">
        <v>255</v>
      </c>
      <c r="C16" s="254" t="s">
        <v>240</v>
      </c>
      <c r="D16" s="235">
        <v>63597.99</v>
      </c>
      <c r="E16" s="196"/>
    </row>
    <row r="17" ht="14.25" customHeight="1">
      <c r="E17" s="196"/>
    </row>
    <row r="18" ht="14.25" customHeight="1">
      <c r="A18" s="196" t="s">
        <v>256</v>
      </c>
      <c r="E18" s="196"/>
    </row>
    <row r="19" ht="14.25" customHeight="1">
      <c r="A19" s="196" t="s">
        <v>257</v>
      </c>
      <c r="B19" s="254" t="s">
        <v>361</v>
      </c>
      <c r="C19" s="254" t="s">
        <v>240</v>
      </c>
      <c r="D19" s="254">
        <v>500.64</v>
      </c>
      <c r="E19" s="196"/>
    </row>
    <row r="20" ht="14.25" customHeight="1">
      <c r="A20" s="196" t="s">
        <v>259</v>
      </c>
      <c r="B20" s="254" t="s">
        <v>361</v>
      </c>
      <c r="C20" s="254" t="s">
        <v>240</v>
      </c>
      <c r="D20" s="254">
        <v>50.74</v>
      </c>
      <c r="E20" s="196"/>
    </row>
    <row r="21" ht="14.25" customHeight="1">
      <c r="A21" s="196" t="s">
        <v>260</v>
      </c>
      <c r="B21" s="254" t="s">
        <v>361</v>
      </c>
      <c r="C21" s="254" t="s">
        <v>240</v>
      </c>
      <c r="D21" s="254">
        <v>120.66</v>
      </c>
      <c r="E21" s="235"/>
    </row>
    <row r="22" ht="14.25" customHeight="1">
      <c r="A22" s="196" t="s">
        <v>261</v>
      </c>
      <c r="B22" s="254" t="s">
        <v>361</v>
      </c>
      <c r="C22" s="254" t="s">
        <v>240</v>
      </c>
      <c r="D22" s="254">
        <v>520.27</v>
      </c>
      <c r="E22" s="196"/>
    </row>
    <row r="23" ht="14.25" customHeight="1">
      <c r="A23" s="196" t="s">
        <v>262</v>
      </c>
      <c r="B23" s="254" t="s">
        <v>263</v>
      </c>
      <c r="C23" s="254" t="s">
        <v>240</v>
      </c>
      <c r="D23" s="254">
        <v>0.0</v>
      </c>
      <c r="E23" s="235"/>
    </row>
    <row r="24" ht="14.25" customHeight="1">
      <c r="A24" s="196" t="s">
        <v>333</v>
      </c>
      <c r="B24" s="254" t="s">
        <v>361</v>
      </c>
      <c r="C24" s="254" t="s">
        <v>240</v>
      </c>
      <c r="D24" s="254">
        <v>333.81</v>
      </c>
      <c r="E24" s="235"/>
    </row>
    <row r="25" ht="14.25" customHeight="1">
      <c r="A25" s="196" t="s">
        <v>264</v>
      </c>
      <c r="B25" s="254" t="s">
        <v>361</v>
      </c>
      <c r="C25" s="254" t="s">
        <v>240</v>
      </c>
      <c r="D25" s="235">
        <v>15921.43</v>
      </c>
      <c r="E25" s="235"/>
    </row>
    <row r="26" ht="14.25" customHeight="1">
      <c r="A26" s="196" t="s">
        <v>334</v>
      </c>
      <c r="B26" s="254" t="s">
        <v>361</v>
      </c>
      <c r="C26" s="254" t="s">
        <v>240</v>
      </c>
      <c r="D26" s="254">
        <v>164.32</v>
      </c>
      <c r="E26" s="235"/>
    </row>
    <row r="27" ht="14.25" customHeight="1">
      <c r="A27" s="196" t="s">
        <v>265</v>
      </c>
      <c r="B27" s="254" t="s">
        <v>366</v>
      </c>
      <c r="C27" s="254" t="s">
        <v>240</v>
      </c>
      <c r="D27" s="254">
        <v>179.97</v>
      </c>
      <c r="E27" s="235"/>
    </row>
    <row r="28" ht="14.25" customHeight="1">
      <c r="A28" s="196" t="s">
        <v>267</v>
      </c>
      <c r="B28" s="254" t="s">
        <v>361</v>
      </c>
      <c r="C28" s="254" t="s">
        <v>240</v>
      </c>
      <c r="D28" s="254">
        <v>500.23</v>
      </c>
      <c r="E28" s="196"/>
    </row>
    <row r="29" ht="14.25" customHeight="1">
      <c r="B29" s="196" t="s">
        <v>255</v>
      </c>
      <c r="C29" s="196" t="s">
        <v>240</v>
      </c>
      <c r="D29" s="235">
        <v>18292.07</v>
      </c>
      <c r="E29" s="235"/>
    </row>
    <row r="30" ht="14.25" customHeight="1">
      <c r="A30" s="196" t="s">
        <v>241</v>
      </c>
      <c r="D30" s="235">
        <f>D19+D25+D27+D28+D20+D22+D23</f>
        <v>17673.28</v>
      </c>
      <c r="E30" s="235"/>
    </row>
    <row r="31" ht="14.25" customHeight="1">
      <c r="E31" s="235"/>
    </row>
    <row r="32" ht="14.25" customHeight="1">
      <c r="A32" s="196" t="s">
        <v>268</v>
      </c>
      <c r="E32" s="196"/>
      <c r="F32" s="235"/>
      <c r="G32" s="196"/>
    </row>
    <row r="33" ht="14.25" customHeight="1">
      <c r="A33" s="196" t="s">
        <v>269</v>
      </c>
      <c r="B33" s="196" t="s">
        <v>270</v>
      </c>
      <c r="C33" s="196" t="s">
        <v>240</v>
      </c>
      <c r="D33" s="235">
        <v>7500.0</v>
      </c>
      <c r="E33" s="196"/>
      <c r="F33" s="235"/>
      <c r="G33" s="196"/>
    </row>
    <row r="34" ht="14.25" customHeight="1">
      <c r="A34" s="196" t="s">
        <v>271</v>
      </c>
      <c r="B34" s="196" t="s">
        <v>255</v>
      </c>
      <c r="C34" s="196" t="s">
        <v>240</v>
      </c>
      <c r="D34" s="235">
        <v>7500.0</v>
      </c>
      <c r="E34" s="196"/>
      <c r="F34" s="235"/>
      <c r="G34" s="196"/>
    </row>
    <row r="35" ht="14.25" customHeight="1">
      <c r="E35" s="196"/>
      <c r="F35" s="235"/>
      <c r="G35" s="196" t="s">
        <v>272</v>
      </c>
      <c r="I35" s="245" t="str">
        <f>A7</f>
        <v>Merrill Lynch Merrill Edge-CMA-Edgex2085-CMA-x-2085</v>
      </c>
      <c r="K35" s="245" t="str">
        <f>A6</f>
        <v>Robinhood-Robinhood Brokerage-brokerageCash-x-8271</v>
      </c>
      <c r="L35" s="245" t="str">
        <f>A8</f>
        <v>Chase-Self-Directed-individual-x-3098</v>
      </c>
    </row>
    <row r="36" ht="14.25" customHeight="1">
      <c r="A36" s="196" t="s">
        <v>273</v>
      </c>
      <c r="B36" s="196" t="s">
        <v>255</v>
      </c>
      <c r="C36" s="196" t="s">
        <v>240</v>
      </c>
      <c r="D36" s="235">
        <v>89390.06</v>
      </c>
      <c r="E36" s="196"/>
      <c r="F36" s="235"/>
      <c r="G36" s="196" t="s">
        <v>274</v>
      </c>
      <c r="H36" s="196">
        <v>190.0</v>
      </c>
      <c r="I36" s="196">
        <v>347.38</v>
      </c>
      <c r="K36" s="196">
        <f>6.2*173</f>
        <v>1072.6</v>
      </c>
    </row>
    <row r="37" ht="14.25" customHeight="1">
      <c r="E37" s="196"/>
      <c r="F37" s="235"/>
      <c r="G37" s="196" t="s">
        <v>275</v>
      </c>
      <c r="H37" s="196">
        <v>150.0</v>
      </c>
      <c r="I37" s="196">
        <v>110.0</v>
      </c>
      <c r="J37" s="196">
        <f>H37/36.97</f>
        <v>4.057343792</v>
      </c>
      <c r="K37" s="196">
        <v>152.0</v>
      </c>
    </row>
    <row r="38" ht="14.25" customHeight="1">
      <c r="A38" s="196" t="s">
        <v>276</v>
      </c>
      <c r="B38" s="196" t="s">
        <v>233</v>
      </c>
      <c r="C38" s="196" t="s">
        <v>234</v>
      </c>
      <c r="D38" s="196" t="s">
        <v>235</v>
      </c>
      <c r="E38" s="196"/>
      <c r="F38" s="235"/>
      <c r="G38" s="196" t="s">
        <v>277</v>
      </c>
      <c r="H38" s="196">
        <v>20.0</v>
      </c>
      <c r="K38" s="196">
        <v>450.0</v>
      </c>
    </row>
    <row r="39" ht="14.25" customHeight="1">
      <c r="E39" s="196"/>
      <c r="F39" s="235"/>
      <c r="G39" s="196" t="s">
        <v>278</v>
      </c>
      <c r="H39" s="196">
        <v>80.0</v>
      </c>
      <c r="I39" s="196">
        <v>154.69</v>
      </c>
      <c r="K39" s="196">
        <v>1000.0</v>
      </c>
    </row>
    <row r="40" ht="14.25" customHeight="1">
      <c r="A40" s="196" t="s">
        <v>279</v>
      </c>
      <c r="E40" s="196"/>
      <c r="F40" s="235"/>
      <c r="G40" s="196" t="s">
        <v>280</v>
      </c>
      <c r="H40" s="196">
        <v>250.0</v>
      </c>
      <c r="I40" s="196">
        <v>212.3</v>
      </c>
    </row>
    <row r="41" ht="14.25" customHeight="1">
      <c r="A41" s="254" t="s">
        <v>367</v>
      </c>
      <c r="B41" s="254" t="s">
        <v>361</v>
      </c>
      <c r="C41" s="254" t="s">
        <v>240</v>
      </c>
      <c r="D41" s="254">
        <v>-11.65</v>
      </c>
      <c r="E41" s="196"/>
      <c r="F41" s="235"/>
      <c r="G41" s="196" t="s">
        <v>282</v>
      </c>
      <c r="H41" s="196">
        <v>450.0</v>
      </c>
      <c r="K41" s="196">
        <v>1000.0</v>
      </c>
    </row>
    <row r="42" ht="14.25" customHeight="1">
      <c r="A42" s="254" t="s">
        <v>368</v>
      </c>
      <c r="B42" s="254" t="s">
        <v>361</v>
      </c>
      <c r="C42" s="254" t="s">
        <v>240</v>
      </c>
      <c r="D42" s="254">
        <v>-18.41</v>
      </c>
      <c r="E42" s="196"/>
      <c r="F42" s="235"/>
      <c r="G42" s="196" t="s">
        <v>284</v>
      </c>
      <c r="H42" s="196">
        <v>322.0</v>
      </c>
      <c r="I42" s="196">
        <v>494.0</v>
      </c>
    </row>
    <row r="43" ht="14.25" customHeight="1">
      <c r="A43" s="254" t="s">
        <v>369</v>
      </c>
      <c r="B43" s="254" t="s">
        <v>361</v>
      </c>
      <c r="C43" s="254" t="s">
        <v>240</v>
      </c>
      <c r="D43" s="235">
        <v>9935.65</v>
      </c>
      <c r="E43" s="246"/>
      <c r="G43" s="196" t="s">
        <v>286</v>
      </c>
      <c r="H43" s="196">
        <v>167.0</v>
      </c>
      <c r="K43" s="196">
        <f>4*122</f>
        <v>488</v>
      </c>
    </row>
    <row r="44" ht="14.25" customHeight="1">
      <c r="A44" s="254" t="s">
        <v>287</v>
      </c>
      <c r="B44" s="254" t="s">
        <v>361</v>
      </c>
      <c r="C44" s="254" t="s">
        <v>240</v>
      </c>
      <c r="D44" s="254">
        <v>21.24</v>
      </c>
      <c r="G44" s="196" t="s">
        <v>288</v>
      </c>
      <c r="K44" s="196">
        <f>3.135147*397</f>
        <v>1244.653359</v>
      </c>
    </row>
    <row r="45" ht="14.25" customHeight="1">
      <c r="A45" s="254" t="s">
        <v>289</v>
      </c>
      <c r="B45" s="254" t="s">
        <v>290</v>
      </c>
      <c r="C45" s="254" t="s">
        <v>240</v>
      </c>
      <c r="D45" s="254">
        <v>0.0</v>
      </c>
      <c r="G45" s="196" t="s">
        <v>291</v>
      </c>
      <c r="K45" s="196">
        <v>223.0</v>
      </c>
      <c r="L45" s="196">
        <f>2*454.5</f>
        <v>909</v>
      </c>
    </row>
    <row r="46" ht="14.25" customHeight="1">
      <c r="A46" s="254" t="s">
        <v>292</v>
      </c>
      <c r="B46" s="254" t="s">
        <v>293</v>
      </c>
      <c r="C46" s="254" t="s">
        <v>240</v>
      </c>
      <c r="D46" s="254">
        <v>0.0</v>
      </c>
      <c r="G46" s="196" t="s">
        <v>294</v>
      </c>
      <c r="K46" s="196">
        <v>313.0</v>
      </c>
    </row>
    <row r="47" ht="14.25" customHeight="1">
      <c r="A47" s="254" t="s">
        <v>295</v>
      </c>
      <c r="B47" s="254" t="s">
        <v>361</v>
      </c>
      <c r="C47" s="254" t="s">
        <v>240</v>
      </c>
      <c r="D47" s="254">
        <v>-27.28</v>
      </c>
      <c r="E47" s="196"/>
      <c r="G47" s="196" t="s">
        <v>296</v>
      </c>
      <c r="K47" s="196">
        <v>430.0</v>
      </c>
    </row>
    <row r="48" ht="14.25" customHeight="1">
      <c r="A48" s="254" t="s">
        <v>297</v>
      </c>
      <c r="B48" s="254" t="s">
        <v>298</v>
      </c>
      <c r="C48" s="254" t="s">
        <v>240</v>
      </c>
      <c r="D48" s="254">
        <v>0.0</v>
      </c>
      <c r="E48" s="196"/>
      <c r="G48" s="196" t="s">
        <v>299</v>
      </c>
      <c r="K48" s="196">
        <v>300.0</v>
      </c>
    </row>
    <row r="49" ht="14.25" customHeight="1">
      <c r="A49" s="254" t="s">
        <v>300</v>
      </c>
      <c r="B49" s="254" t="s">
        <v>290</v>
      </c>
      <c r="C49" s="254" t="s">
        <v>240</v>
      </c>
      <c r="D49" s="254">
        <v>0.0</v>
      </c>
      <c r="E49" s="196"/>
      <c r="H49" s="196">
        <f t="shared" ref="H49:I49" si="2">SUM(H34:H48)</f>
        <v>1629</v>
      </c>
      <c r="I49" s="196">
        <f t="shared" si="2"/>
        <v>1318.37</v>
      </c>
      <c r="K49" s="196">
        <f t="shared" ref="K49:L49" si="3">SUM(K34:K48)</f>
        <v>6673.253359</v>
      </c>
      <c r="L49" s="196">
        <f t="shared" si="3"/>
        <v>909</v>
      </c>
      <c r="M49" s="196">
        <f t="shared" ref="M49:M50" si="4">SUM(I49:L49)</f>
        <v>8900.623359</v>
      </c>
    </row>
    <row r="50" ht="14.25" customHeight="1">
      <c r="A50" s="254" t="s">
        <v>301</v>
      </c>
      <c r="B50" s="254" t="s">
        <v>361</v>
      </c>
      <c r="C50" s="254" t="s">
        <v>240</v>
      </c>
      <c r="D50" s="254">
        <v>528.79</v>
      </c>
      <c r="E50" s="196"/>
      <c r="H50" s="249" t="s">
        <v>336</v>
      </c>
      <c r="I50" s="196">
        <v>1400.0</v>
      </c>
      <c r="K50" s="196">
        <v>6777.0</v>
      </c>
      <c r="L50" s="196">
        <v>944.0</v>
      </c>
      <c r="M50" s="196">
        <f t="shared" si="4"/>
        <v>9121</v>
      </c>
    </row>
    <row r="51" ht="14.25" customHeight="1">
      <c r="A51" s="254" t="s">
        <v>302</v>
      </c>
      <c r="B51" s="254" t="s">
        <v>361</v>
      </c>
      <c r="C51" s="254" t="s">
        <v>240</v>
      </c>
      <c r="D51" s="254">
        <v>0.0</v>
      </c>
      <c r="E51" s="196"/>
      <c r="I51" s="196" t="s">
        <v>303</v>
      </c>
      <c r="J51" s="196">
        <v>2300.0</v>
      </c>
      <c r="M51" s="196">
        <f>SUM(J51+M49)</f>
        <v>11200.62336</v>
      </c>
      <c r="N51" s="196" t="s">
        <v>304</v>
      </c>
    </row>
    <row r="52" ht="14.25" customHeight="1">
      <c r="A52" s="254" t="s">
        <v>305</v>
      </c>
      <c r="B52" s="254" t="s">
        <v>361</v>
      </c>
      <c r="C52" s="254" t="s">
        <v>240</v>
      </c>
      <c r="D52" s="254">
        <v>0.0</v>
      </c>
      <c r="E52" s="196"/>
    </row>
    <row r="53" ht="14.25" customHeight="1">
      <c r="A53" s="254" t="s">
        <v>306</v>
      </c>
      <c r="B53" s="254" t="s">
        <v>370</v>
      </c>
      <c r="C53" s="254" t="s">
        <v>240</v>
      </c>
      <c r="D53" s="254">
        <v>0.0</v>
      </c>
    </row>
    <row r="54" ht="14.25" customHeight="1">
      <c r="A54" s="254" t="s">
        <v>308</v>
      </c>
      <c r="B54" s="254" t="s">
        <v>370</v>
      </c>
      <c r="C54" s="254" t="s">
        <v>240</v>
      </c>
      <c r="D54" s="254">
        <v>0.0</v>
      </c>
    </row>
    <row r="55" ht="14.25" customHeight="1">
      <c r="A55" s="254" t="s">
        <v>309</v>
      </c>
      <c r="B55" s="254" t="s">
        <v>370</v>
      </c>
      <c r="C55" s="254" t="s">
        <v>240</v>
      </c>
      <c r="D55" s="235">
        <v>7996.94</v>
      </c>
    </row>
    <row r="56" ht="14.25" customHeight="1">
      <c r="B56" s="196" t="s">
        <v>255</v>
      </c>
      <c r="C56" s="196" t="s">
        <v>240</v>
      </c>
      <c r="D56" s="235">
        <v>18425.28</v>
      </c>
    </row>
    <row r="57" ht="14.25" customHeight="1">
      <c r="A57" s="196" t="s">
        <v>245</v>
      </c>
      <c r="C57" s="196" t="s">
        <v>240</v>
      </c>
      <c r="D57" s="235">
        <f>D56-D50</f>
        <v>17896.49</v>
      </c>
    </row>
    <row r="58" ht="14.25" customHeight="1">
      <c r="A58" s="196" t="s">
        <v>310</v>
      </c>
    </row>
    <row r="59" ht="14.25" customHeight="1">
      <c r="A59" s="196" t="s">
        <v>338</v>
      </c>
      <c r="B59" s="254" t="s">
        <v>370</v>
      </c>
      <c r="C59" s="196" t="s">
        <v>240</v>
      </c>
      <c r="D59" s="235">
        <v>2000.0</v>
      </c>
      <c r="E59" s="235"/>
    </row>
    <row r="60" ht="14.25" customHeight="1">
      <c r="A60" s="196" t="s">
        <v>340</v>
      </c>
      <c r="B60" s="254" t="s">
        <v>370</v>
      </c>
      <c r="C60" s="196" t="s">
        <v>240</v>
      </c>
      <c r="D60" s="235">
        <v>1932.87</v>
      </c>
      <c r="E60" s="235"/>
    </row>
    <row r="61" ht="14.25" customHeight="1">
      <c r="A61" s="196" t="s">
        <v>341</v>
      </c>
      <c r="B61" s="254" t="s">
        <v>370</v>
      </c>
      <c r="C61" s="196" t="s">
        <v>240</v>
      </c>
      <c r="D61" s="235">
        <v>8589.0</v>
      </c>
      <c r="E61" s="235"/>
    </row>
    <row r="62" ht="14.25" customHeight="1">
      <c r="A62" s="196" t="s">
        <v>342</v>
      </c>
      <c r="B62" s="254" t="s">
        <v>370</v>
      </c>
      <c r="C62" s="196" t="s">
        <v>240</v>
      </c>
      <c r="D62" s="235">
        <v>11843.0</v>
      </c>
      <c r="E62" s="235"/>
    </row>
    <row r="63" ht="14.25" customHeight="1">
      <c r="A63" s="196" t="s">
        <v>343</v>
      </c>
      <c r="B63" s="254" t="s">
        <v>370</v>
      </c>
      <c r="C63" s="196" t="s">
        <v>240</v>
      </c>
      <c r="D63" s="235">
        <v>8657.0</v>
      </c>
      <c r="E63" s="235"/>
    </row>
    <row r="64" ht="14.25" customHeight="1">
      <c r="A64" s="196" t="s">
        <v>344</v>
      </c>
      <c r="B64" s="254" t="s">
        <v>370</v>
      </c>
      <c r="C64" s="196" t="s">
        <v>240</v>
      </c>
      <c r="D64" s="254">
        <v>531.0</v>
      </c>
    </row>
    <row r="65" ht="14.25" customHeight="1">
      <c r="A65" s="196" t="s">
        <v>340</v>
      </c>
      <c r="B65" s="254" t="s">
        <v>345</v>
      </c>
      <c r="C65" s="196" t="s">
        <v>240</v>
      </c>
      <c r="D65" s="235">
        <v>1932.87</v>
      </c>
      <c r="E65" s="235"/>
    </row>
    <row r="66" ht="14.25" customHeight="1">
      <c r="A66" s="196" t="s">
        <v>346</v>
      </c>
      <c r="B66" s="254" t="s">
        <v>370</v>
      </c>
      <c r="C66" s="196" t="s">
        <v>240</v>
      </c>
      <c r="D66" s="235">
        <v>4500.0</v>
      </c>
      <c r="E66" s="235"/>
    </row>
    <row r="67" ht="14.25" customHeight="1">
      <c r="A67" s="196" t="s">
        <v>347</v>
      </c>
      <c r="B67" s="254" t="s">
        <v>370</v>
      </c>
      <c r="C67" s="196" t="s">
        <v>240</v>
      </c>
      <c r="D67" s="254">
        <v>907.59</v>
      </c>
      <c r="G67" s="250" t="s">
        <v>348</v>
      </c>
      <c r="H67" s="251">
        <f>SUM(F70:J70)</f>
        <v>136855.04</v>
      </c>
    </row>
    <row r="68" ht="14.25" customHeight="1">
      <c r="A68" s="196" t="s">
        <v>349</v>
      </c>
      <c r="B68" s="254" t="s">
        <v>370</v>
      </c>
      <c r="C68" s="196" t="s">
        <v>240</v>
      </c>
      <c r="D68" s="254">
        <v>636.2</v>
      </c>
    </row>
    <row r="69" ht="14.25" customHeight="1">
      <c r="A69" s="196" t="s">
        <v>350</v>
      </c>
      <c r="B69" s="254" t="s">
        <v>370</v>
      </c>
      <c r="C69" s="196" t="s">
        <v>240</v>
      </c>
      <c r="D69" s="235">
        <v>4500.0</v>
      </c>
      <c r="E69" s="235"/>
      <c r="F69" s="196" t="s">
        <v>351</v>
      </c>
      <c r="G69" s="196" t="str">
        <f>A81</f>
        <v>Loan BPS Collen Fund-Personal/Nopay till further noitice</v>
      </c>
      <c r="H69" s="196" t="str">
        <f>A82</f>
        <v>NYS Loan Masters Edu-Personal</v>
      </c>
      <c r="I69" s="196" t="str">
        <f>A83</f>
        <v>TEACh Grant-Personal</v>
      </c>
      <c r="J69" s="196" t="str">
        <f>A57</f>
        <v>			Cards TOTAL</v>
      </c>
    </row>
    <row r="70" ht="14.25" customHeight="1">
      <c r="A70" s="196" t="s">
        <v>352</v>
      </c>
      <c r="B70" s="254" t="s">
        <v>370</v>
      </c>
      <c r="C70" s="196" t="s">
        <v>240</v>
      </c>
      <c r="D70" s="235">
        <v>5896.67</v>
      </c>
      <c r="E70" s="235"/>
      <c r="F70" s="235">
        <f>E80</f>
        <v>87683.05</v>
      </c>
      <c r="G70" s="235">
        <f>D81</f>
        <v>11700</v>
      </c>
      <c r="H70" s="235">
        <f>D82</f>
        <v>13917.5</v>
      </c>
      <c r="I70" s="235">
        <f>D83</f>
        <v>5658</v>
      </c>
      <c r="J70" s="235">
        <f>D57</f>
        <v>17896.49</v>
      </c>
    </row>
    <row r="71" ht="14.25" customHeight="1">
      <c r="A71" s="196" t="s">
        <v>353</v>
      </c>
      <c r="B71" s="254" t="s">
        <v>370</v>
      </c>
      <c r="C71" s="196" t="s">
        <v>240</v>
      </c>
      <c r="D71" s="235">
        <v>5500.0</v>
      </c>
      <c r="E71" s="235"/>
    </row>
    <row r="72" ht="14.25" customHeight="1">
      <c r="A72" s="196" t="s">
        <v>354</v>
      </c>
      <c r="B72" s="254" t="s">
        <v>370</v>
      </c>
      <c r="C72" s="196" t="s">
        <v>240</v>
      </c>
      <c r="D72" s="235">
        <v>6613.65</v>
      </c>
      <c r="E72" s="235"/>
    </row>
    <row r="73" ht="14.25" customHeight="1">
      <c r="A73" s="196" t="s">
        <v>355</v>
      </c>
      <c r="B73" s="254" t="s">
        <v>345</v>
      </c>
      <c r="C73" s="196" t="s">
        <v>240</v>
      </c>
      <c r="D73" s="235">
        <v>6429.0</v>
      </c>
      <c r="E73" s="235"/>
    </row>
    <row r="74" ht="14.25" customHeight="1">
      <c r="A74" s="196" t="s">
        <v>338</v>
      </c>
      <c r="B74" s="254" t="s">
        <v>345</v>
      </c>
      <c r="C74" s="196" t="s">
        <v>240</v>
      </c>
      <c r="D74" s="235">
        <v>2000.0</v>
      </c>
      <c r="E74" s="235"/>
    </row>
    <row r="75" ht="14.25" customHeight="1">
      <c r="A75" s="196" t="s">
        <v>356</v>
      </c>
      <c r="B75" s="254" t="s">
        <v>345</v>
      </c>
      <c r="C75" s="196" t="s">
        <v>240</v>
      </c>
      <c r="D75" s="235">
        <v>1400.0</v>
      </c>
      <c r="E75" s="235"/>
    </row>
    <row r="76" ht="14.25" customHeight="1">
      <c r="A76" s="196" t="s">
        <v>357</v>
      </c>
      <c r="B76" s="254" t="s">
        <v>345</v>
      </c>
      <c r="C76" s="196" t="s">
        <v>240</v>
      </c>
      <c r="D76" s="235">
        <v>1936.1</v>
      </c>
      <c r="E76" s="235"/>
    </row>
    <row r="77" ht="14.25" customHeight="1">
      <c r="A77" s="196" t="s">
        <v>355</v>
      </c>
      <c r="B77" s="254" t="s">
        <v>370</v>
      </c>
      <c r="C77" s="196" t="s">
        <v>240</v>
      </c>
      <c r="D77" s="235">
        <v>6429.0</v>
      </c>
      <c r="E77" s="235"/>
    </row>
    <row r="78" ht="14.25" customHeight="1">
      <c r="A78" s="196" t="s">
        <v>357</v>
      </c>
      <c r="B78" s="254" t="s">
        <v>370</v>
      </c>
      <c r="C78" s="196" t="s">
        <v>240</v>
      </c>
      <c r="D78" s="235">
        <v>1936.1</v>
      </c>
      <c r="E78" s="235"/>
    </row>
    <row r="79" ht="14.25" customHeight="1">
      <c r="A79" s="196" t="s">
        <v>356</v>
      </c>
      <c r="B79" s="254" t="s">
        <v>370</v>
      </c>
      <c r="C79" s="196" t="s">
        <v>240</v>
      </c>
      <c r="D79" s="235">
        <v>1400.0</v>
      </c>
      <c r="E79" s="235"/>
    </row>
    <row r="80" ht="14.25" customHeight="1">
      <c r="A80" s="196" t="s">
        <v>358</v>
      </c>
      <c r="B80" s="254" t="s">
        <v>370</v>
      </c>
      <c r="C80" s="196" t="s">
        <v>240</v>
      </c>
      <c r="D80" s="235">
        <v>2113.0</v>
      </c>
      <c r="E80" s="235">
        <f>SUM(D59:D80)</f>
        <v>87683.05</v>
      </c>
    </row>
    <row r="81" ht="14.25" customHeight="1">
      <c r="A81" s="196" t="s">
        <v>371</v>
      </c>
      <c r="B81" s="254" t="s">
        <v>312</v>
      </c>
      <c r="C81" s="196" t="s">
        <v>240</v>
      </c>
      <c r="D81" s="235">
        <v>11700.0</v>
      </c>
    </row>
    <row r="82" ht="14.25" customHeight="1">
      <c r="A82" s="196" t="s">
        <v>313</v>
      </c>
      <c r="B82" s="254" t="s">
        <v>314</v>
      </c>
      <c r="C82" s="196" t="s">
        <v>240</v>
      </c>
      <c r="D82" s="235">
        <v>13917.5</v>
      </c>
    </row>
    <row r="83" ht="14.25" customHeight="1">
      <c r="A83" s="196" t="s">
        <v>319</v>
      </c>
      <c r="B83" s="254" t="s">
        <v>320</v>
      </c>
      <c r="C83" s="196" t="s">
        <v>240</v>
      </c>
      <c r="D83" s="235">
        <v>5658.0</v>
      </c>
    </row>
    <row r="84" ht="14.25" customHeight="1">
      <c r="A84" s="196" t="s">
        <v>321</v>
      </c>
      <c r="B84" s="196" t="s">
        <v>255</v>
      </c>
      <c r="C84" s="196" t="s">
        <v>240</v>
      </c>
      <c r="D84" s="235">
        <v>118958.55</v>
      </c>
    </row>
    <row r="85" ht="14.25" customHeight="1"/>
    <row r="86" ht="14.25" customHeight="1">
      <c r="A86" s="196" t="s">
        <v>322</v>
      </c>
    </row>
    <row r="87" ht="14.25" customHeight="1">
      <c r="A87" s="196" t="s">
        <v>323</v>
      </c>
      <c r="B87" s="196" t="s">
        <v>312</v>
      </c>
      <c r="C87" s="196" t="s">
        <v>240</v>
      </c>
      <c r="D87" s="235">
        <v>10090.0</v>
      </c>
    </row>
    <row r="88" ht="14.25" customHeight="1">
      <c r="A88" s="196" t="s">
        <v>324</v>
      </c>
      <c r="B88" s="196" t="s">
        <v>255</v>
      </c>
      <c r="C88" s="196" t="s">
        <v>240</v>
      </c>
      <c r="D88" s="235">
        <v>10090.0</v>
      </c>
    </row>
    <row r="89" ht="14.25" customHeight="1"/>
    <row r="90" ht="14.25" customHeight="1">
      <c r="A90" s="196" t="s">
        <v>325</v>
      </c>
      <c r="B90" s="196" t="s">
        <v>255</v>
      </c>
      <c r="C90" s="196" t="s">
        <v>240</v>
      </c>
      <c r="D90" s="235">
        <v>147473.83</v>
      </c>
      <c r="E90" s="197">
        <f>G10-D90</f>
        <v>-49786.24</v>
      </c>
    </row>
    <row r="91" ht="14.25" customHeight="1"/>
    <row r="92" ht="14.25" customHeight="1">
      <c r="A92" s="196" t="s">
        <v>326</v>
      </c>
      <c r="B92" s="196" t="s">
        <v>255</v>
      </c>
      <c r="C92" s="196" t="s">
        <v>240</v>
      </c>
      <c r="D92" s="235">
        <v>-58083.77</v>
      </c>
      <c r="E92" s="253">
        <f>H10-H67</f>
        <v>-24783.77</v>
      </c>
      <c r="F92" s="198" t="s">
        <v>359</v>
      </c>
    </row>
    <row r="93" ht="14.25" customHeight="1">
      <c r="B93" s="247"/>
    </row>
    <row r="94" ht="14.25" customHeight="1">
      <c r="B94" s="247"/>
    </row>
    <row r="95" ht="14.25" customHeight="1">
      <c r="B95" s="247"/>
    </row>
    <row r="96" ht="14.25" customHeight="1">
      <c r="B96" s="247"/>
    </row>
    <row r="97" ht="14.25" customHeight="1">
      <c r="B97" s="247"/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4.25" customHeight="1">
      <c r="B268" s="247"/>
    </row>
    <row r="269" ht="14.25" customHeight="1">
      <c r="B269" s="247"/>
    </row>
    <row r="270" ht="14.25" customHeight="1">
      <c r="B270" s="247"/>
    </row>
    <row r="271" ht="14.25" customHeight="1">
      <c r="B271" s="247"/>
    </row>
    <row r="272" ht="14.25" customHeight="1">
      <c r="B272" s="247"/>
    </row>
    <row r="273" ht="14.25" customHeight="1">
      <c r="B273" s="247"/>
    </row>
    <row r="274" ht="14.25" customHeight="1">
      <c r="B274" s="247"/>
    </row>
    <row r="275" ht="14.25" customHeight="1">
      <c r="B275" s="247"/>
    </row>
    <row r="276" ht="14.25" customHeight="1">
      <c r="B276" s="247"/>
    </row>
    <row r="277" ht="14.25" customHeight="1">
      <c r="B277" s="247"/>
    </row>
    <row r="278" ht="14.25" customHeight="1">
      <c r="B278" s="247"/>
    </row>
    <row r="279" ht="14.25" customHeight="1">
      <c r="B279" s="247"/>
    </row>
    <row r="280" ht="14.25" customHeight="1">
      <c r="B280" s="247"/>
    </row>
    <row r="281" ht="14.25" customHeight="1">
      <c r="B281" s="247"/>
    </row>
    <row r="282" ht="14.25" customHeight="1">
      <c r="B282" s="247"/>
    </row>
    <row r="283" ht="14.25" customHeight="1">
      <c r="B283" s="247"/>
    </row>
    <row r="284" ht="14.25" customHeight="1">
      <c r="B284" s="247"/>
    </row>
    <row r="285" ht="14.25" customHeight="1">
      <c r="B285" s="247"/>
    </row>
    <row r="286" ht="14.25" customHeight="1">
      <c r="B286" s="247"/>
    </row>
    <row r="287" ht="14.25" customHeight="1">
      <c r="B287" s="247"/>
    </row>
    <row r="288" ht="14.25" customHeight="1">
      <c r="B288" s="247"/>
    </row>
    <row r="289" ht="14.25" customHeight="1">
      <c r="B289" s="247"/>
    </row>
    <row r="290" ht="14.25" customHeight="1">
      <c r="B290" s="247"/>
    </row>
    <row r="291" ht="14.25" customHeight="1">
      <c r="B291" s="247"/>
    </row>
    <row r="292" ht="14.25" customHeight="1">
      <c r="B292" s="247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5" width="14.14"/>
    <col customWidth="1" min="6" max="6" width="22.71"/>
    <col customWidth="1" min="7" max="7" width="16.0"/>
    <col customWidth="1" min="8" max="8" width="36.86"/>
    <col customWidth="1" min="9" max="9" width="12.29"/>
    <col customWidth="1" min="10" max="10" width="15.71"/>
    <col customWidth="1" min="11" max="11" width="14.29"/>
    <col customWidth="1" min="12" max="14" width="8.71"/>
  </cols>
  <sheetData>
    <row r="1">
      <c r="A1" s="254" t="s">
        <v>372</v>
      </c>
    </row>
    <row r="2">
      <c r="A2" s="254" t="s">
        <v>231</v>
      </c>
    </row>
    <row r="3">
      <c r="A3" s="254" t="s">
        <v>232</v>
      </c>
      <c r="B3" s="254" t="s">
        <v>233</v>
      </c>
      <c r="C3" s="254" t="s">
        <v>234</v>
      </c>
      <c r="D3" s="254" t="s">
        <v>235</v>
      </c>
      <c r="G3" s="195" t="s">
        <v>373</v>
      </c>
      <c r="H3" s="195" t="s">
        <v>374</v>
      </c>
      <c r="I3" s="195" t="s">
        <v>375</v>
      </c>
    </row>
    <row r="4">
      <c r="F4" s="196" t="s">
        <v>136</v>
      </c>
      <c r="G4" s="197">
        <f>D6+D7+D8+D9</f>
        <v>41002.15</v>
      </c>
      <c r="H4" s="197">
        <f>D13+D14+D11+D12</f>
        <v>5231.74</v>
      </c>
      <c r="I4" s="197">
        <f t="shared" ref="I4:I5" si="1">G4+H4</f>
        <v>46233.89</v>
      </c>
    </row>
    <row r="5">
      <c r="A5" s="196" t="s">
        <v>236</v>
      </c>
      <c r="F5" s="198" t="s">
        <v>237</v>
      </c>
      <c r="G5" s="197">
        <v>45500.0</v>
      </c>
      <c r="H5" s="197">
        <f>D10+1400</f>
        <v>6436</v>
      </c>
      <c r="I5" s="197">
        <f t="shared" si="1"/>
        <v>51936</v>
      </c>
    </row>
    <row r="6">
      <c r="A6" s="254" t="s">
        <v>238</v>
      </c>
      <c r="B6" s="254" t="s">
        <v>376</v>
      </c>
      <c r="C6" s="254" t="s">
        <v>240</v>
      </c>
      <c r="D6" s="235">
        <v>15396.28</v>
      </c>
      <c r="F6" s="196" t="s">
        <v>241</v>
      </c>
      <c r="G6" s="197">
        <f>VLOOKUP(F6,A5:D35,4,FALSE)</f>
        <v>3646.71</v>
      </c>
      <c r="I6" s="197">
        <f>G6</f>
        <v>3646.71</v>
      </c>
      <c r="J6" s="197">
        <f>G5+G6+H7</f>
        <v>64986.39</v>
      </c>
    </row>
    <row r="7" ht="13.5" customHeight="1">
      <c r="A7" s="254" t="s">
        <v>242</v>
      </c>
      <c r="B7" s="254" t="s">
        <v>376</v>
      </c>
      <c r="C7" s="254" t="s">
        <v>240</v>
      </c>
      <c r="D7" s="235">
        <v>23447.47</v>
      </c>
      <c r="E7" s="196"/>
      <c r="F7" s="196" t="s">
        <v>377</v>
      </c>
      <c r="G7" s="197"/>
      <c r="H7" s="197">
        <f>D15</f>
        <v>15839.68</v>
      </c>
      <c r="I7" s="197">
        <f>SUM(I4:I6)</f>
        <v>101816.6</v>
      </c>
      <c r="J7" s="197">
        <f>G9*0.047</f>
        <v>-927.31987</v>
      </c>
    </row>
    <row r="8" ht="14.25" customHeight="1">
      <c r="A8" s="254" t="s">
        <v>244</v>
      </c>
      <c r="B8" s="254" t="s">
        <v>378</v>
      </c>
      <c r="C8" s="254" t="s">
        <v>240</v>
      </c>
      <c r="D8" s="235">
        <v>2113.35</v>
      </c>
      <c r="F8" s="196" t="s">
        <v>379</v>
      </c>
      <c r="G8" s="197">
        <f t="shared" ref="G8:H8" si="2">SUM(G4:G7)</f>
        <v>90148.86</v>
      </c>
      <c r="H8" s="197">
        <f t="shared" si="2"/>
        <v>27507.42</v>
      </c>
    </row>
    <row r="9" ht="14.25" customHeight="1">
      <c r="A9" s="254" t="s">
        <v>362</v>
      </c>
      <c r="B9" s="254" t="s">
        <v>376</v>
      </c>
      <c r="C9" s="254" t="s">
        <v>240</v>
      </c>
      <c r="D9" s="254">
        <v>45.05</v>
      </c>
      <c r="E9" s="196"/>
      <c r="F9" s="199" t="s">
        <v>245</v>
      </c>
      <c r="G9" s="200">
        <f>-VLOOKUP(F9,A39:D58,4,)</f>
        <v>-19730.21</v>
      </c>
      <c r="H9" s="199"/>
      <c r="I9" s="200">
        <f>G8+G9+H7</f>
        <v>86258.33</v>
      </c>
      <c r="J9" s="199" t="s">
        <v>141</v>
      </c>
    </row>
    <row r="10" ht="14.25" customHeight="1">
      <c r="A10" s="254" t="s">
        <v>247</v>
      </c>
      <c r="B10" s="254" t="s">
        <v>248</v>
      </c>
      <c r="C10" s="254" t="s">
        <v>240</v>
      </c>
      <c r="D10" s="235">
        <v>5036.0</v>
      </c>
      <c r="E10" s="196"/>
      <c r="F10" s="198"/>
      <c r="G10" s="197"/>
      <c r="H10" s="197"/>
      <c r="I10" s="197"/>
    </row>
    <row r="11">
      <c r="A11" s="254" t="s">
        <v>363</v>
      </c>
      <c r="B11" s="254" t="s">
        <v>376</v>
      </c>
      <c r="C11" s="254" t="s">
        <v>240</v>
      </c>
      <c r="D11" s="254">
        <v>1.21</v>
      </c>
      <c r="E11" s="196"/>
      <c r="F11" s="255" t="s">
        <v>329</v>
      </c>
      <c r="G11" s="256">
        <f>I7</f>
        <v>101816.6</v>
      </c>
      <c r="H11" s="256">
        <f>G11+H7</f>
        <v>117656.28</v>
      </c>
    </row>
    <row r="12">
      <c r="A12" s="254" t="s">
        <v>364</v>
      </c>
      <c r="B12" s="254" t="s">
        <v>376</v>
      </c>
      <c r="C12" s="254" t="s">
        <v>240</v>
      </c>
      <c r="D12" s="254">
        <v>2.02</v>
      </c>
      <c r="E12" s="196"/>
      <c r="F12" s="196" t="s">
        <v>138</v>
      </c>
      <c r="G12" s="196" t="s">
        <v>331</v>
      </c>
      <c r="H12" s="196" t="s">
        <v>157</v>
      </c>
      <c r="I12" s="196" t="s">
        <v>332</v>
      </c>
      <c r="J12" s="196" t="s">
        <v>380</v>
      </c>
    </row>
    <row r="13" ht="14.25" customHeight="1">
      <c r="A13" s="254" t="s">
        <v>249</v>
      </c>
      <c r="B13" s="254" t="s">
        <v>381</v>
      </c>
      <c r="C13" s="254" t="s">
        <v>240</v>
      </c>
      <c r="D13" s="235">
        <v>1484.78</v>
      </c>
      <c r="E13" s="196"/>
      <c r="F13" s="197">
        <f>G6</f>
        <v>3646.71</v>
      </c>
      <c r="G13" s="197">
        <f>I5</f>
        <v>51936</v>
      </c>
      <c r="H13" s="197">
        <f>I4</f>
        <v>46233.89</v>
      </c>
      <c r="I13" s="197">
        <f>H7</f>
        <v>15839.68</v>
      </c>
      <c r="J13" s="197">
        <f>SUM(F13:I13)</f>
        <v>117656.28</v>
      </c>
    </row>
    <row r="14" ht="14.25" customHeight="1">
      <c r="A14" s="254" t="s">
        <v>251</v>
      </c>
      <c r="B14" s="254" t="s">
        <v>381</v>
      </c>
      <c r="C14" s="254" t="s">
        <v>240</v>
      </c>
      <c r="D14" s="235">
        <v>3743.73</v>
      </c>
      <c r="E14" s="196"/>
    </row>
    <row r="15" ht="14.25" customHeight="1">
      <c r="A15" s="254" t="s">
        <v>252</v>
      </c>
      <c r="B15" s="254" t="s">
        <v>253</v>
      </c>
      <c r="C15" s="254" t="s">
        <v>240</v>
      </c>
      <c r="D15" s="235">
        <v>15839.68</v>
      </c>
      <c r="E15" s="196"/>
    </row>
    <row r="16" ht="14.25" customHeight="1">
      <c r="A16" s="254" t="s">
        <v>382</v>
      </c>
      <c r="B16" s="254" t="s">
        <v>383</v>
      </c>
      <c r="C16" s="254" t="s">
        <v>240</v>
      </c>
      <c r="D16" s="235">
        <v>29400.0</v>
      </c>
      <c r="E16" s="196"/>
    </row>
    <row r="17" ht="14.25" customHeight="1">
      <c r="A17" s="254" t="s">
        <v>254</v>
      </c>
      <c r="B17" s="254" t="s">
        <v>255</v>
      </c>
      <c r="C17" s="254" t="s">
        <v>240</v>
      </c>
      <c r="D17" s="235">
        <v>95053.57</v>
      </c>
      <c r="E17" s="196"/>
    </row>
    <row r="18" ht="14.25" customHeight="1">
      <c r="E18" s="196"/>
    </row>
    <row r="19" ht="14.25" customHeight="1">
      <c r="A19" s="196" t="s">
        <v>256</v>
      </c>
      <c r="E19" s="196"/>
    </row>
    <row r="20" ht="14.25" customHeight="1">
      <c r="A20" s="196" t="s">
        <v>257</v>
      </c>
      <c r="B20" s="254" t="s">
        <v>376</v>
      </c>
      <c r="C20" s="254" t="s">
        <v>240</v>
      </c>
      <c r="D20" s="254">
        <v>499.61</v>
      </c>
      <c r="E20" s="196"/>
    </row>
    <row r="21" ht="14.25" customHeight="1">
      <c r="A21" s="196" t="s">
        <v>259</v>
      </c>
      <c r="B21" s="254" t="s">
        <v>376</v>
      </c>
      <c r="C21" s="254" t="s">
        <v>240</v>
      </c>
      <c r="D21" s="254">
        <v>51.02</v>
      </c>
      <c r="E21" s="196"/>
    </row>
    <row r="22" ht="14.25" customHeight="1">
      <c r="A22" s="196" t="s">
        <v>260</v>
      </c>
      <c r="B22" s="254" t="s">
        <v>376</v>
      </c>
      <c r="C22" s="254" t="s">
        <v>240</v>
      </c>
      <c r="D22" s="254">
        <v>50.67</v>
      </c>
      <c r="E22" s="235"/>
    </row>
    <row r="23" ht="14.25" customHeight="1">
      <c r="A23" s="196" t="s">
        <v>261</v>
      </c>
      <c r="B23" s="254" t="s">
        <v>376</v>
      </c>
      <c r="C23" s="254" t="s">
        <v>240</v>
      </c>
      <c r="D23" s="254">
        <v>520.0</v>
      </c>
      <c r="E23" s="196"/>
    </row>
    <row r="24" ht="14.25" customHeight="1">
      <c r="A24" s="196" t="s">
        <v>262</v>
      </c>
      <c r="B24" s="254" t="s">
        <v>263</v>
      </c>
      <c r="C24" s="254" t="s">
        <v>240</v>
      </c>
      <c r="D24" s="254">
        <v>0.0</v>
      </c>
      <c r="E24" s="235"/>
    </row>
    <row r="25" ht="14.25" customHeight="1">
      <c r="A25" s="196" t="s">
        <v>333</v>
      </c>
      <c r="B25" s="254" t="s">
        <v>376</v>
      </c>
      <c r="C25" s="254" t="s">
        <v>240</v>
      </c>
      <c r="D25" s="254">
        <v>264.84</v>
      </c>
      <c r="E25" s="235"/>
    </row>
    <row r="26" ht="14.25" customHeight="1">
      <c r="A26" s="196" t="s">
        <v>264</v>
      </c>
      <c r="B26" s="254" t="s">
        <v>376</v>
      </c>
      <c r="C26" s="254" t="s">
        <v>240</v>
      </c>
      <c r="D26" s="235">
        <v>2400.45</v>
      </c>
      <c r="E26" s="235"/>
    </row>
    <row r="27" ht="14.25" customHeight="1">
      <c r="A27" s="196" t="s">
        <v>334</v>
      </c>
      <c r="B27" s="254" t="s">
        <v>376</v>
      </c>
      <c r="C27" s="254" t="s">
        <v>240</v>
      </c>
      <c r="D27" s="254">
        <v>170.6</v>
      </c>
      <c r="E27" s="235"/>
    </row>
    <row r="28" ht="14.25" customHeight="1">
      <c r="A28" s="196" t="s">
        <v>265</v>
      </c>
      <c r="B28" s="254" t="s">
        <v>384</v>
      </c>
      <c r="C28" s="254" t="s">
        <v>240</v>
      </c>
      <c r="D28" s="254">
        <v>180.63</v>
      </c>
      <c r="E28" s="235"/>
    </row>
    <row r="29" ht="14.25" customHeight="1">
      <c r="A29" s="196" t="s">
        <v>267</v>
      </c>
      <c r="B29" s="254" t="s">
        <v>376</v>
      </c>
      <c r="C29" s="254" t="s">
        <v>240</v>
      </c>
      <c r="D29" s="254">
        <v>-5.0</v>
      </c>
      <c r="E29" s="196"/>
    </row>
    <row r="30" ht="14.25" customHeight="1">
      <c r="B30" s="196" t="s">
        <v>255</v>
      </c>
      <c r="C30" s="196" t="s">
        <v>240</v>
      </c>
      <c r="D30" s="235">
        <v>4132.82</v>
      </c>
      <c r="E30" s="235"/>
    </row>
    <row r="31" ht="14.25" customHeight="1">
      <c r="A31" s="196" t="s">
        <v>241</v>
      </c>
      <c r="D31" s="235">
        <f>D20+D26+D28+D29+D21+D23+D24</f>
        <v>3646.71</v>
      </c>
      <c r="E31" s="235"/>
    </row>
    <row r="32" ht="14.25" customHeight="1">
      <c r="E32" s="235"/>
    </row>
    <row r="33" ht="14.25" customHeight="1">
      <c r="A33" s="196" t="s">
        <v>268</v>
      </c>
      <c r="E33" s="196"/>
      <c r="F33" s="235"/>
      <c r="G33" s="196"/>
    </row>
    <row r="34" ht="14.25" customHeight="1">
      <c r="A34" s="196" t="s">
        <v>269</v>
      </c>
      <c r="B34" s="196" t="s">
        <v>270</v>
      </c>
      <c r="C34" s="196" t="s">
        <v>240</v>
      </c>
      <c r="D34" s="235">
        <v>7500.0</v>
      </c>
      <c r="E34" s="196"/>
      <c r="F34" s="235"/>
      <c r="G34" s="196"/>
    </row>
    <row r="35" ht="14.25" customHeight="1">
      <c r="A35" s="196" t="s">
        <v>271</v>
      </c>
      <c r="B35" s="196" t="s">
        <v>255</v>
      </c>
      <c r="C35" s="196" t="s">
        <v>240</v>
      </c>
      <c r="D35" s="235">
        <v>7500.0</v>
      </c>
      <c r="E35" s="196"/>
      <c r="F35" s="235"/>
      <c r="G35" s="196"/>
    </row>
    <row r="36" ht="14.25" customHeight="1">
      <c r="E36" s="196"/>
      <c r="F36" s="235"/>
      <c r="G36" s="196" t="s">
        <v>272</v>
      </c>
      <c r="I36" s="245" t="str">
        <f>A7</f>
        <v>Merrill Lynch Merrill Edge-CMA-Edgex2085-CMA-x-2085</v>
      </c>
      <c r="K36" s="245" t="str">
        <f>A6</f>
        <v>Robinhood-Robinhood Brokerage-brokerageCash-x-8271</v>
      </c>
      <c r="L36" s="245" t="str">
        <f>A8</f>
        <v>Chase-Self-Directed-individual-x-3098</v>
      </c>
    </row>
    <row r="37" ht="14.25" customHeight="1">
      <c r="A37" s="196" t="s">
        <v>273</v>
      </c>
      <c r="B37" s="196" t="s">
        <v>255</v>
      </c>
      <c r="C37" s="196" t="s">
        <v>240</v>
      </c>
      <c r="D37" s="235">
        <v>106686.39</v>
      </c>
      <c r="E37" s="196"/>
      <c r="F37" s="235"/>
      <c r="G37" s="196" t="s">
        <v>274</v>
      </c>
      <c r="H37" s="196">
        <v>190.0</v>
      </c>
      <c r="I37" s="196">
        <v>347.38</v>
      </c>
      <c r="K37" s="196">
        <f>6.2*173</f>
        <v>1072.6</v>
      </c>
    </row>
    <row r="38" ht="14.25" customHeight="1">
      <c r="E38" s="196"/>
      <c r="F38" s="235"/>
      <c r="G38" s="196" t="s">
        <v>275</v>
      </c>
      <c r="H38" s="196">
        <v>150.0</v>
      </c>
      <c r="I38" s="196">
        <v>110.0</v>
      </c>
      <c r="J38" s="196">
        <f>H38/36.97</f>
        <v>4.057343792</v>
      </c>
      <c r="K38" s="196">
        <v>152.0</v>
      </c>
    </row>
    <row r="39" ht="14.25" customHeight="1">
      <c r="A39" s="196" t="s">
        <v>276</v>
      </c>
      <c r="B39" s="196" t="s">
        <v>233</v>
      </c>
      <c r="C39" s="196" t="s">
        <v>234</v>
      </c>
      <c r="D39" s="196" t="s">
        <v>235</v>
      </c>
      <c r="E39" s="196"/>
      <c r="F39" s="235"/>
      <c r="G39" s="196" t="s">
        <v>277</v>
      </c>
      <c r="H39" s="196">
        <v>20.0</v>
      </c>
      <c r="K39" s="196">
        <v>450.0</v>
      </c>
    </row>
    <row r="40" ht="14.25" customHeight="1">
      <c r="E40" s="196"/>
      <c r="F40" s="235"/>
      <c r="G40" s="196" t="s">
        <v>278</v>
      </c>
      <c r="H40" s="196">
        <v>80.0</v>
      </c>
      <c r="I40" s="196">
        <v>154.69</v>
      </c>
      <c r="K40" s="196">
        <v>1000.0</v>
      </c>
    </row>
    <row r="41" ht="14.25" customHeight="1">
      <c r="A41" s="196" t="s">
        <v>279</v>
      </c>
      <c r="E41" s="196"/>
      <c r="F41" s="235"/>
      <c r="G41" s="196" t="s">
        <v>280</v>
      </c>
      <c r="H41" s="196">
        <v>250.0</v>
      </c>
      <c r="I41" s="196">
        <v>212.3</v>
      </c>
    </row>
    <row r="42" ht="14.25" customHeight="1">
      <c r="A42" s="254" t="s">
        <v>367</v>
      </c>
      <c r="B42" s="254" t="s">
        <v>376</v>
      </c>
      <c r="C42" s="254" t="s">
        <v>240</v>
      </c>
      <c r="D42" s="254">
        <v>-8.66</v>
      </c>
      <c r="E42" s="196"/>
      <c r="F42" s="235"/>
      <c r="G42" s="196" t="s">
        <v>282</v>
      </c>
      <c r="H42" s="196">
        <v>450.0</v>
      </c>
      <c r="K42" s="196">
        <v>1000.0</v>
      </c>
    </row>
    <row r="43" ht="14.25" customHeight="1">
      <c r="A43" s="254" t="s">
        <v>368</v>
      </c>
      <c r="B43" s="254" t="s">
        <v>376</v>
      </c>
      <c r="C43" s="254" t="s">
        <v>240</v>
      </c>
      <c r="D43" s="254">
        <v>-18.41</v>
      </c>
      <c r="E43" s="196"/>
      <c r="F43" s="235"/>
      <c r="G43" s="196" t="s">
        <v>284</v>
      </c>
      <c r="H43" s="196">
        <v>322.0</v>
      </c>
      <c r="I43" s="196">
        <v>494.0</v>
      </c>
    </row>
    <row r="44" ht="14.25" customHeight="1">
      <c r="A44" s="254" t="s">
        <v>369</v>
      </c>
      <c r="B44" s="254" t="s">
        <v>376</v>
      </c>
      <c r="C44" s="254" t="s">
        <v>240</v>
      </c>
      <c r="D44" s="235">
        <v>11866.62</v>
      </c>
      <c r="E44" s="246"/>
      <c r="G44" s="196" t="s">
        <v>286</v>
      </c>
      <c r="H44" s="196">
        <v>167.0</v>
      </c>
      <c r="K44" s="196">
        <f>4*122</f>
        <v>488</v>
      </c>
    </row>
    <row r="45" ht="14.25" customHeight="1">
      <c r="A45" s="254" t="s">
        <v>287</v>
      </c>
      <c r="B45" s="254" t="s">
        <v>376</v>
      </c>
      <c r="C45" s="254" t="s">
        <v>240</v>
      </c>
      <c r="D45" s="254">
        <v>0.0</v>
      </c>
      <c r="G45" s="196" t="s">
        <v>288</v>
      </c>
      <c r="K45" s="196">
        <f>3.135147*397</f>
        <v>1244.653359</v>
      </c>
    </row>
    <row r="46" ht="14.25" customHeight="1">
      <c r="A46" s="254" t="s">
        <v>289</v>
      </c>
      <c r="B46" s="254" t="s">
        <v>290</v>
      </c>
      <c r="C46" s="254" t="s">
        <v>240</v>
      </c>
      <c r="D46" s="254">
        <v>0.0</v>
      </c>
      <c r="G46" s="196" t="s">
        <v>291</v>
      </c>
      <c r="K46" s="196">
        <v>223.0</v>
      </c>
      <c r="L46" s="196">
        <f>2*454.5</f>
        <v>909</v>
      </c>
    </row>
    <row r="47" ht="14.25" customHeight="1">
      <c r="A47" s="254" t="s">
        <v>292</v>
      </c>
      <c r="B47" s="254" t="s">
        <v>293</v>
      </c>
      <c r="C47" s="254" t="s">
        <v>240</v>
      </c>
      <c r="D47" s="254">
        <v>0.0</v>
      </c>
      <c r="G47" s="196" t="s">
        <v>294</v>
      </c>
      <c r="K47" s="196">
        <v>313.0</v>
      </c>
    </row>
    <row r="48" ht="14.25" customHeight="1">
      <c r="A48" s="254" t="s">
        <v>295</v>
      </c>
      <c r="B48" s="254" t="s">
        <v>376</v>
      </c>
      <c r="C48" s="254" t="s">
        <v>240</v>
      </c>
      <c r="D48" s="254">
        <v>-27.28</v>
      </c>
      <c r="E48" s="196"/>
      <c r="G48" s="196" t="s">
        <v>296</v>
      </c>
      <c r="K48" s="196">
        <v>430.0</v>
      </c>
    </row>
    <row r="49" ht="14.25" customHeight="1">
      <c r="A49" s="254" t="s">
        <v>297</v>
      </c>
      <c r="B49" s="254" t="s">
        <v>298</v>
      </c>
      <c r="C49" s="254" t="s">
        <v>240</v>
      </c>
      <c r="D49" s="254">
        <v>0.0</v>
      </c>
      <c r="E49" s="196"/>
      <c r="G49" s="196" t="s">
        <v>299</v>
      </c>
      <c r="K49" s="196">
        <v>300.0</v>
      </c>
    </row>
    <row r="50" ht="14.25" customHeight="1">
      <c r="A50" s="254" t="s">
        <v>300</v>
      </c>
      <c r="B50" s="254" t="s">
        <v>290</v>
      </c>
      <c r="C50" s="254" t="s">
        <v>240</v>
      </c>
      <c r="D50" s="254">
        <v>0.0</v>
      </c>
      <c r="E50" s="196"/>
      <c r="H50" s="196">
        <f t="shared" ref="H50:I50" si="3">SUM(H35:H49)</f>
        <v>1629</v>
      </c>
      <c r="I50" s="196">
        <f t="shared" si="3"/>
        <v>1318.37</v>
      </c>
      <c r="K50" s="196">
        <f t="shared" ref="K50:L50" si="4">SUM(K35:K49)</f>
        <v>6673.253359</v>
      </c>
      <c r="L50" s="196">
        <f t="shared" si="4"/>
        <v>909</v>
      </c>
      <c r="M50" s="196">
        <f t="shared" ref="M50:M51" si="5">SUM(I50:L50)</f>
        <v>8900.623359</v>
      </c>
    </row>
    <row r="51" ht="14.25" customHeight="1">
      <c r="A51" s="254" t="s">
        <v>301</v>
      </c>
      <c r="B51" s="254" t="s">
        <v>376</v>
      </c>
      <c r="C51" s="254" t="s">
        <v>240</v>
      </c>
      <c r="D51" s="254">
        <v>806.64</v>
      </c>
      <c r="E51" s="196"/>
      <c r="H51" s="249" t="s">
        <v>336</v>
      </c>
      <c r="I51" s="196">
        <v>1400.0</v>
      </c>
      <c r="K51" s="196">
        <v>6777.0</v>
      </c>
      <c r="L51" s="196">
        <v>944.0</v>
      </c>
      <c r="M51" s="196">
        <f t="shared" si="5"/>
        <v>9121</v>
      </c>
    </row>
    <row r="52" ht="14.25" customHeight="1">
      <c r="A52" s="254" t="s">
        <v>302</v>
      </c>
      <c r="B52" s="254" t="s">
        <v>385</v>
      </c>
      <c r="C52" s="254" t="s">
        <v>240</v>
      </c>
      <c r="D52" s="254">
        <v>0.0</v>
      </c>
      <c r="E52" s="196"/>
      <c r="I52" s="196" t="s">
        <v>303</v>
      </c>
      <c r="J52" s="196">
        <v>2300.0</v>
      </c>
      <c r="M52" s="196">
        <f>SUM(J52+M50)</f>
        <v>11200.62336</v>
      </c>
      <c r="N52" s="196" t="s">
        <v>304</v>
      </c>
    </row>
    <row r="53" ht="14.25" customHeight="1">
      <c r="A53" s="254" t="s">
        <v>305</v>
      </c>
      <c r="B53" s="254" t="s">
        <v>385</v>
      </c>
      <c r="C53" s="254" t="s">
        <v>240</v>
      </c>
      <c r="D53" s="254">
        <v>0.0</v>
      </c>
      <c r="E53" s="196"/>
    </row>
    <row r="54" ht="14.25" customHeight="1">
      <c r="A54" s="254" t="s">
        <v>306</v>
      </c>
      <c r="B54" s="254" t="s">
        <v>376</v>
      </c>
      <c r="C54" s="254" t="s">
        <v>240</v>
      </c>
      <c r="D54" s="254">
        <v>0.0</v>
      </c>
    </row>
    <row r="55" ht="14.25" customHeight="1">
      <c r="A55" s="254" t="s">
        <v>308</v>
      </c>
      <c r="B55" s="254" t="s">
        <v>376</v>
      </c>
      <c r="C55" s="254" t="s">
        <v>240</v>
      </c>
      <c r="D55" s="254">
        <v>0.0</v>
      </c>
    </row>
    <row r="56" ht="14.25" customHeight="1">
      <c r="A56" s="254" t="s">
        <v>309</v>
      </c>
      <c r="B56" s="254" t="s">
        <v>376</v>
      </c>
      <c r="C56" s="254" t="s">
        <v>240</v>
      </c>
      <c r="D56" s="235">
        <v>7917.94</v>
      </c>
    </row>
    <row r="57" ht="14.25" customHeight="1">
      <c r="B57" s="196" t="s">
        <v>255</v>
      </c>
      <c r="C57" s="196" t="s">
        <v>240</v>
      </c>
      <c r="D57" s="235">
        <v>20536.85</v>
      </c>
    </row>
    <row r="58" ht="14.25" customHeight="1">
      <c r="A58" s="196" t="s">
        <v>245</v>
      </c>
      <c r="C58" s="196" t="s">
        <v>240</v>
      </c>
      <c r="D58" s="235">
        <f>D57-D51</f>
        <v>19730.21</v>
      </c>
    </row>
    <row r="59" ht="14.25" customHeight="1">
      <c r="A59" s="196" t="s">
        <v>310</v>
      </c>
    </row>
    <row r="60" ht="14.25" customHeight="1">
      <c r="A60" s="254" t="s">
        <v>338</v>
      </c>
      <c r="B60" s="254" t="s">
        <v>386</v>
      </c>
      <c r="C60" s="254" t="s">
        <v>240</v>
      </c>
      <c r="D60" s="235">
        <v>2000.0</v>
      </c>
      <c r="E60" s="235"/>
    </row>
    <row r="61" ht="14.25" customHeight="1">
      <c r="A61" s="254" t="s">
        <v>340</v>
      </c>
      <c r="B61" s="254" t="s">
        <v>386</v>
      </c>
      <c r="C61" s="254" t="s">
        <v>240</v>
      </c>
      <c r="D61" s="235">
        <v>1904.12</v>
      </c>
      <c r="E61" s="235"/>
    </row>
    <row r="62" ht="14.25" customHeight="1">
      <c r="A62" s="254" t="s">
        <v>341</v>
      </c>
      <c r="B62" s="254" t="s">
        <v>386</v>
      </c>
      <c r="C62" s="254" t="s">
        <v>240</v>
      </c>
      <c r="D62" s="235">
        <v>8589.0</v>
      </c>
      <c r="E62" s="235"/>
    </row>
    <row r="63" ht="14.25" customHeight="1">
      <c r="A63" s="254" t="s">
        <v>342</v>
      </c>
      <c r="B63" s="254" t="s">
        <v>386</v>
      </c>
      <c r="C63" s="254" t="s">
        <v>240</v>
      </c>
      <c r="D63" s="235">
        <v>11843.0</v>
      </c>
      <c r="E63" s="235"/>
    </row>
    <row r="64" ht="14.25" customHeight="1">
      <c r="A64" s="254" t="s">
        <v>343</v>
      </c>
      <c r="B64" s="254" t="s">
        <v>386</v>
      </c>
      <c r="C64" s="254" t="s">
        <v>240</v>
      </c>
      <c r="D64" s="235">
        <v>8657.0</v>
      </c>
      <c r="E64" s="235"/>
    </row>
    <row r="65" ht="14.25" customHeight="1">
      <c r="A65" s="254" t="s">
        <v>344</v>
      </c>
      <c r="B65" s="254" t="s">
        <v>386</v>
      </c>
      <c r="C65" s="254" t="s">
        <v>240</v>
      </c>
      <c r="D65" s="254">
        <v>531.0</v>
      </c>
    </row>
    <row r="66" ht="14.25" customHeight="1">
      <c r="A66" s="254" t="s">
        <v>340</v>
      </c>
      <c r="B66" s="254" t="s">
        <v>345</v>
      </c>
      <c r="C66" s="254" t="s">
        <v>240</v>
      </c>
      <c r="D66" s="235">
        <v>1932.87</v>
      </c>
      <c r="E66" s="235"/>
    </row>
    <row r="67" ht="14.25" customHeight="1">
      <c r="A67" s="254" t="s">
        <v>346</v>
      </c>
      <c r="B67" s="254" t="s">
        <v>386</v>
      </c>
      <c r="C67" s="254" t="s">
        <v>240</v>
      </c>
      <c r="D67" s="235">
        <v>4500.0</v>
      </c>
      <c r="E67" s="235"/>
    </row>
    <row r="68" ht="14.25" customHeight="1">
      <c r="A68" s="254" t="s">
        <v>347</v>
      </c>
      <c r="B68" s="254" t="s">
        <v>386</v>
      </c>
      <c r="C68" s="254" t="s">
        <v>240</v>
      </c>
      <c r="D68" s="254">
        <v>907.59</v>
      </c>
      <c r="G68" s="250" t="s">
        <v>348</v>
      </c>
      <c r="H68" s="251">
        <f>SUM(F71:J71)</f>
        <v>138605.26</v>
      </c>
    </row>
    <row r="69" ht="14.25" customHeight="1">
      <c r="A69" s="254" t="s">
        <v>349</v>
      </c>
      <c r="B69" s="254" t="s">
        <v>386</v>
      </c>
      <c r="C69" s="254" t="s">
        <v>240</v>
      </c>
      <c r="D69" s="254">
        <v>610.25</v>
      </c>
    </row>
    <row r="70" ht="14.25" customHeight="1">
      <c r="A70" s="254" t="s">
        <v>350</v>
      </c>
      <c r="B70" s="254" t="s">
        <v>386</v>
      </c>
      <c r="C70" s="254" t="s">
        <v>240</v>
      </c>
      <c r="D70" s="235">
        <v>4500.0</v>
      </c>
      <c r="E70" s="235"/>
      <c r="F70" s="196" t="s">
        <v>351</v>
      </c>
      <c r="G70" s="196" t="str">
        <f>A82</f>
        <v>Loan BPS Collen Fund-Personal/Nopay till further noitice</v>
      </c>
      <c r="H70" s="196" t="str">
        <f>A83</f>
        <v>NYS Loan Masters Edu-Personal</v>
      </c>
      <c r="I70" s="196" t="str">
        <f>A84</f>
        <v>TEACh Grant-Personal</v>
      </c>
      <c r="J70" s="196" t="str">
        <f>A58</f>
        <v>			Cards TOTAL</v>
      </c>
      <c r="K70" s="250" t="s">
        <v>348</v>
      </c>
    </row>
    <row r="71" ht="14.25" customHeight="1">
      <c r="A71" s="254" t="s">
        <v>352</v>
      </c>
      <c r="B71" s="254" t="s">
        <v>386</v>
      </c>
      <c r="C71" s="254" t="s">
        <v>240</v>
      </c>
      <c r="D71" s="235">
        <v>5896.67</v>
      </c>
      <c r="E71" s="235"/>
      <c r="F71" s="235">
        <f>E81</f>
        <v>87599.55</v>
      </c>
      <c r="G71" s="235">
        <f>D82</f>
        <v>11700</v>
      </c>
      <c r="H71" s="235">
        <f>D83</f>
        <v>13917.5</v>
      </c>
      <c r="I71" s="235">
        <f>D84</f>
        <v>5658</v>
      </c>
      <c r="J71" s="235">
        <f>D58</f>
        <v>19730.21</v>
      </c>
      <c r="K71" s="251">
        <f>H68</f>
        <v>138605.26</v>
      </c>
    </row>
    <row r="72" ht="14.25" customHeight="1">
      <c r="A72" s="254" t="s">
        <v>353</v>
      </c>
      <c r="B72" s="254" t="s">
        <v>386</v>
      </c>
      <c r="C72" s="254" t="s">
        <v>240</v>
      </c>
      <c r="D72" s="235">
        <v>5500.0</v>
      </c>
      <c r="E72" s="235"/>
    </row>
    <row r="73" ht="14.25" customHeight="1">
      <c r="A73" s="254" t="s">
        <v>354</v>
      </c>
      <c r="B73" s="254" t="s">
        <v>386</v>
      </c>
      <c r="C73" s="254" t="s">
        <v>240</v>
      </c>
      <c r="D73" s="235">
        <v>6613.65</v>
      </c>
      <c r="E73" s="235"/>
    </row>
    <row r="74" ht="14.25" customHeight="1">
      <c r="A74" s="254" t="s">
        <v>355</v>
      </c>
      <c r="B74" s="254" t="s">
        <v>345</v>
      </c>
      <c r="C74" s="254" t="s">
        <v>240</v>
      </c>
      <c r="D74" s="235">
        <v>6429.0</v>
      </c>
      <c r="E74" s="235"/>
    </row>
    <row r="75" ht="14.25" customHeight="1">
      <c r="A75" s="254" t="s">
        <v>338</v>
      </c>
      <c r="B75" s="254" t="s">
        <v>345</v>
      </c>
      <c r="C75" s="254" t="s">
        <v>240</v>
      </c>
      <c r="D75" s="235">
        <v>2000.0</v>
      </c>
      <c r="E75" s="235"/>
    </row>
    <row r="76" ht="14.25" customHeight="1">
      <c r="A76" s="254" t="s">
        <v>356</v>
      </c>
      <c r="B76" s="254" t="s">
        <v>345</v>
      </c>
      <c r="C76" s="254" t="s">
        <v>240</v>
      </c>
      <c r="D76" s="235">
        <v>1400.0</v>
      </c>
      <c r="E76" s="235"/>
    </row>
    <row r="77" ht="14.25" customHeight="1">
      <c r="A77" s="254" t="s">
        <v>357</v>
      </c>
      <c r="B77" s="254" t="s">
        <v>345</v>
      </c>
      <c r="C77" s="254" t="s">
        <v>240</v>
      </c>
      <c r="D77" s="235">
        <v>1936.1</v>
      </c>
      <c r="E77" s="235"/>
    </row>
    <row r="78" ht="14.25" customHeight="1">
      <c r="A78" s="254" t="s">
        <v>355</v>
      </c>
      <c r="B78" s="254" t="s">
        <v>386</v>
      </c>
      <c r="C78" s="254" t="s">
        <v>240</v>
      </c>
      <c r="D78" s="235">
        <v>6429.0</v>
      </c>
      <c r="E78" s="235"/>
    </row>
    <row r="79" ht="14.25" customHeight="1">
      <c r="A79" s="254" t="s">
        <v>357</v>
      </c>
      <c r="B79" s="254" t="s">
        <v>386</v>
      </c>
      <c r="C79" s="254" t="s">
        <v>240</v>
      </c>
      <c r="D79" s="235">
        <v>1907.3</v>
      </c>
      <c r="E79" s="235"/>
    </row>
    <row r="80" ht="14.25" customHeight="1">
      <c r="A80" s="254" t="s">
        <v>356</v>
      </c>
      <c r="B80" s="254" t="s">
        <v>386</v>
      </c>
      <c r="C80" s="254" t="s">
        <v>240</v>
      </c>
      <c r="D80" s="235">
        <v>1400.0</v>
      </c>
      <c r="E80" s="235"/>
    </row>
    <row r="81" ht="14.25" customHeight="1">
      <c r="A81" s="254" t="s">
        <v>358</v>
      </c>
      <c r="B81" s="254" t="s">
        <v>386</v>
      </c>
      <c r="C81" s="254" t="s">
        <v>240</v>
      </c>
      <c r="D81" s="235">
        <v>2113.0</v>
      </c>
      <c r="E81" s="235">
        <f>SUM(D60:D81)</f>
        <v>87599.55</v>
      </c>
    </row>
    <row r="82" ht="14.25" customHeight="1">
      <c r="A82" s="254" t="s">
        <v>387</v>
      </c>
      <c r="B82" s="254" t="s">
        <v>312</v>
      </c>
      <c r="C82" s="254" t="s">
        <v>240</v>
      </c>
      <c r="D82" s="235">
        <v>11700.0</v>
      </c>
      <c r="E82" s="254" t="s">
        <v>388</v>
      </c>
    </row>
    <row r="83" ht="14.25" customHeight="1">
      <c r="A83" s="254" t="s">
        <v>313</v>
      </c>
      <c r="B83" s="254" t="s">
        <v>314</v>
      </c>
      <c r="C83" s="254" t="s">
        <v>240</v>
      </c>
      <c r="D83" s="235">
        <v>13917.5</v>
      </c>
    </row>
    <row r="84" ht="14.25" customHeight="1">
      <c r="A84" s="254" t="s">
        <v>319</v>
      </c>
      <c r="B84" s="254" t="s">
        <v>320</v>
      </c>
      <c r="C84" s="254" t="s">
        <v>240</v>
      </c>
      <c r="D84" s="235">
        <v>5658.0</v>
      </c>
    </row>
    <row r="85" ht="14.25" customHeight="1">
      <c r="A85" s="254" t="s">
        <v>321</v>
      </c>
      <c r="B85" s="254" t="s">
        <v>255</v>
      </c>
      <c r="C85" s="254" t="s">
        <v>240</v>
      </c>
      <c r="D85" s="235">
        <v>118875.05</v>
      </c>
    </row>
    <row r="86" ht="14.25" customHeight="1"/>
    <row r="87" ht="14.25" customHeight="1">
      <c r="A87" s="196" t="s">
        <v>322</v>
      </c>
    </row>
    <row r="88" ht="14.25" customHeight="1">
      <c r="A88" s="196" t="s">
        <v>323</v>
      </c>
      <c r="B88" s="196" t="s">
        <v>312</v>
      </c>
      <c r="C88" s="196" t="s">
        <v>240</v>
      </c>
      <c r="D88" s="235">
        <v>10090.0</v>
      </c>
    </row>
    <row r="89" ht="14.25" customHeight="1">
      <c r="A89" s="196" t="s">
        <v>324</v>
      </c>
      <c r="B89" s="196" t="s">
        <v>255</v>
      </c>
      <c r="C89" s="196" t="s">
        <v>240</v>
      </c>
      <c r="D89" s="235">
        <v>10090.0</v>
      </c>
    </row>
    <row r="90" ht="14.25" customHeight="1"/>
    <row r="91" ht="14.25" customHeight="1">
      <c r="A91" s="196" t="s">
        <v>325</v>
      </c>
      <c r="B91" s="196" t="s">
        <v>255</v>
      </c>
      <c r="C91" s="196" t="s">
        <v>240</v>
      </c>
      <c r="D91" s="235">
        <v>149501.9</v>
      </c>
      <c r="E91" s="197">
        <f>G11-D91</f>
        <v>-47685.3</v>
      </c>
    </row>
    <row r="92" ht="14.25" customHeight="1"/>
    <row r="93" ht="14.25" customHeight="1">
      <c r="A93" s="196" t="s">
        <v>326</v>
      </c>
      <c r="B93" s="196" t="s">
        <v>255</v>
      </c>
      <c r="C93" s="196" t="s">
        <v>240</v>
      </c>
      <c r="D93" s="235">
        <v>-42815.51</v>
      </c>
      <c r="E93" s="253">
        <f>H11-H68</f>
        <v>-20948.98</v>
      </c>
      <c r="F93" s="198" t="s">
        <v>359</v>
      </c>
    </row>
    <row r="94" ht="14.25" customHeight="1">
      <c r="B94" s="247"/>
    </row>
    <row r="95" ht="14.25" customHeight="1">
      <c r="B95" s="247"/>
    </row>
    <row r="96" ht="14.25" customHeight="1">
      <c r="B96" s="247"/>
    </row>
    <row r="97" ht="14.25" customHeight="1">
      <c r="B97" s="247"/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4.25" customHeight="1">
      <c r="B268" s="247"/>
    </row>
    <row r="269" ht="14.25" customHeight="1">
      <c r="B269" s="247"/>
    </row>
    <row r="270" ht="14.25" customHeight="1">
      <c r="B270" s="247"/>
    </row>
    <row r="271" ht="14.25" customHeight="1">
      <c r="B271" s="247"/>
    </row>
    <row r="272" ht="14.25" customHeight="1">
      <c r="B272" s="247"/>
    </row>
    <row r="273" ht="14.25" customHeight="1">
      <c r="B273" s="247"/>
    </row>
    <row r="274" ht="14.25" customHeight="1">
      <c r="B274" s="247"/>
    </row>
    <row r="275" ht="14.25" customHeight="1">
      <c r="B275" s="247"/>
    </row>
    <row r="276" ht="14.25" customHeight="1">
      <c r="B276" s="247"/>
    </row>
    <row r="277" ht="14.25" customHeight="1">
      <c r="B277" s="247"/>
    </row>
    <row r="278" ht="14.25" customHeight="1">
      <c r="B278" s="247"/>
    </row>
    <row r="279" ht="14.25" customHeight="1">
      <c r="B279" s="247"/>
    </row>
    <row r="280" ht="14.25" customHeight="1">
      <c r="B280" s="247"/>
    </row>
    <row r="281" ht="14.25" customHeight="1">
      <c r="B281" s="247"/>
    </row>
    <row r="282" ht="14.25" customHeight="1">
      <c r="B282" s="247"/>
    </row>
    <row r="283" ht="14.25" customHeight="1">
      <c r="B283" s="247"/>
    </row>
    <row r="284" ht="14.25" customHeight="1">
      <c r="B284" s="247"/>
    </row>
    <row r="285" ht="14.25" customHeight="1">
      <c r="B285" s="247"/>
    </row>
    <row r="286" ht="14.25" customHeight="1">
      <c r="B286" s="247"/>
    </row>
    <row r="287" ht="14.25" customHeight="1">
      <c r="B287" s="247"/>
    </row>
    <row r="288" ht="14.25" customHeight="1">
      <c r="B288" s="247"/>
    </row>
    <row r="289" ht="14.25" customHeight="1">
      <c r="B289" s="247"/>
    </row>
    <row r="290" ht="14.25" customHeight="1">
      <c r="B290" s="247"/>
    </row>
    <row r="291" ht="14.25" customHeight="1">
      <c r="B291" s="247"/>
    </row>
    <row r="292" ht="14.25" customHeight="1">
      <c r="B292" s="247"/>
    </row>
    <row r="293" ht="14.25" customHeight="1">
      <c r="B293" s="247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5" width="14.14"/>
    <col customWidth="1" min="6" max="6" width="22.71"/>
    <col customWidth="1" min="7" max="7" width="16.0"/>
    <col customWidth="1" min="8" max="8" width="36.86"/>
    <col customWidth="1" min="9" max="9" width="12.29"/>
    <col customWidth="1" min="10" max="10" width="15.71"/>
    <col customWidth="1" min="11" max="11" width="14.29"/>
    <col customWidth="1" min="12" max="14" width="8.71"/>
  </cols>
  <sheetData>
    <row r="1">
      <c r="A1" s="254" t="s">
        <v>372</v>
      </c>
    </row>
    <row r="2">
      <c r="A2" s="254" t="s">
        <v>231</v>
      </c>
    </row>
    <row r="3">
      <c r="A3" s="254" t="s">
        <v>232</v>
      </c>
      <c r="B3" s="254" t="s">
        <v>233</v>
      </c>
      <c r="C3" s="254" t="s">
        <v>234</v>
      </c>
      <c r="D3" s="254" t="s">
        <v>235</v>
      </c>
      <c r="G3" s="195" t="s">
        <v>373</v>
      </c>
      <c r="H3" s="195" t="s">
        <v>374</v>
      </c>
      <c r="I3" s="195" t="s">
        <v>375</v>
      </c>
    </row>
    <row r="4">
      <c r="F4" s="196" t="s">
        <v>136</v>
      </c>
      <c r="G4" s="197">
        <f>D6+D7+D8+D9</f>
        <v>39746.84</v>
      </c>
      <c r="H4" s="197">
        <f>D13+D14+D11+D12</f>
        <v>5231.74</v>
      </c>
      <c r="I4" s="197">
        <f t="shared" ref="I4:I5" si="1">G4+H4</f>
        <v>44978.58</v>
      </c>
    </row>
    <row r="5">
      <c r="A5" s="196" t="s">
        <v>236</v>
      </c>
      <c r="F5" s="198" t="s">
        <v>237</v>
      </c>
      <c r="G5" s="197">
        <f>D16</f>
        <v>37100</v>
      </c>
      <c r="H5" s="197">
        <f>D10+1400</f>
        <v>6436</v>
      </c>
      <c r="I5" s="197">
        <f t="shared" si="1"/>
        <v>43536</v>
      </c>
    </row>
    <row r="6">
      <c r="A6" s="254" t="s">
        <v>238</v>
      </c>
      <c r="B6" s="254" t="s">
        <v>389</v>
      </c>
      <c r="C6" s="254" t="s">
        <v>240</v>
      </c>
      <c r="D6" s="235">
        <v>14986.98</v>
      </c>
      <c r="F6" s="196" t="s">
        <v>241</v>
      </c>
      <c r="G6" s="197">
        <f>VLOOKUP(F6,A5:D35,4,FALSE)</f>
        <v>5859.56</v>
      </c>
      <c r="I6" s="197">
        <f>G6</f>
        <v>5859.56</v>
      </c>
      <c r="J6" s="197">
        <f>G5+G6+H7</f>
        <v>58799.24</v>
      </c>
    </row>
    <row r="7" ht="13.5" customHeight="1">
      <c r="A7" s="254" t="s">
        <v>242</v>
      </c>
      <c r="B7" s="254" t="s">
        <v>390</v>
      </c>
      <c r="C7" s="254" t="s">
        <v>240</v>
      </c>
      <c r="D7" s="235">
        <v>22608.93</v>
      </c>
      <c r="E7" s="196"/>
      <c r="F7" s="196" t="s">
        <v>377</v>
      </c>
      <c r="G7" s="197"/>
      <c r="H7" s="197">
        <f>D15</f>
        <v>15839.68</v>
      </c>
      <c r="I7" s="197">
        <f>SUM(I4:I6)</f>
        <v>94374.14</v>
      </c>
      <c r="J7" s="197">
        <f>G9*0.047</f>
        <v>-1040.36192</v>
      </c>
    </row>
    <row r="8" ht="14.25" customHeight="1">
      <c r="A8" s="254" t="s">
        <v>244</v>
      </c>
      <c r="B8" s="254" t="s">
        <v>391</v>
      </c>
      <c r="C8" s="254" t="s">
        <v>240</v>
      </c>
      <c r="D8" s="235">
        <v>2105.67</v>
      </c>
      <c r="F8" s="196" t="s">
        <v>379</v>
      </c>
      <c r="G8" s="197">
        <f t="shared" ref="G8:H8" si="2">SUM(G4:G7)</f>
        <v>82706.4</v>
      </c>
      <c r="H8" s="197">
        <f t="shared" si="2"/>
        <v>27507.42</v>
      </c>
    </row>
    <row r="9" ht="14.25" customHeight="1">
      <c r="A9" s="254" t="s">
        <v>362</v>
      </c>
      <c r="B9" s="254" t="s">
        <v>389</v>
      </c>
      <c r="C9" s="254" t="s">
        <v>240</v>
      </c>
      <c r="D9" s="254">
        <v>45.26</v>
      </c>
      <c r="E9" s="196"/>
      <c r="F9" s="199" t="s">
        <v>245</v>
      </c>
      <c r="G9" s="200">
        <f>-VLOOKUP(F9,A39:D59,4,)</f>
        <v>-22135.36</v>
      </c>
      <c r="H9" s="199"/>
      <c r="I9" s="200">
        <f>G8+G9+H7</f>
        <v>76410.72</v>
      </c>
      <c r="J9" s="199" t="s">
        <v>392</v>
      </c>
    </row>
    <row r="10" ht="14.25" customHeight="1">
      <c r="A10" s="254" t="s">
        <v>247</v>
      </c>
      <c r="B10" s="254" t="s">
        <v>248</v>
      </c>
      <c r="C10" s="254" t="s">
        <v>240</v>
      </c>
      <c r="D10" s="235">
        <v>5036.0</v>
      </c>
      <c r="E10" s="196"/>
      <c r="F10" s="198"/>
      <c r="G10" s="197"/>
      <c r="H10" s="197"/>
      <c r="I10" s="197"/>
    </row>
    <row r="11">
      <c r="A11" s="254" t="s">
        <v>363</v>
      </c>
      <c r="B11" s="254" t="s">
        <v>389</v>
      </c>
      <c r="C11" s="254" t="s">
        <v>240</v>
      </c>
      <c r="D11" s="254">
        <v>1.21</v>
      </c>
      <c r="E11" s="196"/>
      <c r="F11" s="255" t="s">
        <v>329</v>
      </c>
      <c r="G11" s="256">
        <f>I7</f>
        <v>94374.14</v>
      </c>
      <c r="H11" s="256">
        <f>G11+H7</f>
        <v>110213.82</v>
      </c>
    </row>
    <row r="12">
      <c r="A12" s="254" t="s">
        <v>364</v>
      </c>
      <c r="B12" s="254" t="s">
        <v>389</v>
      </c>
      <c r="C12" s="254" t="s">
        <v>240</v>
      </c>
      <c r="D12" s="254">
        <v>2.02</v>
      </c>
      <c r="E12" s="196"/>
      <c r="F12" s="196" t="s">
        <v>138</v>
      </c>
      <c r="G12" s="196" t="s">
        <v>331</v>
      </c>
      <c r="H12" s="196" t="s">
        <v>157</v>
      </c>
      <c r="I12" s="196" t="s">
        <v>332</v>
      </c>
      <c r="J12" s="196" t="s">
        <v>380</v>
      </c>
    </row>
    <row r="13" ht="14.25" customHeight="1">
      <c r="A13" s="254" t="s">
        <v>249</v>
      </c>
      <c r="B13" s="254" t="s">
        <v>381</v>
      </c>
      <c r="C13" s="254" t="s">
        <v>240</v>
      </c>
      <c r="D13" s="235">
        <v>1484.78</v>
      </c>
      <c r="E13" s="196"/>
      <c r="F13" s="197">
        <f>G6</f>
        <v>5859.56</v>
      </c>
      <c r="G13" s="197">
        <f>I5</f>
        <v>43536</v>
      </c>
      <c r="H13" s="197">
        <f>I4</f>
        <v>44978.58</v>
      </c>
      <c r="I13" s="197">
        <f>H7</f>
        <v>15839.68</v>
      </c>
      <c r="J13" s="197">
        <f>SUM(F13:I13)</f>
        <v>110213.82</v>
      </c>
    </row>
    <row r="14" ht="14.25" customHeight="1">
      <c r="A14" s="254" t="s">
        <v>251</v>
      </c>
      <c r="B14" s="254" t="s">
        <v>381</v>
      </c>
      <c r="C14" s="254" t="s">
        <v>240</v>
      </c>
      <c r="D14" s="235">
        <v>3743.73</v>
      </c>
      <c r="E14" s="196"/>
    </row>
    <row r="15" ht="14.25" customHeight="1">
      <c r="A15" s="254" t="s">
        <v>252</v>
      </c>
      <c r="B15" s="254" t="s">
        <v>253</v>
      </c>
      <c r="C15" s="254" t="s">
        <v>240</v>
      </c>
      <c r="D15" s="235">
        <v>15839.68</v>
      </c>
      <c r="E15" s="196"/>
    </row>
    <row r="16" ht="14.25" customHeight="1">
      <c r="A16" s="254" t="s">
        <v>382</v>
      </c>
      <c r="B16" s="254" t="s">
        <v>383</v>
      </c>
      <c r="C16" s="254" t="s">
        <v>240</v>
      </c>
      <c r="D16" s="235">
        <v>37100.0</v>
      </c>
      <c r="E16" s="196" t="s">
        <v>393</v>
      </c>
    </row>
    <row r="17" ht="14.25" customHeight="1">
      <c r="A17" s="254" t="s">
        <v>254</v>
      </c>
      <c r="B17" s="254" t="s">
        <v>255</v>
      </c>
      <c r="C17" s="254" t="s">
        <v>240</v>
      </c>
      <c r="D17" s="235">
        <v>95254.26</v>
      </c>
      <c r="E17" s="196"/>
    </row>
    <row r="18" ht="14.25" customHeight="1">
      <c r="E18" s="196"/>
    </row>
    <row r="19" ht="14.25" customHeight="1">
      <c r="A19" s="196" t="s">
        <v>256</v>
      </c>
      <c r="E19" s="196"/>
    </row>
    <row r="20" ht="14.25" customHeight="1">
      <c r="A20" s="196" t="s">
        <v>257</v>
      </c>
      <c r="B20" s="254" t="s">
        <v>394</v>
      </c>
      <c r="C20" s="254" t="s">
        <v>240</v>
      </c>
      <c r="D20" s="254">
        <v>956.54</v>
      </c>
      <c r="E20" s="196"/>
    </row>
    <row r="21" ht="14.25" customHeight="1">
      <c r="A21" s="196" t="s">
        <v>259</v>
      </c>
      <c r="B21" s="254" t="s">
        <v>395</v>
      </c>
      <c r="C21" s="254" t="s">
        <v>240</v>
      </c>
      <c r="D21" s="254">
        <v>50.03</v>
      </c>
      <c r="E21" s="196"/>
    </row>
    <row r="22" ht="14.25" customHeight="1">
      <c r="A22" s="196" t="s">
        <v>260</v>
      </c>
      <c r="B22" s="254" t="s">
        <v>395</v>
      </c>
      <c r="C22" s="254" t="s">
        <v>240</v>
      </c>
      <c r="D22" s="254">
        <v>25.68</v>
      </c>
      <c r="E22" s="235"/>
    </row>
    <row r="23" ht="14.25" customHeight="1">
      <c r="A23" s="196" t="s">
        <v>261</v>
      </c>
      <c r="B23" s="254" t="s">
        <v>396</v>
      </c>
      <c r="C23" s="254" t="s">
        <v>240</v>
      </c>
      <c r="D23" s="254">
        <v>518.5</v>
      </c>
      <c r="E23" s="196"/>
    </row>
    <row r="24" ht="14.25" customHeight="1">
      <c r="A24" s="196" t="s">
        <v>262</v>
      </c>
      <c r="B24" s="254" t="s">
        <v>263</v>
      </c>
      <c r="C24" s="254" t="s">
        <v>240</v>
      </c>
      <c r="D24" s="254">
        <v>0.0</v>
      </c>
      <c r="E24" s="235"/>
    </row>
    <row r="25" ht="14.25" customHeight="1">
      <c r="A25" s="196" t="s">
        <v>333</v>
      </c>
      <c r="B25" s="254" t="s">
        <v>395</v>
      </c>
      <c r="C25" s="254" t="s">
        <v>240</v>
      </c>
      <c r="D25" s="254">
        <v>265.77</v>
      </c>
      <c r="E25" s="235"/>
    </row>
    <row r="26" ht="14.25" customHeight="1">
      <c r="A26" s="196" t="s">
        <v>264</v>
      </c>
      <c r="B26" s="254" t="s">
        <v>395</v>
      </c>
      <c r="C26" s="254" t="s">
        <v>240</v>
      </c>
      <c r="D26" s="235">
        <v>4158.22</v>
      </c>
      <c r="E26" s="235"/>
    </row>
    <row r="27" ht="14.25" customHeight="1">
      <c r="A27" s="196" t="s">
        <v>334</v>
      </c>
      <c r="B27" s="254" t="s">
        <v>395</v>
      </c>
      <c r="C27" s="254" t="s">
        <v>240</v>
      </c>
      <c r="D27" s="254">
        <v>206.03</v>
      </c>
      <c r="E27" s="235"/>
    </row>
    <row r="28" ht="14.25" customHeight="1">
      <c r="A28" s="196" t="s">
        <v>265</v>
      </c>
      <c r="B28" s="254" t="s">
        <v>397</v>
      </c>
      <c r="C28" s="254" t="s">
        <v>240</v>
      </c>
      <c r="D28" s="254">
        <v>181.27</v>
      </c>
      <c r="E28" s="235"/>
    </row>
    <row r="29" ht="14.25" customHeight="1">
      <c r="A29" s="196" t="s">
        <v>267</v>
      </c>
      <c r="B29" s="254" t="s">
        <v>396</v>
      </c>
      <c r="C29" s="254" t="s">
        <v>240</v>
      </c>
      <c r="D29" s="254">
        <v>-5.0</v>
      </c>
      <c r="E29" s="196"/>
    </row>
    <row r="30" ht="14.25" customHeight="1">
      <c r="B30" s="254" t="s">
        <v>255</v>
      </c>
      <c r="C30" s="254" t="s">
        <v>240</v>
      </c>
      <c r="D30" s="235">
        <v>6357.04</v>
      </c>
      <c r="E30" s="235"/>
    </row>
    <row r="31" ht="14.25" customHeight="1">
      <c r="A31" s="196" t="s">
        <v>241</v>
      </c>
      <c r="D31" s="235">
        <f>D20+D26+D28+D29+D21+D23+D24</f>
        <v>5859.56</v>
      </c>
      <c r="E31" s="235"/>
    </row>
    <row r="32" ht="14.25" customHeight="1">
      <c r="E32" s="235"/>
    </row>
    <row r="33" ht="14.25" customHeight="1">
      <c r="A33" s="196" t="s">
        <v>268</v>
      </c>
      <c r="E33" s="196"/>
      <c r="F33" s="235"/>
      <c r="G33" s="196"/>
    </row>
    <row r="34" ht="14.25" customHeight="1">
      <c r="A34" s="196" t="s">
        <v>269</v>
      </c>
      <c r="B34" s="196" t="s">
        <v>270</v>
      </c>
      <c r="C34" s="196" t="s">
        <v>240</v>
      </c>
      <c r="D34" s="235">
        <v>7500.0</v>
      </c>
      <c r="E34" s="196"/>
      <c r="F34" s="235"/>
      <c r="G34" s="196"/>
    </row>
    <row r="35" ht="14.25" customHeight="1">
      <c r="A35" s="196" t="s">
        <v>271</v>
      </c>
      <c r="B35" s="196" t="s">
        <v>255</v>
      </c>
      <c r="C35" s="196" t="s">
        <v>240</v>
      </c>
      <c r="D35" s="235">
        <v>7500.0</v>
      </c>
      <c r="E35" s="196"/>
      <c r="F35" s="235"/>
      <c r="G35" s="196"/>
    </row>
    <row r="36" ht="14.25" customHeight="1">
      <c r="E36" s="196"/>
      <c r="F36" s="235"/>
      <c r="G36" s="196" t="s">
        <v>272</v>
      </c>
      <c r="I36" s="245" t="str">
        <f>A7</f>
        <v>Merrill Lynch Merrill Edge-CMA-Edgex2085-CMA-x-2085</v>
      </c>
      <c r="K36" s="245" t="str">
        <f>A6</f>
        <v>Robinhood-Robinhood Brokerage-brokerageCash-x-8271</v>
      </c>
      <c r="L36" s="245" t="str">
        <f>A8</f>
        <v>Chase-Self-Directed-individual-x-3098</v>
      </c>
    </row>
    <row r="37" ht="14.25" customHeight="1">
      <c r="A37" s="196" t="s">
        <v>273</v>
      </c>
      <c r="B37" s="196" t="s">
        <v>255</v>
      </c>
      <c r="C37" s="196" t="s">
        <v>240</v>
      </c>
      <c r="D37" s="235">
        <v>109634.82</v>
      </c>
      <c r="E37" s="196"/>
      <c r="F37" s="235"/>
      <c r="G37" s="196" t="s">
        <v>274</v>
      </c>
      <c r="H37" s="196">
        <v>190.0</v>
      </c>
      <c r="I37" s="196">
        <v>347.38</v>
      </c>
      <c r="K37" s="196">
        <f>6.2*173</f>
        <v>1072.6</v>
      </c>
    </row>
    <row r="38" ht="14.25" customHeight="1">
      <c r="E38" s="196"/>
      <c r="F38" s="235"/>
      <c r="G38" s="196" t="s">
        <v>275</v>
      </c>
      <c r="H38" s="196">
        <v>150.0</v>
      </c>
      <c r="I38" s="196">
        <v>110.0</v>
      </c>
      <c r="J38" s="196">
        <f>H38/36.97</f>
        <v>4.057343792</v>
      </c>
      <c r="K38" s="196">
        <v>152.0</v>
      </c>
    </row>
    <row r="39" ht="14.25" customHeight="1">
      <c r="A39" s="196" t="s">
        <v>276</v>
      </c>
      <c r="B39" s="196" t="s">
        <v>233</v>
      </c>
      <c r="C39" s="196" t="s">
        <v>234</v>
      </c>
      <c r="D39" s="196" t="s">
        <v>235</v>
      </c>
      <c r="E39" s="196"/>
      <c r="F39" s="235"/>
      <c r="G39" s="196" t="s">
        <v>277</v>
      </c>
      <c r="H39" s="196">
        <v>20.0</v>
      </c>
      <c r="K39" s="196">
        <v>450.0</v>
      </c>
    </row>
    <row r="40" ht="14.25" customHeight="1">
      <c r="E40" s="196"/>
      <c r="F40" s="235"/>
      <c r="G40" s="196" t="s">
        <v>278</v>
      </c>
      <c r="H40" s="196">
        <v>80.0</v>
      </c>
      <c r="I40" s="196">
        <v>154.69</v>
      </c>
      <c r="K40" s="196">
        <v>1000.0</v>
      </c>
    </row>
    <row r="41" ht="14.25" customHeight="1">
      <c r="A41" s="196" t="s">
        <v>279</v>
      </c>
      <c r="E41" s="196"/>
      <c r="F41" s="235"/>
      <c r="G41" s="196" t="s">
        <v>280</v>
      </c>
      <c r="H41" s="196">
        <v>250.0</v>
      </c>
      <c r="I41" s="196">
        <v>212.3</v>
      </c>
    </row>
    <row r="42" ht="14.25" customHeight="1">
      <c r="A42" s="254" t="s">
        <v>398</v>
      </c>
      <c r="B42" s="254" t="s">
        <v>399</v>
      </c>
      <c r="C42" s="254" t="s">
        <v>240</v>
      </c>
      <c r="D42" s="254">
        <v>0.0</v>
      </c>
      <c r="E42" s="196"/>
      <c r="F42" s="235"/>
      <c r="G42" s="196" t="s">
        <v>282</v>
      </c>
      <c r="H42" s="196">
        <v>450.0</v>
      </c>
      <c r="K42" s="196">
        <v>1000.0</v>
      </c>
    </row>
    <row r="43" ht="14.25" customHeight="1">
      <c r="A43" s="254" t="s">
        <v>400</v>
      </c>
      <c r="B43" s="254" t="s">
        <v>399</v>
      </c>
      <c r="C43" s="254" t="s">
        <v>240</v>
      </c>
      <c r="D43" s="254">
        <v>-5.67</v>
      </c>
      <c r="E43" s="196"/>
      <c r="F43" s="235"/>
      <c r="G43" s="196" t="s">
        <v>284</v>
      </c>
      <c r="H43" s="196">
        <v>322.0</v>
      </c>
      <c r="I43" s="196">
        <v>494.0</v>
      </c>
    </row>
    <row r="44" ht="14.25" customHeight="1">
      <c r="A44" s="254" t="s">
        <v>401</v>
      </c>
      <c r="B44" s="254" t="s">
        <v>399</v>
      </c>
      <c r="C44" s="254" t="s">
        <v>240</v>
      </c>
      <c r="D44" s="254">
        <v>-18.41</v>
      </c>
      <c r="E44" s="246"/>
      <c r="G44" s="196" t="s">
        <v>286</v>
      </c>
      <c r="H44" s="196">
        <v>167.0</v>
      </c>
      <c r="K44" s="196">
        <f>4*122</f>
        <v>488</v>
      </c>
    </row>
    <row r="45" ht="14.25" customHeight="1">
      <c r="A45" s="254" t="s">
        <v>369</v>
      </c>
      <c r="B45" s="254" t="s">
        <v>402</v>
      </c>
      <c r="C45" s="254" t="s">
        <v>240</v>
      </c>
      <c r="D45" s="235">
        <v>14321.5</v>
      </c>
      <c r="G45" s="196" t="s">
        <v>288</v>
      </c>
      <c r="K45" s="196">
        <f>3.135147*397</f>
        <v>1244.653359</v>
      </c>
    </row>
    <row r="46" ht="14.25" customHeight="1">
      <c r="A46" s="254" t="s">
        <v>287</v>
      </c>
      <c r="B46" s="254" t="s">
        <v>402</v>
      </c>
      <c r="C46" s="254" t="s">
        <v>240</v>
      </c>
      <c r="D46" s="254">
        <v>0.0</v>
      </c>
      <c r="G46" s="196" t="s">
        <v>291</v>
      </c>
      <c r="K46" s="196">
        <v>223.0</v>
      </c>
      <c r="L46" s="196">
        <f>2*454.5</f>
        <v>909</v>
      </c>
    </row>
    <row r="47" ht="14.25" customHeight="1">
      <c r="A47" s="254" t="s">
        <v>289</v>
      </c>
      <c r="B47" s="254" t="s">
        <v>290</v>
      </c>
      <c r="C47" s="254" t="s">
        <v>240</v>
      </c>
      <c r="D47" s="254">
        <v>0.0</v>
      </c>
      <c r="G47" s="196" t="s">
        <v>294</v>
      </c>
      <c r="K47" s="196">
        <v>313.0</v>
      </c>
    </row>
    <row r="48" ht="14.25" customHeight="1">
      <c r="A48" s="254" t="s">
        <v>292</v>
      </c>
      <c r="B48" s="254" t="s">
        <v>293</v>
      </c>
      <c r="C48" s="254" t="s">
        <v>240</v>
      </c>
      <c r="D48" s="254">
        <v>0.0</v>
      </c>
      <c r="E48" s="196"/>
      <c r="G48" s="196" t="s">
        <v>296</v>
      </c>
      <c r="K48" s="196">
        <v>430.0</v>
      </c>
    </row>
    <row r="49" ht="14.25" customHeight="1">
      <c r="A49" s="254" t="s">
        <v>295</v>
      </c>
      <c r="B49" s="254" t="s">
        <v>402</v>
      </c>
      <c r="C49" s="254" t="s">
        <v>240</v>
      </c>
      <c r="D49" s="254">
        <v>0.0</v>
      </c>
      <c r="E49" s="196"/>
      <c r="G49" s="196" t="s">
        <v>299</v>
      </c>
      <c r="K49" s="196">
        <v>300.0</v>
      </c>
    </row>
    <row r="50" ht="14.25" customHeight="1">
      <c r="A50" s="254" t="s">
        <v>297</v>
      </c>
      <c r="B50" s="254" t="s">
        <v>298</v>
      </c>
      <c r="C50" s="254" t="s">
        <v>240</v>
      </c>
      <c r="D50" s="254">
        <v>0.0</v>
      </c>
      <c r="E50" s="196"/>
      <c r="H50" s="196">
        <f t="shared" ref="H50:I50" si="3">SUM(H35:H49)</f>
        <v>1629</v>
      </c>
      <c r="I50" s="196">
        <f t="shared" si="3"/>
        <v>1318.37</v>
      </c>
      <c r="K50" s="196">
        <f t="shared" ref="K50:L50" si="4">SUM(K35:K49)</f>
        <v>6673.253359</v>
      </c>
      <c r="L50" s="196">
        <f t="shared" si="4"/>
        <v>909</v>
      </c>
      <c r="M50" s="196">
        <f t="shared" ref="M50:M51" si="5">SUM(I50:L50)</f>
        <v>8900.623359</v>
      </c>
    </row>
    <row r="51" ht="14.25" customHeight="1">
      <c r="A51" s="254" t="s">
        <v>300</v>
      </c>
      <c r="B51" s="254" t="s">
        <v>290</v>
      </c>
      <c r="C51" s="254" t="s">
        <v>240</v>
      </c>
      <c r="D51" s="254">
        <v>0.0</v>
      </c>
      <c r="E51" s="196"/>
      <c r="H51" s="249" t="s">
        <v>336</v>
      </c>
      <c r="I51" s="196">
        <v>1400.0</v>
      </c>
      <c r="K51" s="196">
        <v>6777.0</v>
      </c>
      <c r="L51" s="196">
        <v>944.0</v>
      </c>
      <c r="M51" s="196">
        <f t="shared" si="5"/>
        <v>9121</v>
      </c>
    </row>
    <row r="52" ht="14.25" customHeight="1">
      <c r="A52" s="254" t="s">
        <v>301</v>
      </c>
      <c r="B52" s="254" t="s">
        <v>403</v>
      </c>
      <c r="C52" s="254" t="s">
        <v>240</v>
      </c>
      <c r="D52" s="254">
        <v>936.89</v>
      </c>
      <c r="E52" s="196"/>
      <c r="I52" s="196" t="s">
        <v>303</v>
      </c>
      <c r="J52" s="196">
        <v>2300.0</v>
      </c>
      <c r="M52" s="196">
        <f>SUM(J52+M50)</f>
        <v>11200.62336</v>
      </c>
      <c r="N52" s="196" t="s">
        <v>304</v>
      </c>
    </row>
    <row r="53" ht="14.25" customHeight="1">
      <c r="A53" s="254" t="s">
        <v>404</v>
      </c>
      <c r="B53" s="254" t="s">
        <v>405</v>
      </c>
      <c r="C53" s="254" t="s">
        <v>240</v>
      </c>
      <c r="D53" s="254">
        <v>0.0</v>
      </c>
      <c r="E53" s="196"/>
    </row>
    <row r="54" ht="14.25" customHeight="1">
      <c r="A54" s="254" t="s">
        <v>406</v>
      </c>
      <c r="B54" s="254" t="s">
        <v>405</v>
      </c>
      <c r="C54" s="254" t="s">
        <v>240</v>
      </c>
      <c r="D54" s="254">
        <v>0.0</v>
      </c>
    </row>
    <row r="55" ht="14.25" customHeight="1">
      <c r="A55" s="254" t="s">
        <v>306</v>
      </c>
      <c r="B55" s="254" t="s">
        <v>407</v>
      </c>
      <c r="C55" s="254" t="s">
        <v>240</v>
      </c>
      <c r="D55" s="254">
        <v>0.0</v>
      </c>
    </row>
    <row r="56" ht="14.25" customHeight="1">
      <c r="A56" s="254" t="s">
        <v>308</v>
      </c>
      <c r="B56" s="254" t="s">
        <v>407</v>
      </c>
      <c r="C56" s="254" t="s">
        <v>240</v>
      </c>
      <c r="D56" s="254">
        <v>0.0</v>
      </c>
    </row>
    <row r="57" ht="14.25" customHeight="1">
      <c r="A57" s="254" t="s">
        <v>309</v>
      </c>
      <c r="B57" s="254" t="s">
        <v>407</v>
      </c>
      <c r="C57" s="254" t="s">
        <v>240</v>
      </c>
      <c r="D57" s="235">
        <v>7837.94</v>
      </c>
    </row>
    <row r="58" ht="14.25" customHeight="1">
      <c r="B58" s="196" t="s">
        <v>255</v>
      </c>
      <c r="C58" s="196" t="s">
        <v>240</v>
      </c>
      <c r="D58" s="235">
        <v>23072.25</v>
      </c>
    </row>
    <row r="59" ht="14.25" customHeight="1">
      <c r="A59" s="196" t="s">
        <v>245</v>
      </c>
      <c r="C59" s="196" t="s">
        <v>240</v>
      </c>
      <c r="D59" s="235">
        <f>D58-D52</f>
        <v>22135.36</v>
      </c>
    </row>
    <row r="60" ht="14.25" customHeight="1">
      <c r="A60" s="196"/>
      <c r="C60" s="196"/>
      <c r="D60" s="235"/>
    </row>
    <row r="61" ht="14.25" customHeight="1">
      <c r="A61" s="196" t="s">
        <v>310</v>
      </c>
    </row>
    <row r="62" ht="14.25" customHeight="1">
      <c r="A62" s="254" t="s">
        <v>338</v>
      </c>
      <c r="B62" s="254" t="s">
        <v>408</v>
      </c>
      <c r="C62" s="254" t="s">
        <v>240</v>
      </c>
      <c r="D62" s="235">
        <v>2000.0</v>
      </c>
      <c r="E62" s="235"/>
    </row>
    <row r="63" ht="14.25" customHeight="1">
      <c r="A63" s="254" t="s">
        <v>340</v>
      </c>
      <c r="B63" s="254" t="s">
        <v>408</v>
      </c>
      <c r="C63" s="254" t="s">
        <v>240</v>
      </c>
      <c r="D63" s="235">
        <v>1904.12</v>
      </c>
      <c r="E63" s="235"/>
    </row>
    <row r="64" ht="14.25" customHeight="1">
      <c r="A64" s="254" t="s">
        <v>341</v>
      </c>
      <c r="B64" s="254" t="s">
        <v>408</v>
      </c>
      <c r="C64" s="254" t="s">
        <v>240</v>
      </c>
      <c r="D64" s="235">
        <v>8589.0</v>
      </c>
      <c r="E64" s="235"/>
    </row>
    <row r="65" ht="14.25" customHeight="1">
      <c r="A65" s="254" t="s">
        <v>342</v>
      </c>
      <c r="B65" s="254" t="s">
        <v>408</v>
      </c>
      <c r="C65" s="254" t="s">
        <v>240</v>
      </c>
      <c r="D65" s="235">
        <v>11843.0</v>
      </c>
      <c r="E65" s="235"/>
    </row>
    <row r="66" ht="14.25" customHeight="1">
      <c r="A66" s="254" t="s">
        <v>343</v>
      </c>
      <c r="B66" s="254" t="s">
        <v>408</v>
      </c>
      <c r="C66" s="254" t="s">
        <v>240</v>
      </c>
      <c r="D66" s="235">
        <v>8657.0</v>
      </c>
      <c r="E66" s="235"/>
    </row>
    <row r="67" ht="14.25" customHeight="1">
      <c r="A67" s="254" t="s">
        <v>344</v>
      </c>
      <c r="B67" s="254" t="s">
        <v>408</v>
      </c>
      <c r="C67" s="254" t="s">
        <v>240</v>
      </c>
      <c r="D67" s="254">
        <v>531.0</v>
      </c>
    </row>
    <row r="68" ht="14.25" customHeight="1">
      <c r="A68" s="254" t="s">
        <v>340</v>
      </c>
      <c r="B68" s="254" t="s">
        <v>345</v>
      </c>
      <c r="C68" s="254" t="s">
        <v>240</v>
      </c>
      <c r="D68" s="235">
        <v>1932.87</v>
      </c>
      <c r="E68" s="235"/>
    </row>
    <row r="69" ht="14.25" customHeight="1">
      <c r="A69" s="254" t="s">
        <v>346</v>
      </c>
      <c r="B69" s="254" t="s">
        <v>408</v>
      </c>
      <c r="C69" s="254" t="s">
        <v>240</v>
      </c>
      <c r="D69" s="235">
        <v>4500.0</v>
      </c>
      <c r="E69" s="235"/>
    </row>
    <row r="70" ht="14.25" customHeight="1">
      <c r="A70" s="254" t="s">
        <v>347</v>
      </c>
      <c r="B70" s="254" t="s">
        <v>408</v>
      </c>
      <c r="C70" s="254" t="s">
        <v>240</v>
      </c>
      <c r="D70" s="254">
        <v>907.59</v>
      </c>
      <c r="G70" s="250" t="s">
        <v>348</v>
      </c>
      <c r="H70" s="251">
        <f>SUM(F73:J73)</f>
        <v>141010.41</v>
      </c>
    </row>
    <row r="71" ht="14.25" customHeight="1">
      <c r="A71" s="254" t="s">
        <v>349</v>
      </c>
      <c r="B71" s="254" t="s">
        <v>408</v>
      </c>
      <c r="C71" s="254" t="s">
        <v>240</v>
      </c>
      <c r="D71" s="254">
        <v>610.25</v>
      </c>
    </row>
    <row r="72" ht="14.25" customHeight="1">
      <c r="A72" s="254" t="s">
        <v>350</v>
      </c>
      <c r="B72" s="254" t="s">
        <v>408</v>
      </c>
      <c r="C72" s="254" t="s">
        <v>240</v>
      </c>
      <c r="D72" s="235">
        <v>4500.0</v>
      </c>
      <c r="E72" s="235"/>
      <c r="F72" s="196" t="s">
        <v>351</v>
      </c>
      <c r="G72" s="196" t="str">
        <f>A84</f>
        <v>Loan BPS Collen Fund-Personal</v>
      </c>
      <c r="H72" s="196" t="str">
        <f>A85</f>
        <v>NYS Loan Masters Edu-Personal</v>
      </c>
      <c r="I72" s="196" t="str">
        <f>A86</f>
        <v>TEACh Grant-Personal</v>
      </c>
      <c r="J72" s="196" t="str">
        <f>A59</f>
        <v>			Cards TOTAL</v>
      </c>
      <c r="K72" s="250" t="s">
        <v>348</v>
      </c>
    </row>
    <row r="73" ht="14.25" customHeight="1">
      <c r="A73" s="254" t="s">
        <v>352</v>
      </c>
      <c r="B73" s="254" t="s">
        <v>408</v>
      </c>
      <c r="C73" s="254" t="s">
        <v>240</v>
      </c>
      <c r="D73" s="235">
        <v>5896.67</v>
      </c>
      <c r="E73" s="235"/>
      <c r="F73" s="235">
        <f>E83</f>
        <v>87599.55</v>
      </c>
      <c r="G73" s="235">
        <f>D84</f>
        <v>11700</v>
      </c>
      <c r="H73" s="235">
        <f>D85</f>
        <v>13917.5</v>
      </c>
      <c r="I73" s="235">
        <f>D86</f>
        <v>5658</v>
      </c>
      <c r="J73" s="235">
        <f>D59</f>
        <v>22135.36</v>
      </c>
      <c r="K73" s="251">
        <f>H70</f>
        <v>141010.41</v>
      </c>
    </row>
    <row r="74" ht="14.25" customHeight="1">
      <c r="A74" s="254" t="s">
        <v>353</v>
      </c>
      <c r="B74" s="254" t="s">
        <v>408</v>
      </c>
      <c r="C74" s="254" t="s">
        <v>240</v>
      </c>
      <c r="D74" s="235">
        <v>5500.0</v>
      </c>
      <c r="E74" s="235"/>
    </row>
    <row r="75" ht="14.25" customHeight="1">
      <c r="A75" s="254" t="s">
        <v>354</v>
      </c>
      <c r="B75" s="254" t="s">
        <v>408</v>
      </c>
      <c r="C75" s="254" t="s">
        <v>240</v>
      </c>
      <c r="D75" s="235">
        <v>6613.65</v>
      </c>
      <c r="E75" s="235"/>
    </row>
    <row r="76" ht="14.25" customHeight="1">
      <c r="A76" s="254" t="s">
        <v>355</v>
      </c>
      <c r="B76" s="254" t="s">
        <v>345</v>
      </c>
      <c r="C76" s="254" t="s">
        <v>240</v>
      </c>
      <c r="D76" s="235">
        <v>6429.0</v>
      </c>
      <c r="E76" s="235"/>
    </row>
    <row r="77" ht="14.25" customHeight="1">
      <c r="A77" s="254" t="s">
        <v>338</v>
      </c>
      <c r="B77" s="254" t="s">
        <v>345</v>
      </c>
      <c r="C77" s="254" t="s">
        <v>240</v>
      </c>
      <c r="D77" s="235">
        <v>2000.0</v>
      </c>
      <c r="E77" s="235"/>
    </row>
    <row r="78" ht="14.25" customHeight="1">
      <c r="A78" s="254" t="s">
        <v>356</v>
      </c>
      <c r="B78" s="254" t="s">
        <v>345</v>
      </c>
      <c r="C78" s="254" t="s">
        <v>240</v>
      </c>
      <c r="D78" s="235">
        <v>1400.0</v>
      </c>
      <c r="E78" s="235"/>
    </row>
    <row r="79" ht="14.25" customHeight="1">
      <c r="A79" s="254" t="s">
        <v>357</v>
      </c>
      <c r="B79" s="254" t="s">
        <v>345</v>
      </c>
      <c r="C79" s="254" t="s">
        <v>240</v>
      </c>
      <c r="D79" s="235">
        <v>1936.1</v>
      </c>
      <c r="E79" s="235"/>
    </row>
    <row r="80" ht="14.25" customHeight="1">
      <c r="A80" s="254" t="s">
        <v>355</v>
      </c>
      <c r="B80" s="254" t="s">
        <v>408</v>
      </c>
      <c r="C80" s="254" t="s">
        <v>240</v>
      </c>
      <c r="D80" s="235">
        <v>6429.0</v>
      </c>
      <c r="E80" s="235"/>
    </row>
    <row r="81" ht="14.25" customHeight="1">
      <c r="A81" s="254" t="s">
        <v>357</v>
      </c>
      <c r="B81" s="254" t="s">
        <v>408</v>
      </c>
      <c r="C81" s="254" t="s">
        <v>240</v>
      </c>
      <c r="D81" s="235">
        <v>1907.3</v>
      </c>
      <c r="E81" s="235"/>
    </row>
    <row r="82" ht="14.25" customHeight="1">
      <c r="A82" s="254" t="s">
        <v>356</v>
      </c>
      <c r="B82" s="254" t="s">
        <v>408</v>
      </c>
      <c r="C82" s="254" t="s">
        <v>240</v>
      </c>
      <c r="D82" s="235">
        <v>1400.0</v>
      </c>
      <c r="E82" s="235"/>
    </row>
    <row r="83" ht="14.25" customHeight="1">
      <c r="A83" s="254" t="s">
        <v>358</v>
      </c>
      <c r="B83" s="254" t="s">
        <v>408</v>
      </c>
      <c r="C83" s="254" t="s">
        <v>240</v>
      </c>
      <c r="D83" s="235">
        <v>2113.0</v>
      </c>
      <c r="E83" s="235">
        <f>SUM(D62:D83)</f>
        <v>87599.55</v>
      </c>
    </row>
    <row r="84" ht="14.25" customHeight="1">
      <c r="A84" s="254" t="s">
        <v>311</v>
      </c>
      <c r="B84" s="254" t="s">
        <v>312</v>
      </c>
      <c r="C84" s="254" t="s">
        <v>240</v>
      </c>
      <c r="D84" s="235">
        <v>11700.0</v>
      </c>
      <c r="E84" s="254" t="s">
        <v>388</v>
      </c>
    </row>
    <row r="85" ht="14.25" customHeight="1">
      <c r="A85" s="254" t="s">
        <v>313</v>
      </c>
      <c r="B85" s="254" t="s">
        <v>314</v>
      </c>
      <c r="C85" s="254" t="s">
        <v>240</v>
      </c>
      <c r="D85" s="235">
        <v>13917.5</v>
      </c>
    </row>
    <row r="86" ht="14.25" customHeight="1">
      <c r="A86" s="254" t="s">
        <v>319</v>
      </c>
      <c r="B86" s="254" t="s">
        <v>320</v>
      </c>
      <c r="C86" s="254" t="s">
        <v>240</v>
      </c>
      <c r="D86" s="235">
        <v>5658.0</v>
      </c>
    </row>
    <row r="87" ht="14.25" customHeight="1">
      <c r="A87" s="254" t="s">
        <v>321</v>
      </c>
      <c r="B87" s="254" t="s">
        <v>255</v>
      </c>
      <c r="C87" s="254" t="s">
        <v>240</v>
      </c>
      <c r="D87" s="235">
        <v>118875.05</v>
      </c>
    </row>
    <row r="88" ht="14.25" customHeight="1"/>
    <row r="89" ht="14.25" customHeight="1">
      <c r="A89" s="196" t="s">
        <v>322</v>
      </c>
    </row>
    <row r="90" ht="14.25" customHeight="1">
      <c r="A90" s="196" t="s">
        <v>323</v>
      </c>
      <c r="B90" s="196" t="s">
        <v>312</v>
      </c>
      <c r="C90" s="196" t="s">
        <v>240</v>
      </c>
      <c r="D90" s="235">
        <v>10090.0</v>
      </c>
    </row>
    <row r="91" ht="14.25" customHeight="1">
      <c r="A91" s="196" t="s">
        <v>324</v>
      </c>
      <c r="B91" s="196" t="s">
        <v>255</v>
      </c>
      <c r="C91" s="196" t="s">
        <v>240</v>
      </c>
      <c r="D91" s="235">
        <v>10090.0</v>
      </c>
    </row>
    <row r="92" ht="14.25" customHeight="1"/>
    <row r="93" ht="14.25" customHeight="1">
      <c r="A93" s="196" t="s">
        <v>325</v>
      </c>
      <c r="B93" s="196" t="s">
        <v>255</v>
      </c>
      <c r="C93" s="196" t="s">
        <v>240</v>
      </c>
      <c r="D93" s="235">
        <v>152037.3</v>
      </c>
      <c r="E93" s="197">
        <f>G11-D93</f>
        <v>-57663.16</v>
      </c>
    </row>
    <row r="94" ht="14.25" customHeight="1"/>
    <row r="95" ht="14.25" customHeight="1">
      <c r="A95" s="196" t="s">
        <v>326</v>
      </c>
      <c r="B95" s="196" t="s">
        <v>255</v>
      </c>
      <c r="C95" s="196" t="s">
        <v>240</v>
      </c>
      <c r="D95" s="235">
        <v>-42402.48</v>
      </c>
      <c r="E95" s="253">
        <f>H11-H70</f>
        <v>-30796.59</v>
      </c>
      <c r="F95" s="198" t="s">
        <v>359</v>
      </c>
    </row>
    <row r="96" ht="14.25" customHeight="1">
      <c r="B96" s="247"/>
    </row>
    <row r="97" ht="14.25" customHeight="1">
      <c r="B97" s="247"/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4.25" customHeight="1">
      <c r="B268" s="247"/>
    </row>
    <row r="269" ht="14.25" customHeight="1">
      <c r="B269" s="247"/>
    </row>
    <row r="270" ht="14.25" customHeight="1">
      <c r="B270" s="247"/>
    </row>
    <row r="271" ht="14.25" customHeight="1">
      <c r="B271" s="247"/>
    </row>
    <row r="272" ht="14.25" customHeight="1">
      <c r="B272" s="247"/>
    </row>
    <row r="273" ht="14.25" customHeight="1">
      <c r="B273" s="247"/>
    </row>
    <row r="274" ht="14.25" customHeight="1">
      <c r="B274" s="247"/>
    </row>
    <row r="275" ht="14.25" customHeight="1">
      <c r="B275" s="247"/>
    </row>
    <row r="276" ht="14.25" customHeight="1">
      <c r="B276" s="247"/>
    </row>
    <row r="277" ht="14.25" customHeight="1">
      <c r="B277" s="247"/>
    </row>
    <row r="278" ht="14.25" customHeight="1">
      <c r="B278" s="247"/>
    </row>
    <row r="279" ht="14.25" customHeight="1">
      <c r="B279" s="247"/>
    </row>
    <row r="280" ht="14.25" customHeight="1">
      <c r="B280" s="247"/>
    </row>
    <row r="281" ht="14.25" customHeight="1">
      <c r="B281" s="247"/>
    </row>
    <row r="282" ht="14.25" customHeight="1">
      <c r="B282" s="247"/>
    </row>
    <row r="283" ht="14.25" customHeight="1">
      <c r="B283" s="247"/>
    </row>
    <row r="284" ht="14.25" customHeight="1">
      <c r="B284" s="247"/>
    </row>
    <row r="285" ht="14.25" customHeight="1">
      <c r="B285" s="247"/>
    </row>
    <row r="286" ht="14.25" customHeight="1">
      <c r="B286" s="247"/>
    </row>
    <row r="287" ht="14.25" customHeight="1">
      <c r="B287" s="247"/>
    </row>
    <row r="288" ht="14.25" customHeight="1">
      <c r="B288" s="247"/>
    </row>
    <row r="289" ht="14.25" customHeight="1">
      <c r="B289" s="247"/>
    </row>
    <row r="290" ht="14.25" customHeight="1">
      <c r="B290" s="247"/>
    </row>
    <row r="291" ht="14.25" customHeight="1">
      <c r="B291" s="247"/>
    </row>
    <row r="292" ht="14.25" customHeight="1">
      <c r="B292" s="247"/>
    </row>
    <row r="293" ht="14.25" customHeight="1">
      <c r="B293" s="247"/>
    </row>
    <row r="294" ht="14.25" customHeight="1">
      <c r="B294" s="247"/>
    </row>
    <row r="295" ht="14.25" customHeight="1">
      <c r="B295" s="247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5" width="14.14"/>
    <col customWidth="1" min="6" max="6" width="22.71"/>
    <col customWidth="1" min="7" max="7" width="16.0"/>
    <col customWidth="1" min="8" max="8" width="36.86"/>
    <col customWidth="1" min="9" max="9" width="12.29"/>
    <col customWidth="1" min="10" max="10" width="15.71"/>
    <col customWidth="1" min="11" max="11" width="14.29"/>
    <col customWidth="1" min="12" max="14" width="8.71"/>
  </cols>
  <sheetData>
    <row r="1">
      <c r="A1" s="254" t="s">
        <v>372</v>
      </c>
    </row>
    <row r="2">
      <c r="A2" s="254" t="s">
        <v>231</v>
      </c>
    </row>
    <row r="3">
      <c r="A3" s="254" t="s">
        <v>232</v>
      </c>
      <c r="B3" s="254" t="s">
        <v>233</v>
      </c>
      <c r="C3" s="254" t="s">
        <v>234</v>
      </c>
      <c r="D3" s="254" t="s">
        <v>235</v>
      </c>
      <c r="G3" s="195" t="s">
        <v>373</v>
      </c>
      <c r="H3" s="195" t="s">
        <v>374</v>
      </c>
      <c r="I3" s="195" t="s">
        <v>375</v>
      </c>
    </row>
    <row r="4">
      <c r="F4" s="196" t="s">
        <v>136</v>
      </c>
      <c r="G4" s="197">
        <f>D6+D7+D8+D9</f>
        <v>32917.85</v>
      </c>
      <c r="H4" s="197">
        <f>D13+D14+D11+D12</f>
        <v>5231.74</v>
      </c>
      <c r="I4" s="197">
        <f t="shared" ref="I4:I5" si="1">G4+H4</f>
        <v>38149.59</v>
      </c>
    </row>
    <row r="5">
      <c r="A5" s="254" t="s">
        <v>236</v>
      </c>
      <c r="F5" s="198" t="s">
        <v>237</v>
      </c>
      <c r="G5" s="197">
        <f>D16</f>
        <v>28700</v>
      </c>
      <c r="H5" s="197">
        <f>D10+1400</f>
        <v>6436</v>
      </c>
      <c r="I5" s="197">
        <f t="shared" si="1"/>
        <v>35136</v>
      </c>
    </row>
    <row r="6">
      <c r="A6" s="254" t="s">
        <v>238</v>
      </c>
      <c r="B6" s="254" t="s">
        <v>409</v>
      </c>
      <c r="C6" s="254" t="s">
        <v>240</v>
      </c>
      <c r="D6" s="235">
        <v>9865.44</v>
      </c>
      <c r="F6" s="196" t="s">
        <v>241</v>
      </c>
      <c r="G6" s="197">
        <f>VLOOKUP(F6,A5:D35,4,FALSE)</f>
        <v>23013.62</v>
      </c>
      <c r="I6" s="197">
        <f>G6</f>
        <v>23013.62</v>
      </c>
      <c r="J6" s="197">
        <f>G5+G6+H7</f>
        <v>73639.75</v>
      </c>
    </row>
    <row r="7">
      <c r="A7" s="254" t="s">
        <v>242</v>
      </c>
      <c r="B7" s="254" t="s">
        <v>409</v>
      </c>
      <c r="C7" s="254" t="s">
        <v>240</v>
      </c>
      <c r="D7" s="235">
        <v>20811.33</v>
      </c>
      <c r="E7" s="196"/>
      <c r="F7" s="196" t="s">
        <v>377</v>
      </c>
      <c r="G7" s="197"/>
      <c r="H7" s="197">
        <f>D15</f>
        <v>21926.13</v>
      </c>
      <c r="I7" s="197">
        <f>SUM(I4:I6)</f>
        <v>96299.21</v>
      </c>
      <c r="J7" s="197">
        <f>G9*0.047</f>
        <v>-1143.28816</v>
      </c>
    </row>
    <row r="8">
      <c r="A8" s="254" t="s">
        <v>244</v>
      </c>
      <c r="B8" s="254" t="s">
        <v>409</v>
      </c>
      <c r="C8" s="254" t="s">
        <v>240</v>
      </c>
      <c r="D8" s="235">
        <v>2201.48</v>
      </c>
      <c r="F8" s="196" t="s">
        <v>379</v>
      </c>
      <c r="G8" s="197">
        <f t="shared" ref="G8:H8" si="2">SUM(G4:G7)</f>
        <v>84631.47</v>
      </c>
      <c r="H8" s="197">
        <f t="shared" si="2"/>
        <v>33593.87</v>
      </c>
    </row>
    <row r="9">
      <c r="A9" s="254" t="s">
        <v>362</v>
      </c>
      <c r="B9" s="254" t="s">
        <v>409</v>
      </c>
      <c r="C9" s="254" t="s">
        <v>240</v>
      </c>
      <c r="D9" s="254">
        <v>39.6</v>
      </c>
      <c r="E9" s="196"/>
      <c r="F9" s="199" t="s">
        <v>245</v>
      </c>
      <c r="G9" s="200">
        <f>-VLOOKUP(F9,A39:D59,4,)</f>
        <v>-24325.28</v>
      </c>
      <c r="H9" s="199"/>
      <c r="I9" s="200">
        <f>G8+G9+H7</f>
        <v>82232.32</v>
      </c>
      <c r="J9" s="199" t="s">
        <v>392</v>
      </c>
    </row>
    <row r="10">
      <c r="A10" s="254" t="s">
        <v>247</v>
      </c>
      <c r="B10" s="254" t="s">
        <v>248</v>
      </c>
      <c r="C10" s="254" t="s">
        <v>240</v>
      </c>
      <c r="D10" s="235">
        <v>5036.0</v>
      </c>
      <c r="E10" s="196"/>
      <c r="F10" s="198"/>
      <c r="G10" s="197"/>
      <c r="H10" s="197"/>
      <c r="I10" s="197"/>
    </row>
    <row r="11">
      <c r="A11" s="254" t="s">
        <v>363</v>
      </c>
      <c r="B11" s="254" t="s">
        <v>409</v>
      </c>
      <c r="C11" s="254" t="s">
        <v>240</v>
      </c>
      <c r="D11" s="254">
        <v>1.21</v>
      </c>
      <c r="E11" s="196"/>
      <c r="F11" s="255" t="s">
        <v>329</v>
      </c>
      <c r="G11" s="256">
        <f>I7</f>
        <v>96299.21</v>
      </c>
      <c r="H11" s="256">
        <f>G11+H7</f>
        <v>118225.34</v>
      </c>
    </row>
    <row r="12">
      <c r="A12" s="254" t="s">
        <v>364</v>
      </c>
      <c r="B12" s="254" t="s">
        <v>409</v>
      </c>
      <c r="C12" s="254" t="s">
        <v>240</v>
      </c>
      <c r="D12" s="254">
        <v>2.02</v>
      </c>
      <c r="E12" s="196"/>
      <c r="F12" s="196" t="s">
        <v>138</v>
      </c>
      <c r="G12" s="196" t="s">
        <v>331</v>
      </c>
      <c r="H12" s="196" t="s">
        <v>157</v>
      </c>
      <c r="I12" s="196" t="s">
        <v>332</v>
      </c>
      <c r="J12" s="196" t="s">
        <v>380</v>
      </c>
    </row>
    <row r="13">
      <c r="A13" s="254" t="s">
        <v>249</v>
      </c>
      <c r="B13" s="254" t="s">
        <v>381</v>
      </c>
      <c r="C13" s="254" t="s">
        <v>240</v>
      </c>
      <c r="D13" s="235">
        <v>1484.78</v>
      </c>
      <c r="E13" s="196"/>
      <c r="F13" s="197">
        <f>G6</f>
        <v>23013.62</v>
      </c>
      <c r="G13" s="197">
        <f>I5</f>
        <v>35136</v>
      </c>
      <c r="H13" s="197">
        <f>I4</f>
        <v>38149.59</v>
      </c>
      <c r="I13" s="197">
        <f>H7</f>
        <v>21926.13</v>
      </c>
      <c r="J13" s="197">
        <f>SUM(F13:I13)</f>
        <v>118225.34</v>
      </c>
    </row>
    <row r="14">
      <c r="A14" s="254" t="s">
        <v>251</v>
      </c>
      <c r="B14" s="254" t="s">
        <v>381</v>
      </c>
      <c r="C14" s="254" t="s">
        <v>240</v>
      </c>
      <c r="D14" s="235">
        <v>3743.73</v>
      </c>
      <c r="E14" s="196"/>
    </row>
    <row r="15">
      <c r="A15" s="254" t="s">
        <v>252</v>
      </c>
      <c r="B15" s="254" t="s">
        <v>253</v>
      </c>
      <c r="C15" s="254" t="s">
        <v>240</v>
      </c>
      <c r="D15" s="235">
        <v>21926.13</v>
      </c>
      <c r="E15" s="235">
        <f>1000000+25490000+4000000+38500000+21000000+500000</f>
        <v>90490000</v>
      </c>
      <c r="F15" s="254" t="s">
        <v>410</v>
      </c>
      <c r="H15" s="235"/>
    </row>
    <row r="16">
      <c r="A16" s="254" t="s">
        <v>382</v>
      </c>
      <c r="B16" s="254" t="s">
        <v>383</v>
      </c>
      <c r="C16" s="254" t="s">
        <v>240</v>
      </c>
      <c r="D16" s="235">
        <v>28700.0</v>
      </c>
      <c r="E16" s="196" t="s">
        <v>393</v>
      </c>
    </row>
    <row r="17">
      <c r="A17" s="254" t="s">
        <v>254</v>
      </c>
      <c r="B17" s="254" t="s">
        <v>255</v>
      </c>
      <c r="C17" s="254" t="s">
        <v>240</v>
      </c>
      <c r="D17" s="235">
        <v>95254.26</v>
      </c>
      <c r="E17" s="196"/>
    </row>
    <row r="18" ht="14.25" customHeight="1">
      <c r="E18" s="196"/>
    </row>
    <row r="19" ht="14.25" customHeight="1">
      <c r="A19" s="196" t="s">
        <v>256</v>
      </c>
      <c r="E19" s="196"/>
    </row>
    <row r="20" ht="14.25" customHeight="1">
      <c r="A20" s="196" t="s">
        <v>257</v>
      </c>
      <c r="B20" s="254" t="s">
        <v>409</v>
      </c>
      <c r="C20" s="254" t="s">
        <v>240</v>
      </c>
      <c r="D20" s="254">
        <v>851.35</v>
      </c>
      <c r="E20" s="196"/>
    </row>
    <row r="21" ht="14.25" customHeight="1">
      <c r="A21" s="196" t="s">
        <v>259</v>
      </c>
      <c r="B21" s="254" t="s">
        <v>409</v>
      </c>
      <c r="C21" s="254" t="s">
        <v>240</v>
      </c>
      <c r="D21" s="254">
        <v>50.61</v>
      </c>
      <c r="E21" s="196"/>
    </row>
    <row r="22" ht="14.25" customHeight="1">
      <c r="A22" s="196" t="s">
        <v>260</v>
      </c>
      <c r="B22" s="254" t="s">
        <v>409</v>
      </c>
      <c r="C22" s="254" t="s">
        <v>240</v>
      </c>
      <c r="D22" s="254">
        <v>33.68</v>
      </c>
      <c r="E22" s="235"/>
    </row>
    <row r="23" ht="14.25" customHeight="1">
      <c r="A23" s="196" t="s">
        <v>261</v>
      </c>
      <c r="B23" s="254" t="s">
        <v>409</v>
      </c>
      <c r="C23" s="254" t="s">
        <v>240</v>
      </c>
      <c r="D23" s="254">
        <v>514.72</v>
      </c>
      <c r="E23" s="196"/>
    </row>
    <row r="24" ht="14.25" customHeight="1">
      <c r="A24" s="196" t="s">
        <v>262</v>
      </c>
      <c r="B24" s="254" t="s">
        <v>263</v>
      </c>
      <c r="C24" s="254" t="s">
        <v>240</v>
      </c>
      <c r="D24" s="254">
        <v>0.0</v>
      </c>
      <c r="E24" s="235"/>
    </row>
    <row r="25" ht="14.25" customHeight="1">
      <c r="A25" s="196" t="s">
        <v>333</v>
      </c>
      <c r="B25" s="254" t="s">
        <v>409</v>
      </c>
      <c r="C25" s="254" t="s">
        <v>240</v>
      </c>
      <c r="D25" s="254">
        <v>803.99</v>
      </c>
      <c r="E25" s="235"/>
    </row>
    <row r="26" ht="14.25" customHeight="1">
      <c r="A26" s="196" t="s">
        <v>264</v>
      </c>
      <c r="B26" s="254" t="s">
        <v>409</v>
      </c>
      <c r="C26" s="254" t="s">
        <v>240</v>
      </c>
      <c r="D26" s="235">
        <v>21415.01</v>
      </c>
      <c r="E26" s="235"/>
    </row>
    <row r="27" ht="14.25" customHeight="1">
      <c r="A27" s="196" t="s">
        <v>334</v>
      </c>
      <c r="B27" s="254" t="s">
        <v>409</v>
      </c>
      <c r="C27" s="254" t="s">
        <v>240</v>
      </c>
      <c r="D27" s="254">
        <v>207.78</v>
      </c>
      <c r="E27" s="235"/>
    </row>
    <row r="28" ht="14.25" customHeight="1">
      <c r="A28" s="196" t="s">
        <v>265</v>
      </c>
      <c r="B28" s="254" t="s">
        <v>411</v>
      </c>
      <c r="C28" s="254" t="s">
        <v>240</v>
      </c>
      <c r="D28" s="254">
        <v>181.93</v>
      </c>
      <c r="E28" s="235"/>
    </row>
    <row r="29" ht="14.25" customHeight="1">
      <c r="A29" s="196" t="s">
        <v>267</v>
      </c>
      <c r="B29" s="254" t="s">
        <v>412</v>
      </c>
      <c r="C29" s="254" t="s">
        <v>240</v>
      </c>
      <c r="D29" s="254">
        <v>0.0</v>
      </c>
      <c r="E29" s="196"/>
    </row>
    <row r="30" ht="14.25" customHeight="1">
      <c r="B30" s="254" t="s">
        <v>255</v>
      </c>
      <c r="C30" s="254" t="s">
        <v>240</v>
      </c>
      <c r="D30" s="235">
        <v>24054.07</v>
      </c>
      <c r="E30" s="235"/>
    </row>
    <row r="31" ht="14.25" customHeight="1">
      <c r="A31" s="196" t="s">
        <v>241</v>
      </c>
      <c r="D31" s="235">
        <f>D20+D26+D28+D29+D21+D23+D24</f>
        <v>23013.62</v>
      </c>
      <c r="E31" s="235"/>
    </row>
    <row r="32" ht="14.25" customHeight="1">
      <c r="E32" s="235"/>
    </row>
    <row r="33" ht="14.25" customHeight="1">
      <c r="A33" s="196" t="s">
        <v>268</v>
      </c>
      <c r="E33" s="196"/>
      <c r="F33" s="235"/>
      <c r="G33" s="196"/>
    </row>
    <row r="34" ht="14.25" customHeight="1">
      <c r="A34" s="196" t="s">
        <v>269</v>
      </c>
      <c r="B34" s="196" t="s">
        <v>270</v>
      </c>
      <c r="C34" s="196" t="s">
        <v>240</v>
      </c>
      <c r="D34" s="235">
        <v>7500.0</v>
      </c>
      <c r="E34" s="196"/>
      <c r="F34" s="235"/>
      <c r="G34" s="196"/>
    </row>
    <row r="35" ht="14.25" customHeight="1">
      <c r="A35" s="196" t="s">
        <v>271</v>
      </c>
      <c r="B35" s="196" t="s">
        <v>255</v>
      </c>
      <c r="C35" s="196" t="s">
        <v>240</v>
      </c>
      <c r="D35" s="235">
        <v>7500.0</v>
      </c>
      <c r="E35" s="196"/>
      <c r="F35" s="235"/>
      <c r="G35" s="196"/>
    </row>
    <row r="36" ht="14.25" customHeight="1">
      <c r="E36" s="196"/>
      <c r="F36" s="235"/>
      <c r="G36" s="196" t="s">
        <v>272</v>
      </c>
      <c r="I36" s="245" t="str">
        <f>A7</f>
        <v>Merrill Lynch Merrill Edge-CMA-Edgex2085-CMA-x-2085</v>
      </c>
      <c r="K36" s="245" t="str">
        <f>A6</f>
        <v>Robinhood-Robinhood Brokerage-brokerageCash-x-8271</v>
      </c>
      <c r="L36" s="245" t="str">
        <f>A8</f>
        <v>Chase-Self-Directed-individual-x-3098</v>
      </c>
    </row>
    <row r="37" ht="14.25" customHeight="1">
      <c r="A37" s="196" t="s">
        <v>273</v>
      </c>
      <c r="B37" s="196" t="s">
        <v>255</v>
      </c>
      <c r="C37" s="196" t="s">
        <v>240</v>
      </c>
      <c r="D37" s="235">
        <v>109634.82</v>
      </c>
      <c r="E37" s="196"/>
      <c r="F37" s="235"/>
      <c r="G37" s="196" t="s">
        <v>274</v>
      </c>
      <c r="H37" s="196">
        <v>190.0</v>
      </c>
      <c r="I37" s="196">
        <v>347.38</v>
      </c>
      <c r="K37" s="196">
        <f>6.2*173</f>
        <v>1072.6</v>
      </c>
    </row>
    <row r="38" ht="14.25" customHeight="1">
      <c r="E38" s="196"/>
      <c r="F38" s="235"/>
      <c r="G38" s="196" t="s">
        <v>275</v>
      </c>
      <c r="H38" s="196">
        <v>150.0</v>
      </c>
      <c r="I38" s="196">
        <v>110.0</v>
      </c>
      <c r="J38" s="196">
        <f>H38/36.97</f>
        <v>4.057343792</v>
      </c>
      <c r="K38" s="196">
        <v>152.0</v>
      </c>
    </row>
    <row r="39" ht="14.25" customHeight="1">
      <c r="A39" s="196" t="s">
        <v>276</v>
      </c>
      <c r="B39" s="196" t="s">
        <v>233</v>
      </c>
      <c r="C39" s="196" t="s">
        <v>234</v>
      </c>
      <c r="D39" s="196" t="s">
        <v>235</v>
      </c>
      <c r="E39" s="196"/>
      <c r="F39" s="235"/>
      <c r="G39" s="196" t="s">
        <v>277</v>
      </c>
      <c r="H39" s="196">
        <v>20.0</v>
      </c>
      <c r="K39" s="196">
        <v>450.0</v>
      </c>
    </row>
    <row r="40" ht="14.25" customHeight="1">
      <c r="E40" s="196"/>
      <c r="F40" s="235"/>
      <c r="G40" s="196" t="s">
        <v>278</v>
      </c>
      <c r="H40" s="196">
        <v>80.0</v>
      </c>
      <c r="I40" s="196">
        <v>154.69</v>
      </c>
      <c r="K40" s="196">
        <v>1000.0</v>
      </c>
    </row>
    <row r="41" ht="14.25" customHeight="1">
      <c r="A41" s="254" t="s">
        <v>279</v>
      </c>
      <c r="E41" s="196"/>
      <c r="F41" s="235"/>
      <c r="G41" s="196" t="s">
        <v>280</v>
      </c>
      <c r="H41" s="196">
        <v>250.0</v>
      </c>
      <c r="I41" s="196">
        <v>212.3</v>
      </c>
    </row>
    <row r="42" ht="14.25" customHeight="1">
      <c r="A42" s="254" t="s">
        <v>413</v>
      </c>
      <c r="B42" s="254" t="s">
        <v>414</v>
      </c>
      <c r="C42" s="254" t="s">
        <v>240</v>
      </c>
      <c r="D42" s="254">
        <v>0.0</v>
      </c>
      <c r="E42" s="196"/>
      <c r="F42" s="235"/>
      <c r="G42" s="196" t="s">
        <v>282</v>
      </c>
      <c r="H42" s="196">
        <v>450.0</v>
      </c>
      <c r="K42" s="196">
        <v>1000.0</v>
      </c>
    </row>
    <row r="43" ht="14.25" customHeight="1">
      <c r="A43" s="254" t="s">
        <v>415</v>
      </c>
      <c r="B43" s="254" t="s">
        <v>409</v>
      </c>
      <c r="C43" s="254" t="s">
        <v>240</v>
      </c>
      <c r="D43" s="254">
        <v>-20.28</v>
      </c>
      <c r="E43" s="196"/>
      <c r="F43" s="235"/>
      <c r="G43" s="196" t="s">
        <v>284</v>
      </c>
      <c r="H43" s="196">
        <v>322.0</v>
      </c>
      <c r="I43" s="196">
        <v>494.0</v>
      </c>
    </row>
    <row r="44" ht="14.25" customHeight="1">
      <c r="A44" s="254" t="s">
        <v>401</v>
      </c>
      <c r="B44" s="254" t="s">
        <v>409</v>
      </c>
      <c r="C44" s="254" t="s">
        <v>240</v>
      </c>
      <c r="D44" s="254">
        <v>0.0</v>
      </c>
      <c r="E44" s="246"/>
      <c r="G44" s="196" t="s">
        <v>286</v>
      </c>
      <c r="H44" s="196">
        <v>167.0</v>
      </c>
      <c r="K44" s="196">
        <f>4*122</f>
        <v>488</v>
      </c>
    </row>
    <row r="45" ht="14.25" customHeight="1">
      <c r="A45" s="254" t="s">
        <v>369</v>
      </c>
      <c r="B45" s="254" t="s">
        <v>409</v>
      </c>
      <c r="C45" s="254" t="s">
        <v>240</v>
      </c>
      <c r="D45" s="235">
        <v>16586.62</v>
      </c>
      <c r="G45" s="196" t="s">
        <v>288</v>
      </c>
      <c r="K45" s="196">
        <f>3.135147*397</f>
        <v>1244.653359</v>
      </c>
    </row>
    <row r="46" ht="14.25" customHeight="1">
      <c r="A46" s="254" t="s">
        <v>287</v>
      </c>
      <c r="B46" s="254" t="s">
        <v>409</v>
      </c>
      <c r="C46" s="254" t="s">
        <v>240</v>
      </c>
      <c r="D46" s="254">
        <v>0.0</v>
      </c>
      <c r="G46" s="196" t="s">
        <v>291</v>
      </c>
      <c r="K46" s="196">
        <v>223.0</v>
      </c>
      <c r="L46" s="196">
        <f>2*454.5</f>
        <v>909</v>
      </c>
    </row>
    <row r="47" ht="14.25" customHeight="1">
      <c r="A47" s="254" t="s">
        <v>289</v>
      </c>
      <c r="B47" s="254" t="s">
        <v>290</v>
      </c>
      <c r="C47" s="254" t="s">
        <v>240</v>
      </c>
      <c r="D47" s="254">
        <v>0.0</v>
      </c>
      <c r="G47" s="196" t="s">
        <v>294</v>
      </c>
      <c r="K47" s="196">
        <v>313.0</v>
      </c>
    </row>
    <row r="48" ht="14.25" customHeight="1">
      <c r="A48" s="254" t="s">
        <v>292</v>
      </c>
      <c r="B48" s="254" t="s">
        <v>293</v>
      </c>
      <c r="C48" s="254" t="s">
        <v>240</v>
      </c>
      <c r="D48" s="254">
        <v>0.0</v>
      </c>
      <c r="E48" s="196"/>
      <c r="G48" s="196" t="s">
        <v>296</v>
      </c>
      <c r="K48" s="196">
        <v>430.0</v>
      </c>
    </row>
    <row r="49" ht="14.25" customHeight="1">
      <c r="A49" s="254" t="s">
        <v>295</v>
      </c>
      <c r="B49" s="254" t="s">
        <v>409</v>
      </c>
      <c r="C49" s="254" t="s">
        <v>240</v>
      </c>
      <c r="D49" s="254">
        <v>0.0</v>
      </c>
      <c r="E49" s="196"/>
      <c r="G49" s="196" t="s">
        <v>299</v>
      </c>
      <c r="K49" s="196">
        <v>300.0</v>
      </c>
    </row>
    <row r="50" ht="14.25" customHeight="1">
      <c r="A50" s="254" t="s">
        <v>297</v>
      </c>
      <c r="B50" s="254" t="s">
        <v>298</v>
      </c>
      <c r="C50" s="254" t="s">
        <v>240</v>
      </c>
      <c r="D50" s="254">
        <v>0.0</v>
      </c>
      <c r="E50" s="196"/>
      <c r="H50" s="196">
        <f t="shared" ref="H50:I50" si="3">SUM(H35:H49)</f>
        <v>1629</v>
      </c>
      <c r="I50" s="196">
        <f t="shared" si="3"/>
        <v>1318.37</v>
      </c>
      <c r="K50" s="196">
        <f t="shared" ref="K50:L50" si="4">SUM(K35:K49)</f>
        <v>6673.253359</v>
      </c>
      <c r="L50" s="196">
        <f t="shared" si="4"/>
        <v>909</v>
      </c>
      <c r="M50" s="196">
        <f t="shared" ref="M50:M51" si="5">SUM(I50:L50)</f>
        <v>8900.623359</v>
      </c>
    </row>
    <row r="51" ht="14.25" customHeight="1">
      <c r="A51" s="254" t="s">
        <v>300</v>
      </c>
      <c r="B51" s="254" t="s">
        <v>290</v>
      </c>
      <c r="C51" s="254" t="s">
        <v>240</v>
      </c>
      <c r="D51" s="254">
        <v>0.0</v>
      </c>
      <c r="E51" s="196"/>
      <c r="H51" s="249" t="s">
        <v>336</v>
      </c>
      <c r="I51" s="196">
        <v>1400.0</v>
      </c>
      <c r="K51" s="196">
        <v>6777.0</v>
      </c>
      <c r="L51" s="196">
        <v>944.0</v>
      </c>
      <c r="M51" s="196">
        <f t="shared" si="5"/>
        <v>9121</v>
      </c>
    </row>
    <row r="52" ht="14.25" customHeight="1">
      <c r="A52" s="254" t="s">
        <v>301</v>
      </c>
      <c r="B52" s="254" t="s">
        <v>409</v>
      </c>
      <c r="C52" s="254" t="s">
        <v>240</v>
      </c>
      <c r="D52" s="254">
        <v>978.04</v>
      </c>
      <c r="E52" s="196"/>
      <c r="I52" s="196" t="s">
        <v>303</v>
      </c>
      <c r="J52" s="196">
        <v>2300.0</v>
      </c>
      <c r="M52" s="196">
        <f>SUM(J52+M50)</f>
        <v>11200.62336</v>
      </c>
      <c r="N52" s="196" t="s">
        <v>304</v>
      </c>
    </row>
    <row r="53" ht="14.25" customHeight="1">
      <c r="A53" s="254" t="s">
        <v>404</v>
      </c>
      <c r="B53" s="254" t="s">
        <v>409</v>
      </c>
      <c r="C53" s="254" t="s">
        <v>240</v>
      </c>
      <c r="D53" s="254">
        <v>0.0</v>
      </c>
      <c r="E53" s="196"/>
    </row>
    <row r="54" ht="14.25" customHeight="1">
      <c r="A54" s="254" t="s">
        <v>406</v>
      </c>
      <c r="B54" s="254" t="s">
        <v>409</v>
      </c>
      <c r="C54" s="254" t="s">
        <v>240</v>
      </c>
      <c r="D54" s="254">
        <v>0.0</v>
      </c>
    </row>
    <row r="55" ht="14.25" customHeight="1">
      <c r="A55" s="254" t="s">
        <v>306</v>
      </c>
      <c r="B55" s="254" t="s">
        <v>409</v>
      </c>
      <c r="C55" s="254" t="s">
        <v>240</v>
      </c>
      <c r="D55" s="254">
        <v>0.0</v>
      </c>
    </row>
    <row r="56" ht="14.25" customHeight="1">
      <c r="A56" s="254" t="s">
        <v>308</v>
      </c>
      <c r="B56" s="254" t="s">
        <v>409</v>
      </c>
      <c r="C56" s="254" t="s">
        <v>240</v>
      </c>
      <c r="D56" s="254">
        <v>0.0</v>
      </c>
    </row>
    <row r="57" ht="14.25" customHeight="1">
      <c r="A57" s="254" t="s">
        <v>309</v>
      </c>
      <c r="B57" s="254" t="s">
        <v>409</v>
      </c>
      <c r="C57" s="254" t="s">
        <v>240</v>
      </c>
      <c r="D57" s="235">
        <v>7758.94</v>
      </c>
    </row>
    <row r="58" ht="14.25" customHeight="1">
      <c r="B58" s="196" t="s">
        <v>255</v>
      </c>
      <c r="C58" s="196" t="s">
        <v>240</v>
      </c>
      <c r="D58" s="235">
        <v>25303.32</v>
      </c>
    </row>
    <row r="59" ht="14.25" customHeight="1">
      <c r="A59" s="196" t="s">
        <v>245</v>
      </c>
      <c r="C59" s="196" t="s">
        <v>240</v>
      </c>
      <c r="D59" s="235">
        <f>D58-D52</f>
        <v>24325.28</v>
      </c>
    </row>
    <row r="60" ht="14.25" customHeight="1">
      <c r="A60" s="196"/>
      <c r="C60" s="196"/>
      <c r="D60" s="235"/>
    </row>
    <row r="61" ht="14.25" customHeight="1">
      <c r="A61" s="196" t="s">
        <v>310</v>
      </c>
    </row>
    <row r="62" ht="14.25" customHeight="1">
      <c r="A62" s="254" t="s">
        <v>338</v>
      </c>
      <c r="B62" s="254" t="s">
        <v>408</v>
      </c>
      <c r="C62" s="254" t="s">
        <v>240</v>
      </c>
      <c r="D62" s="235">
        <v>2000.0</v>
      </c>
      <c r="E62" s="235"/>
    </row>
    <row r="63" ht="14.25" customHeight="1">
      <c r="A63" s="254" t="s">
        <v>340</v>
      </c>
      <c r="B63" s="254" t="s">
        <v>408</v>
      </c>
      <c r="C63" s="254" t="s">
        <v>240</v>
      </c>
      <c r="D63" s="235">
        <v>1904.12</v>
      </c>
      <c r="E63" s="235"/>
    </row>
    <row r="64" ht="14.25" customHeight="1">
      <c r="A64" s="254" t="s">
        <v>341</v>
      </c>
      <c r="B64" s="254" t="s">
        <v>408</v>
      </c>
      <c r="C64" s="254" t="s">
        <v>240</v>
      </c>
      <c r="D64" s="235">
        <v>8589.0</v>
      </c>
      <c r="E64" s="235"/>
    </row>
    <row r="65" ht="14.25" customHeight="1">
      <c r="A65" s="254" t="s">
        <v>342</v>
      </c>
      <c r="B65" s="254" t="s">
        <v>408</v>
      </c>
      <c r="C65" s="254" t="s">
        <v>240</v>
      </c>
      <c r="D65" s="235">
        <v>11843.0</v>
      </c>
      <c r="E65" s="235"/>
    </row>
    <row r="66" ht="14.25" customHeight="1">
      <c r="A66" s="254" t="s">
        <v>343</v>
      </c>
      <c r="B66" s="254" t="s">
        <v>408</v>
      </c>
      <c r="C66" s="254" t="s">
        <v>240</v>
      </c>
      <c r="D66" s="235">
        <v>8657.0</v>
      </c>
      <c r="E66" s="235"/>
    </row>
    <row r="67" ht="14.25" customHeight="1">
      <c r="A67" s="254" t="s">
        <v>344</v>
      </c>
      <c r="B67" s="254" t="s">
        <v>408</v>
      </c>
      <c r="C67" s="254" t="s">
        <v>240</v>
      </c>
      <c r="D67" s="254">
        <v>531.0</v>
      </c>
    </row>
    <row r="68" ht="14.25" customHeight="1">
      <c r="A68" s="254" t="s">
        <v>340</v>
      </c>
      <c r="B68" s="254" t="s">
        <v>345</v>
      </c>
      <c r="C68" s="254" t="s">
        <v>240</v>
      </c>
      <c r="D68" s="235">
        <v>1932.87</v>
      </c>
      <c r="E68" s="235"/>
    </row>
    <row r="69" ht="14.25" customHeight="1">
      <c r="A69" s="254" t="s">
        <v>346</v>
      </c>
      <c r="B69" s="254" t="s">
        <v>408</v>
      </c>
      <c r="C69" s="254" t="s">
        <v>240</v>
      </c>
      <c r="D69" s="235">
        <v>4500.0</v>
      </c>
      <c r="E69" s="235"/>
    </row>
    <row r="70" ht="14.25" customHeight="1">
      <c r="A70" s="254" t="s">
        <v>347</v>
      </c>
      <c r="B70" s="254" t="s">
        <v>408</v>
      </c>
      <c r="C70" s="254" t="s">
        <v>240</v>
      </c>
      <c r="D70" s="254">
        <v>907.59</v>
      </c>
      <c r="G70" s="250" t="s">
        <v>348</v>
      </c>
      <c r="H70" s="251">
        <f>SUM(F73:J73)</f>
        <v>143200.33</v>
      </c>
    </row>
    <row r="71" ht="14.25" customHeight="1">
      <c r="A71" s="254" t="s">
        <v>349</v>
      </c>
      <c r="B71" s="254" t="s">
        <v>408</v>
      </c>
      <c r="C71" s="254" t="s">
        <v>240</v>
      </c>
      <c r="D71" s="254">
        <v>610.25</v>
      </c>
    </row>
    <row r="72" ht="14.25" customHeight="1">
      <c r="A72" s="254" t="s">
        <v>350</v>
      </c>
      <c r="B72" s="254" t="s">
        <v>408</v>
      </c>
      <c r="C72" s="254" t="s">
        <v>240</v>
      </c>
      <c r="D72" s="235">
        <v>4500.0</v>
      </c>
      <c r="E72" s="235"/>
      <c r="F72" s="196" t="s">
        <v>351</v>
      </c>
      <c r="G72" s="196" t="str">
        <f>A84</f>
        <v>Loan BPS Collen Fund-Personal</v>
      </c>
      <c r="H72" s="196" t="str">
        <f>A85</f>
        <v>NYS Loan Masters Edu-Personal</v>
      </c>
      <c r="I72" s="196" t="str">
        <f>A86</f>
        <v>TEACh Grant-Personal</v>
      </c>
      <c r="J72" s="196" t="str">
        <f>A59</f>
        <v>			Cards TOTAL</v>
      </c>
      <c r="K72" s="250" t="s">
        <v>348</v>
      </c>
    </row>
    <row r="73" ht="14.25" customHeight="1">
      <c r="A73" s="254" t="s">
        <v>352</v>
      </c>
      <c r="B73" s="254" t="s">
        <v>408</v>
      </c>
      <c r="C73" s="254" t="s">
        <v>240</v>
      </c>
      <c r="D73" s="235">
        <v>5896.67</v>
      </c>
      <c r="E73" s="235"/>
      <c r="F73" s="235">
        <f>E83</f>
        <v>87599.55</v>
      </c>
      <c r="G73" s="235">
        <f>D84</f>
        <v>11700</v>
      </c>
      <c r="H73" s="235">
        <f>D85</f>
        <v>13917.5</v>
      </c>
      <c r="I73" s="235">
        <f>D86</f>
        <v>5658</v>
      </c>
      <c r="J73" s="235">
        <f>D59</f>
        <v>24325.28</v>
      </c>
      <c r="K73" s="251">
        <f>H70</f>
        <v>143200.33</v>
      </c>
    </row>
    <row r="74" ht="14.25" customHeight="1">
      <c r="A74" s="254" t="s">
        <v>353</v>
      </c>
      <c r="B74" s="254" t="s">
        <v>408</v>
      </c>
      <c r="C74" s="254" t="s">
        <v>240</v>
      </c>
      <c r="D74" s="235">
        <v>5500.0</v>
      </c>
      <c r="E74" s="235"/>
    </row>
    <row r="75" ht="14.25" customHeight="1">
      <c r="A75" s="254" t="s">
        <v>354</v>
      </c>
      <c r="B75" s="254" t="s">
        <v>408</v>
      </c>
      <c r="C75" s="254" t="s">
        <v>240</v>
      </c>
      <c r="D75" s="235">
        <v>6613.65</v>
      </c>
      <c r="E75" s="235"/>
    </row>
    <row r="76" ht="14.25" customHeight="1">
      <c r="A76" s="254" t="s">
        <v>355</v>
      </c>
      <c r="B76" s="254" t="s">
        <v>345</v>
      </c>
      <c r="C76" s="254" t="s">
        <v>240</v>
      </c>
      <c r="D76" s="235">
        <v>6429.0</v>
      </c>
      <c r="E76" s="235"/>
    </row>
    <row r="77" ht="14.25" customHeight="1">
      <c r="A77" s="254" t="s">
        <v>338</v>
      </c>
      <c r="B77" s="254" t="s">
        <v>345</v>
      </c>
      <c r="C77" s="254" t="s">
        <v>240</v>
      </c>
      <c r="D77" s="235">
        <v>2000.0</v>
      </c>
      <c r="E77" s="235"/>
    </row>
    <row r="78" ht="14.25" customHeight="1">
      <c r="A78" s="254" t="s">
        <v>356</v>
      </c>
      <c r="B78" s="254" t="s">
        <v>345</v>
      </c>
      <c r="C78" s="254" t="s">
        <v>240</v>
      </c>
      <c r="D78" s="235">
        <v>1400.0</v>
      </c>
      <c r="E78" s="235"/>
    </row>
    <row r="79" ht="14.25" customHeight="1">
      <c r="A79" s="254" t="s">
        <v>357</v>
      </c>
      <c r="B79" s="254" t="s">
        <v>345</v>
      </c>
      <c r="C79" s="254" t="s">
        <v>240</v>
      </c>
      <c r="D79" s="235">
        <v>1936.1</v>
      </c>
      <c r="E79" s="235"/>
    </row>
    <row r="80" ht="14.25" customHeight="1">
      <c r="A80" s="254" t="s">
        <v>355</v>
      </c>
      <c r="B80" s="254" t="s">
        <v>408</v>
      </c>
      <c r="C80" s="254" t="s">
        <v>240</v>
      </c>
      <c r="D80" s="235">
        <v>6429.0</v>
      </c>
      <c r="E80" s="235"/>
    </row>
    <row r="81" ht="14.25" customHeight="1">
      <c r="A81" s="254" t="s">
        <v>357</v>
      </c>
      <c r="B81" s="254" t="s">
        <v>408</v>
      </c>
      <c r="C81" s="254" t="s">
        <v>240</v>
      </c>
      <c r="D81" s="235">
        <v>1907.3</v>
      </c>
      <c r="E81" s="235"/>
    </row>
    <row r="82" ht="14.25" customHeight="1">
      <c r="A82" s="254" t="s">
        <v>356</v>
      </c>
      <c r="B82" s="254" t="s">
        <v>408</v>
      </c>
      <c r="C82" s="254" t="s">
        <v>240</v>
      </c>
      <c r="D82" s="235">
        <v>1400.0</v>
      </c>
      <c r="E82" s="235"/>
    </row>
    <row r="83" ht="14.25" customHeight="1">
      <c r="A83" s="254" t="s">
        <v>358</v>
      </c>
      <c r="B83" s="254" t="s">
        <v>408</v>
      </c>
      <c r="C83" s="254" t="s">
        <v>240</v>
      </c>
      <c r="D83" s="235">
        <v>2113.0</v>
      </c>
      <c r="E83" s="235">
        <f>SUM(D62:D83)</f>
        <v>87599.55</v>
      </c>
    </row>
    <row r="84" ht="14.25" customHeight="1">
      <c r="A84" s="254" t="s">
        <v>311</v>
      </c>
      <c r="B84" s="254" t="s">
        <v>312</v>
      </c>
      <c r="C84" s="254" t="s">
        <v>240</v>
      </c>
      <c r="D84" s="235">
        <v>11700.0</v>
      </c>
      <c r="E84" s="254" t="s">
        <v>388</v>
      </c>
    </row>
    <row r="85" ht="14.25" customHeight="1">
      <c r="A85" s="254" t="s">
        <v>313</v>
      </c>
      <c r="B85" s="254" t="s">
        <v>314</v>
      </c>
      <c r="C85" s="254" t="s">
        <v>240</v>
      </c>
      <c r="D85" s="235">
        <v>13917.5</v>
      </c>
    </row>
    <row r="86" ht="14.25" customHeight="1">
      <c r="A86" s="254" t="s">
        <v>319</v>
      </c>
      <c r="B86" s="254" t="s">
        <v>320</v>
      </c>
      <c r="C86" s="254" t="s">
        <v>240</v>
      </c>
      <c r="D86" s="235">
        <v>5658.0</v>
      </c>
    </row>
    <row r="87" ht="14.25" customHeight="1">
      <c r="A87" s="254" t="s">
        <v>321</v>
      </c>
      <c r="B87" s="254" t="s">
        <v>255</v>
      </c>
      <c r="C87" s="254" t="s">
        <v>240</v>
      </c>
      <c r="D87" s="235">
        <v>118875.05</v>
      </c>
    </row>
    <row r="88" ht="14.25" customHeight="1"/>
    <row r="89" ht="14.25" customHeight="1">
      <c r="A89" s="196" t="s">
        <v>322</v>
      </c>
    </row>
    <row r="90" ht="14.25" customHeight="1">
      <c r="A90" s="196" t="s">
        <v>323</v>
      </c>
      <c r="B90" s="196" t="s">
        <v>312</v>
      </c>
      <c r="C90" s="196" t="s">
        <v>240</v>
      </c>
      <c r="D90" s="235">
        <v>10090.0</v>
      </c>
    </row>
    <row r="91" ht="14.25" customHeight="1">
      <c r="A91" s="196" t="s">
        <v>324</v>
      </c>
      <c r="B91" s="196" t="s">
        <v>255</v>
      </c>
      <c r="C91" s="196" t="s">
        <v>240</v>
      </c>
      <c r="D91" s="235">
        <v>10090.0</v>
      </c>
    </row>
    <row r="92" ht="14.25" customHeight="1"/>
    <row r="93" ht="14.25" customHeight="1">
      <c r="A93" s="196" t="s">
        <v>325</v>
      </c>
      <c r="B93" s="196" t="s">
        <v>255</v>
      </c>
      <c r="C93" s="196" t="s">
        <v>240</v>
      </c>
      <c r="D93" s="235">
        <v>152037.3</v>
      </c>
      <c r="E93" s="197">
        <f>G11-D93</f>
        <v>-55738.09</v>
      </c>
    </row>
    <row r="94" ht="14.25" customHeight="1"/>
    <row r="95" ht="14.25" customHeight="1">
      <c r="A95" s="196" t="s">
        <v>326</v>
      </c>
      <c r="B95" s="196" t="s">
        <v>255</v>
      </c>
      <c r="C95" s="196" t="s">
        <v>240</v>
      </c>
      <c r="D95" s="235">
        <v>-42402.48</v>
      </c>
      <c r="E95" s="253">
        <f>H11-H70</f>
        <v>-24974.99</v>
      </c>
      <c r="F95" s="198" t="s">
        <v>359</v>
      </c>
    </row>
    <row r="96" ht="14.25" customHeight="1">
      <c r="B96" s="247"/>
    </row>
    <row r="97" ht="14.25" customHeight="1">
      <c r="B97" s="247"/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4.25" customHeight="1">
      <c r="B268" s="247"/>
    </row>
    <row r="269" ht="14.25" customHeight="1">
      <c r="B269" s="247"/>
    </row>
    <row r="270" ht="14.25" customHeight="1">
      <c r="B270" s="247"/>
    </row>
    <row r="271" ht="14.25" customHeight="1">
      <c r="B271" s="247"/>
    </row>
    <row r="272" ht="14.25" customHeight="1">
      <c r="B272" s="247"/>
    </row>
    <row r="273" ht="14.25" customHeight="1">
      <c r="B273" s="247"/>
    </row>
    <row r="274" ht="14.25" customHeight="1">
      <c r="B274" s="247"/>
    </row>
    <row r="275" ht="14.25" customHeight="1">
      <c r="B275" s="247"/>
    </row>
    <row r="276" ht="14.25" customHeight="1">
      <c r="B276" s="247"/>
    </row>
    <row r="277" ht="14.25" customHeight="1">
      <c r="B277" s="247"/>
    </row>
    <row r="278" ht="14.25" customHeight="1">
      <c r="B278" s="247"/>
    </row>
    <row r="279" ht="14.25" customHeight="1">
      <c r="B279" s="247"/>
    </row>
    <row r="280" ht="14.25" customHeight="1">
      <c r="B280" s="247"/>
    </row>
    <row r="281" ht="14.25" customHeight="1">
      <c r="B281" s="247"/>
    </row>
    <row r="282" ht="14.25" customHeight="1">
      <c r="B282" s="247"/>
    </row>
    <row r="283" ht="14.25" customHeight="1">
      <c r="B283" s="247"/>
    </row>
    <row r="284" ht="14.25" customHeight="1">
      <c r="B284" s="247"/>
    </row>
    <row r="285" ht="14.25" customHeight="1">
      <c r="B285" s="247"/>
    </row>
    <row r="286" ht="14.25" customHeight="1">
      <c r="B286" s="247"/>
    </row>
    <row r="287" ht="14.25" customHeight="1">
      <c r="B287" s="247"/>
    </row>
    <row r="288" ht="14.25" customHeight="1">
      <c r="B288" s="247"/>
    </row>
    <row r="289" ht="14.25" customHeight="1">
      <c r="B289" s="247"/>
    </row>
    <row r="290" ht="14.25" customHeight="1">
      <c r="B290" s="247"/>
    </row>
    <row r="291" ht="14.25" customHeight="1">
      <c r="B291" s="247"/>
    </row>
    <row r="292" ht="14.25" customHeight="1">
      <c r="B292" s="247"/>
    </row>
    <row r="293" ht="14.25" customHeight="1">
      <c r="B293" s="247"/>
    </row>
    <row r="294" ht="14.25" customHeight="1">
      <c r="B294" s="247"/>
    </row>
    <row r="295" ht="14.25" customHeight="1">
      <c r="B295" s="247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5" width="13.57"/>
    <col customWidth="1" min="6" max="6" width="22.71"/>
    <col customWidth="1" min="7" max="7" width="16.0"/>
    <col customWidth="1" min="8" max="8" width="36.86"/>
    <col customWidth="1" min="9" max="9" width="12.29"/>
    <col customWidth="1" min="10" max="10" width="15.71"/>
    <col customWidth="1" min="11" max="11" width="14.29"/>
    <col customWidth="1" min="12" max="14" width="8.71"/>
  </cols>
  <sheetData>
    <row r="1">
      <c r="A1" s="254" t="s">
        <v>372</v>
      </c>
    </row>
    <row r="2">
      <c r="A2" s="254" t="s">
        <v>231</v>
      </c>
    </row>
    <row r="3">
      <c r="A3" s="254" t="s">
        <v>232</v>
      </c>
      <c r="B3" s="254" t="s">
        <v>233</v>
      </c>
      <c r="C3" s="254" t="s">
        <v>234</v>
      </c>
      <c r="D3" s="254" t="s">
        <v>235</v>
      </c>
      <c r="G3" s="195" t="s">
        <v>373</v>
      </c>
      <c r="H3" s="257" t="s">
        <v>416</v>
      </c>
      <c r="I3" s="195" t="s">
        <v>375</v>
      </c>
    </row>
    <row r="4">
      <c r="F4" s="196" t="s">
        <v>136</v>
      </c>
      <c r="G4" s="197">
        <f>D6+D7+D8+D9</f>
        <v>33231.46</v>
      </c>
      <c r="H4" s="197">
        <f>D13+D11+D12+D15</f>
        <v>10598.83</v>
      </c>
      <c r="I4" s="197">
        <f t="shared" ref="I4:I5" si="1">G4+H4</f>
        <v>43830.29</v>
      </c>
    </row>
    <row r="5">
      <c r="A5" s="254" t="s">
        <v>236</v>
      </c>
      <c r="F5" s="258" t="s">
        <v>417</v>
      </c>
      <c r="G5" s="197">
        <f>D17</f>
        <v>38300</v>
      </c>
      <c r="H5" s="197">
        <f>D10+1400</f>
        <v>6436</v>
      </c>
      <c r="I5" s="197">
        <f t="shared" si="1"/>
        <v>44736</v>
      </c>
    </row>
    <row r="6">
      <c r="A6" s="259" t="s">
        <v>238</v>
      </c>
      <c r="B6" s="259" t="s">
        <v>418</v>
      </c>
      <c r="C6" s="259" t="s">
        <v>240</v>
      </c>
      <c r="D6" s="260">
        <v>9924.77</v>
      </c>
      <c r="F6" s="261" t="s">
        <v>419</v>
      </c>
      <c r="G6" s="197">
        <f>VLOOKUP(F6,A5:D37,4,FALSE)</f>
        <v>2930.52</v>
      </c>
      <c r="I6" s="197">
        <f>G6</f>
        <v>2930.52</v>
      </c>
      <c r="J6" s="197">
        <f>G5+G6+H7</f>
        <v>70930.52</v>
      </c>
    </row>
    <row r="7">
      <c r="A7" s="259" t="s">
        <v>242</v>
      </c>
      <c r="B7" s="259" t="s">
        <v>418</v>
      </c>
      <c r="C7" s="259" t="s">
        <v>240</v>
      </c>
      <c r="D7" s="260">
        <v>21030.55</v>
      </c>
      <c r="E7" s="196"/>
      <c r="F7" s="196" t="s">
        <v>377</v>
      </c>
      <c r="G7" s="197"/>
      <c r="H7" s="197">
        <f>D16</f>
        <v>29700</v>
      </c>
      <c r="I7" s="197">
        <f>SUM(I4:I6)</f>
        <v>91496.81</v>
      </c>
      <c r="J7" s="197">
        <f>G9*0.047</f>
        <v>-1235.88521</v>
      </c>
    </row>
    <row r="8">
      <c r="A8" s="259" t="s">
        <v>244</v>
      </c>
      <c r="B8" s="259" t="s">
        <v>418</v>
      </c>
      <c r="C8" s="259" t="s">
        <v>240</v>
      </c>
      <c r="D8" s="260">
        <v>2231.95</v>
      </c>
      <c r="F8" s="196" t="s">
        <v>379</v>
      </c>
      <c r="G8" s="197">
        <f t="shared" ref="G8:H8" si="2">SUM(G4:G7)</f>
        <v>74461.98</v>
      </c>
      <c r="H8" s="197">
        <f t="shared" si="2"/>
        <v>46734.83</v>
      </c>
    </row>
    <row r="9">
      <c r="A9" s="259" t="s">
        <v>362</v>
      </c>
      <c r="B9" s="259" t="s">
        <v>418</v>
      </c>
      <c r="C9" s="259" t="s">
        <v>240</v>
      </c>
      <c r="D9" s="262">
        <v>44.19</v>
      </c>
      <c r="E9" s="196"/>
      <c r="F9" s="263" t="s">
        <v>420</v>
      </c>
      <c r="G9" s="200">
        <f>-VLOOKUP(F9,A41:D61,4,)</f>
        <v>-26295.43</v>
      </c>
      <c r="H9" s="199"/>
      <c r="I9" s="200">
        <f>G8+G9+H7</f>
        <v>77866.55</v>
      </c>
      <c r="J9" s="199" t="s">
        <v>392</v>
      </c>
    </row>
    <row r="10">
      <c r="A10" s="259" t="s">
        <v>247</v>
      </c>
      <c r="B10" s="259" t="s">
        <v>248</v>
      </c>
      <c r="C10" s="259" t="s">
        <v>240</v>
      </c>
      <c r="D10" s="260">
        <v>5036.0</v>
      </c>
      <c r="E10" s="196"/>
      <c r="F10" s="198"/>
      <c r="G10" s="197"/>
      <c r="H10" s="197"/>
      <c r="I10" s="197"/>
    </row>
    <row r="11">
      <c r="A11" s="259" t="s">
        <v>421</v>
      </c>
      <c r="B11" s="259" t="s">
        <v>422</v>
      </c>
      <c r="C11" s="259" t="s">
        <v>240</v>
      </c>
      <c r="D11" s="264">
        <v>4946.78</v>
      </c>
      <c r="E11" s="196"/>
      <c r="F11" s="265" t="s">
        <v>423</v>
      </c>
      <c r="G11" s="256">
        <f>I7</f>
        <v>91496.81</v>
      </c>
      <c r="H11" s="256">
        <f>G11+H7</f>
        <v>121196.81</v>
      </c>
    </row>
    <row r="12">
      <c r="A12" s="259" t="s">
        <v>363</v>
      </c>
      <c r="B12" s="259" t="s">
        <v>418</v>
      </c>
      <c r="C12" s="259" t="s">
        <v>240</v>
      </c>
      <c r="D12" s="262">
        <v>1.21</v>
      </c>
      <c r="E12" s="196"/>
      <c r="F12" s="196" t="s">
        <v>138</v>
      </c>
      <c r="G12" s="196" t="s">
        <v>331</v>
      </c>
      <c r="H12" s="196" t="s">
        <v>157</v>
      </c>
      <c r="I12" s="196" t="s">
        <v>332</v>
      </c>
      <c r="J12" s="196" t="s">
        <v>380</v>
      </c>
    </row>
    <row r="13">
      <c r="A13" s="259" t="s">
        <v>364</v>
      </c>
      <c r="B13" s="259" t="s">
        <v>418</v>
      </c>
      <c r="C13" s="259" t="s">
        <v>240</v>
      </c>
      <c r="D13" s="260">
        <v>2.02</v>
      </c>
      <c r="E13" s="196"/>
      <c r="F13" s="197">
        <f>G6</f>
        <v>2930.52</v>
      </c>
      <c r="G13" s="197">
        <f>I5</f>
        <v>44736</v>
      </c>
      <c r="H13" s="197">
        <f>I4</f>
        <v>43830.29</v>
      </c>
      <c r="I13" s="197">
        <f>H7</f>
        <v>29700</v>
      </c>
      <c r="J13" s="197">
        <f>SUM(F13:I13)</f>
        <v>121196.81</v>
      </c>
    </row>
    <row r="14">
      <c r="A14" s="259" t="s">
        <v>249</v>
      </c>
      <c r="B14" s="259" t="s">
        <v>381</v>
      </c>
      <c r="C14" s="259" t="s">
        <v>240</v>
      </c>
      <c r="D14" s="260"/>
      <c r="E14" s="196"/>
    </row>
    <row r="15">
      <c r="A15" s="266" t="s">
        <v>424</v>
      </c>
      <c r="B15" s="259" t="s">
        <v>381</v>
      </c>
      <c r="C15" s="259" t="s">
        <v>240</v>
      </c>
      <c r="D15" s="260">
        <v>5648.82</v>
      </c>
      <c r="E15" s="260" t="s">
        <v>425</v>
      </c>
      <c r="H15" s="235"/>
    </row>
    <row r="16">
      <c r="A16" s="259" t="s">
        <v>252</v>
      </c>
      <c r="B16" s="259" t="s">
        <v>253</v>
      </c>
      <c r="C16" s="259" t="s">
        <v>240</v>
      </c>
      <c r="D16" s="260">
        <v>29700.0</v>
      </c>
      <c r="E16" s="235">
        <f>1000000+25490000+4000000+38500000+21000000+500000+4000000</f>
        <v>94490000</v>
      </c>
      <c r="F16" s="264">
        <v>4127.04</v>
      </c>
      <c r="G16" s="262" t="s">
        <v>426</v>
      </c>
    </row>
    <row r="17">
      <c r="A17" s="266" t="s">
        <v>382</v>
      </c>
      <c r="B17" s="259" t="s">
        <v>383</v>
      </c>
      <c r="C17" s="259" t="s">
        <v>240</v>
      </c>
      <c r="D17" s="260">
        <v>38300.0</v>
      </c>
      <c r="E17" s="196" t="s">
        <v>393</v>
      </c>
    </row>
    <row r="18" ht="14.25" customHeight="1">
      <c r="A18" s="259"/>
      <c r="B18" s="267"/>
      <c r="C18" s="259" t="s">
        <v>240</v>
      </c>
      <c r="D18" s="264">
        <v>99772.11</v>
      </c>
      <c r="E18" s="196"/>
    </row>
    <row r="19" ht="14.25" customHeight="1">
      <c r="A19" s="259" t="s">
        <v>427</v>
      </c>
      <c r="B19" s="267"/>
      <c r="C19" s="259" t="s">
        <v>240</v>
      </c>
      <c r="D19" s="268">
        <f>SUM(D6:D17)</f>
        <v>116866.29</v>
      </c>
      <c r="E19" s="196"/>
    </row>
    <row r="20" ht="14.25" customHeight="1">
      <c r="A20" s="196"/>
      <c r="E20" s="196"/>
    </row>
    <row r="21" ht="14.25" customHeight="1">
      <c r="A21" s="261" t="s">
        <v>138</v>
      </c>
      <c r="E21" s="196"/>
    </row>
    <row r="22" ht="14.25" customHeight="1">
      <c r="A22" s="261" t="s">
        <v>257</v>
      </c>
      <c r="B22" s="262" t="s">
        <v>418</v>
      </c>
      <c r="C22" s="262" t="s">
        <v>240</v>
      </c>
      <c r="D22" s="264">
        <v>796.86</v>
      </c>
      <c r="E22" s="196"/>
    </row>
    <row r="23" ht="14.25" customHeight="1">
      <c r="A23" s="261" t="s">
        <v>259</v>
      </c>
      <c r="B23" s="262" t="s">
        <v>418</v>
      </c>
      <c r="C23" s="262" t="s">
        <v>240</v>
      </c>
      <c r="D23" s="262">
        <v>55.74</v>
      </c>
      <c r="E23" s="196"/>
    </row>
    <row r="24" ht="14.25" customHeight="1">
      <c r="A24" s="261" t="s">
        <v>260</v>
      </c>
      <c r="B24" s="262" t="s">
        <v>418</v>
      </c>
      <c r="C24" s="262" t="s">
        <v>240</v>
      </c>
      <c r="D24" s="262">
        <v>0.68</v>
      </c>
      <c r="E24" s="235"/>
    </row>
    <row r="25" ht="14.25" customHeight="1">
      <c r="A25" s="261" t="s">
        <v>261</v>
      </c>
      <c r="B25" s="262" t="s">
        <v>418</v>
      </c>
      <c r="C25" s="262" t="s">
        <v>240</v>
      </c>
      <c r="D25" s="262">
        <v>516.51</v>
      </c>
      <c r="E25" s="196"/>
    </row>
    <row r="26" ht="14.25" customHeight="1">
      <c r="A26" s="261" t="s">
        <v>262</v>
      </c>
      <c r="B26" s="262" t="s">
        <v>263</v>
      </c>
      <c r="C26" s="262" t="s">
        <v>240</v>
      </c>
      <c r="D26" s="262">
        <v>0.0</v>
      </c>
      <c r="E26" s="235"/>
    </row>
    <row r="27" ht="14.25" customHeight="1">
      <c r="A27" s="261" t="s">
        <v>333</v>
      </c>
      <c r="B27" s="262" t="s">
        <v>418</v>
      </c>
      <c r="C27" s="262" t="s">
        <v>240</v>
      </c>
      <c r="D27" s="264">
        <v>1024.58</v>
      </c>
      <c r="E27" s="235"/>
    </row>
    <row r="28" ht="14.25" customHeight="1">
      <c r="A28" s="261" t="s">
        <v>264</v>
      </c>
      <c r="B28" s="262" t="s">
        <v>418</v>
      </c>
      <c r="C28" s="262" t="s">
        <v>240</v>
      </c>
      <c r="D28" s="260">
        <v>1384.48</v>
      </c>
      <c r="E28" s="235"/>
    </row>
    <row r="29" ht="14.25" customHeight="1">
      <c r="A29" s="261" t="s">
        <v>334</v>
      </c>
      <c r="B29" s="262" t="s">
        <v>418</v>
      </c>
      <c r="C29" s="262" t="s">
        <v>240</v>
      </c>
      <c r="D29" s="262">
        <v>208.51</v>
      </c>
      <c r="E29" s="235"/>
    </row>
    <row r="30" ht="14.25" customHeight="1">
      <c r="A30" s="261" t="s">
        <v>265</v>
      </c>
      <c r="B30" s="262" t="s">
        <v>411</v>
      </c>
      <c r="C30" s="262" t="s">
        <v>240</v>
      </c>
      <c r="D30" s="262">
        <v>181.93</v>
      </c>
      <c r="E30" s="235"/>
    </row>
    <row r="31" ht="14.25" customHeight="1">
      <c r="A31" s="261" t="s">
        <v>267</v>
      </c>
      <c r="B31" s="262" t="s">
        <v>412</v>
      </c>
      <c r="C31" s="262" t="s">
        <v>240</v>
      </c>
      <c r="D31" s="262">
        <v>-5.0</v>
      </c>
      <c r="E31" s="196"/>
    </row>
    <row r="32" ht="14.25" customHeight="1">
      <c r="C32" s="262" t="s">
        <v>240</v>
      </c>
      <c r="D32" s="260">
        <v>4681.83</v>
      </c>
      <c r="E32" s="235"/>
    </row>
    <row r="33" ht="14.25" customHeight="1">
      <c r="A33" s="196" t="s">
        <v>419</v>
      </c>
      <c r="D33" s="235">
        <f>D22+D28+D30+D31+D23+D25+D26</f>
        <v>2930.52</v>
      </c>
      <c r="E33" s="235"/>
    </row>
    <row r="34" ht="14.25" customHeight="1">
      <c r="E34" s="235"/>
    </row>
    <row r="35" ht="14.25" customHeight="1">
      <c r="A35" s="196" t="s">
        <v>428</v>
      </c>
      <c r="E35" s="196"/>
      <c r="F35" s="235"/>
      <c r="G35" s="196"/>
    </row>
    <row r="36" ht="14.25" customHeight="1">
      <c r="A36" s="196" t="s">
        <v>269</v>
      </c>
      <c r="B36" s="196" t="s">
        <v>270</v>
      </c>
      <c r="C36" s="196" t="s">
        <v>240</v>
      </c>
      <c r="D36" s="235">
        <v>7500.0</v>
      </c>
      <c r="E36" s="196"/>
      <c r="F36" s="235"/>
      <c r="G36" s="196"/>
    </row>
    <row r="37" ht="14.25" customHeight="1">
      <c r="A37" s="196" t="s">
        <v>429</v>
      </c>
      <c r="B37" s="196" t="s">
        <v>430</v>
      </c>
      <c r="C37" s="196" t="s">
        <v>240</v>
      </c>
      <c r="D37" s="235">
        <v>7500.0</v>
      </c>
      <c r="E37" s="196"/>
      <c r="F37" s="260"/>
      <c r="G37" s="196"/>
    </row>
    <row r="38" ht="14.25" customHeight="1">
      <c r="D38" s="264">
        <v>111953.94</v>
      </c>
      <c r="E38" s="196"/>
      <c r="F38" s="235"/>
      <c r="G38" s="196" t="s">
        <v>272</v>
      </c>
      <c r="I38" s="245" t="str">
        <f>A7</f>
        <v>Merrill Lynch Merrill Edge-CMA-Edgex2085-CMA-x-2085</v>
      </c>
      <c r="K38" s="245" t="str">
        <f>A6</f>
        <v>Robinhood-Robinhood Brokerage-brokerageCash-x-8271</v>
      </c>
      <c r="L38" s="245" t="str">
        <f>A8</f>
        <v>Chase-Self-Directed-individual-x-3098</v>
      </c>
    </row>
    <row r="39" ht="14.25" customHeight="1">
      <c r="A39" s="196" t="s">
        <v>431</v>
      </c>
      <c r="B39" s="196" t="s">
        <v>430</v>
      </c>
      <c r="C39" s="196" t="s">
        <v>240</v>
      </c>
      <c r="D39" s="235">
        <f>SUM(D33+D19+D37)</f>
        <v>127296.81</v>
      </c>
      <c r="E39" s="196"/>
      <c r="F39" s="235"/>
      <c r="G39" s="196" t="s">
        <v>274</v>
      </c>
      <c r="H39" s="196">
        <v>190.0</v>
      </c>
      <c r="I39" s="196">
        <v>347.38</v>
      </c>
      <c r="K39" s="196">
        <f>6.2*173</f>
        <v>1072.6</v>
      </c>
    </row>
    <row r="40" ht="14.25" customHeight="1">
      <c r="E40" s="196"/>
      <c r="F40" s="235"/>
      <c r="G40" s="196" t="s">
        <v>275</v>
      </c>
      <c r="H40" s="196">
        <v>150.0</v>
      </c>
      <c r="I40" s="196">
        <v>110.0</v>
      </c>
      <c r="J40" s="196">
        <f>H40/36.97</f>
        <v>4.057343792</v>
      </c>
      <c r="K40" s="196">
        <v>152.0</v>
      </c>
    </row>
    <row r="41" ht="14.25" customHeight="1">
      <c r="A41" s="261" t="s">
        <v>432</v>
      </c>
      <c r="B41" s="261" t="s">
        <v>233</v>
      </c>
      <c r="C41" s="261" t="s">
        <v>234</v>
      </c>
      <c r="D41" s="261" t="s">
        <v>433</v>
      </c>
      <c r="E41" s="196"/>
      <c r="F41" s="235"/>
      <c r="G41" s="196" t="s">
        <v>277</v>
      </c>
      <c r="H41" s="196">
        <v>20.0</v>
      </c>
      <c r="K41" s="196">
        <v>450.0</v>
      </c>
    </row>
    <row r="42" ht="14.25" customHeight="1">
      <c r="E42" s="196"/>
      <c r="F42" s="235"/>
      <c r="G42" s="196" t="s">
        <v>278</v>
      </c>
      <c r="H42" s="196">
        <v>80.0</v>
      </c>
      <c r="I42" s="196">
        <v>154.69</v>
      </c>
      <c r="K42" s="196">
        <v>1000.0</v>
      </c>
    </row>
    <row r="43" ht="14.25" customHeight="1">
      <c r="A43" s="262" t="s">
        <v>434</v>
      </c>
      <c r="E43" s="196"/>
      <c r="F43" s="235"/>
      <c r="G43" s="196" t="s">
        <v>280</v>
      </c>
      <c r="H43" s="196">
        <v>250.0</v>
      </c>
      <c r="I43" s="196">
        <v>212.3</v>
      </c>
    </row>
    <row r="44" ht="14.25" customHeight="1">
      <c r="A44" s="262" t="s">
        <v>413</v>
      </c>
      <c r="B44" s="262" t="s">
        <v>414</v>
      </c>
      <c r="C44" s="262" t="s">
        <v>240</v>
      </c>
      <c r="D44" s="262">
        <v>0.0</v>
      </c>
      <c r="E44" s="196"/>
      <c r="F44" s="235"/>
      <c r="G44" s="196" t="s">
        <v>282</v>
      </c>
      <c r="H44" s="196">
        <v>450.0</v>
      </c>
      <c r="K44" s="196">
        <v>1000.0</v>
      </c>
    </row>
    <row r="45" ht="14.25" customHeight="1">
      <c r="A45" s="262" t="s">
        <v>415</v>
      </c>
      <c r="B45" s="262" t="s">
        <v>418</v>
      </c>
      <c r="C45" s="262" t="s">
        <v>240</v>
      </c>
      <c r="D45" s="262">
        <v>-17.29</v>
      </c>
      <c r="E45" s="196"/>
      <c r="F45" s="235"/>
      <c r="G45" s="196" t="s">
        <v>284</v>
      </c>
      <c r="H45" s="196">
        <v>322.0</v>
      </c>
      <c r="I45" s="196">
        <v>494.0</v>
      </c>
    </row>
    <row r="46" ht="14.25" customHeight="1">
      <c r="A46" s="262" t="s">
        <v>401</v>
      </c>
      <c r="B46" s="262" t="s">
        <v>418</v>
      </c>
      <c r="C46" s="262" t="s">
        <v>240</v>
      </c>
      <c r="D46" s="262">
        <v>0.0</v>
      </c>
      <c r="E46" s="246"/>
      <c r="G46" s="196" t="s">
        <v>286</v>
      </c>
      <c r="H46" s="196">
        <v>167.0</v>
      </c>
      <c r="K46" s="196">
        <f>4*122</f>
        <v>488</v>
      </c>
    </row>
    <row r="47" ht="14.25" customHeight="1">
      <c r="A47" s="262" t="s">
        <v>369</v>
      </c>
      <c r="B47" s="262" t="s">
        <v>418</v>
      </c>
      <c r="C47" s="262" t="s">
        <v>240</v>
      </c>
      <c r="D47" s="260">
        <v>18631.78</v>
      </c>
      <c r="G47" s="196" t="s">
        <v>288</v>
      </c>
      <c r="K47" s="196">
        <f>3.135147*397</f>
        <v>1244.653359</v>
      </c>
    </row>
    <row r="48" ht="14.25" customHeight="1">
      <c r="A48" s="262" t="s">
        <v>287</v>
      </c>
      <c r="B48" s="262" t="s">
        <v>418</v>
      </c>
      <c r="C48" s="262" t="s">
        <v>240</v>
      </c>
      <c r="D48" s="262">
        <v>0.0</v>
      </c>
      <c r="G48" s="196" t="s">
        <v>291</v>
      </c>
      <c r="K48" s="196">
        <v>223.0</v>
      </c>
      <c r="L48" s="196">
        <f>2*454.5</f>
        <v>909</v>
      </c>
    </row>
    <row r="49" ht="14.25" customHeight="1">
      <c r="A49" s="262" t="s">
        <v>289</v>
      </c>
      <c r="B49" s="262" t="s">
        <v>290</v>
      </c>
      <c r="C49" s="262" t="s">
        <v>240</v>
      </c>
      <c r="D49" s="262">
        <v>0.0</v>
      </c>
      <c r="G49" s="196" t="s">
        <v>294</v>
      </c>
      <c r="K49" s="196">
        <v>313.0</v>
      </c>
    </row>
    <row r="50" ht="14.25" customHeight="1">
      <c r="A50" s="262" t="s">
        <v>292</v>
      </c>
      <c r="B50" s="262" t="s">
        <v>293</v>
      </c>
      <c r="C50" s="262" t="s">
        <v>240</v>
      </c>
      <c r="D50" s="262">
        <v>0.0</v>
      </c>
      <c r="E50" s="196"/>
      <c r="G50" s="196" t="s">
        <v>296</v>
      </c>
      <c r="K50" s="196">
        <v>430.0</v>
      </c>
    </row>
    <row r="51" ht="14.25" customHeight="1">
      <c r="A51" s="262" t="s">
        <v>295</v>
      </c>
      <c r="B51" s="262" t="s">
        <v>418</v>
      </c>
      <c r="C51" s="262" t="s">
        <v>240</v>
      </c>
      <c r="D51" s="262">
        <v>0.0</v>
      </c>
      <c r="E51" s="196"/>
      <c r="G51" s="196" t="s">
        <v>299</v>
      </c>
      <c r="K51" s="196">
        <v>300.0</v>
      </c>
    </row>
    <row r="52" ht="14.25" customHeight="1">
      <c r="A52" s="262" t="s">
        <v>297</v>
      </c>
      <c r="B52" s="262" t="s">
        <v>298</v>
      </c>
      <c r="C52" s="262" t="s">
        <v>240</v>
      </c>
      <c r="D52" s="262">
        <v>0.0</v>
      </c>
      <c r="E52" s="196"/>
      <c r="H52" s="196">
        <f t="shared" ref="H52:I52" si="3">SUM(H37:H51)</f>
        <v>1629</v>
      </c>
      <c r="I52" s="196">
        <f t="shared" si="3"/>
        <v>1318.37</v>
      </c>
      <c r="K52" s="196">
        <f t="shared" ref="K52:L52" si="4">SUM(K37:K51)</f>
        <v>6673.253359</v>
      </c>
      <c r="L52" s="196">
        <f t="shared" si="4"/>
        <v>909</v>
      </c>
      <c r="M52" s="196">
        <f t="shared" ref="M52:M53" si="5">SUM(I52:L52)</f>
        <v>8900.623359</v>
      </c>
    </row>
    <row r="53" ht="14.25" customHeight="1">
      <c r="A53" s="262" t="s">
        <v>300</v>
      </c>
      <c r="B53" s="262" t="s">
        <v>290</v>
      </c>
      <c r="C53" s="262" t="s">
        <v>240</v>
      </c>
      <c r="D53" s="262">
        <v>0.0</v>
      </c>
      <c r="E53" s="196"/>
      <c r="H53" s="249" t="s">
        <v>336</v>
      </c>
      <c r="I53" s="196">
        <v>1400.0</v>
      </c>
      <c r="K53" s="196">
        <v>6777.0</v>
      </c>
      <c r="L53" s="196">
        <v>944.0</v>
      </c>
      <c r="M53" s="196">
        <f t="shared" si="5"/>
        <v>9121</v>
      </c>
    </row>
    <row r="54" ht="14.25" customHeight="1">
      <c r="A54" s="262" t="s">
        <v>301</v>
      </c>
      <c r="B54" s="262" t="s">
        <v>418</v>
      </c>
      <c r="C54" s="262" t="s">
        <v>240</v>
      </c>
      <c r="D54" s="262">
        <v>-92.55</v>
      </c>
      <c r="E54" s="196"/>
      <c r="I54" s="196" t="s">
        <v>303</v>
      </c>
      <c r="J54" s="196">
        <v>2300.0</v>
      </c>
      <c r="M54" s="196">
        <f>SUM(J54+M52)</f>
        <v>11200.62336</v>
      </c>
      <c r="N54" s="196" t="s">
        <v>304</v>
      </c>
    </row>
    <row r="55" ht="14.25" customHeight="1">
      <c r="A55" s="262" t="s">
        <v>404</v>
      </c>
      <c r="B55" s="262" t="s">
        <v>418</v>
      </c>
      <c r="C55" s="262" t="s">
        <v>240</v>
      </c>
      <c r="D55" s="262">
        <v>0.0</v>
      </c>
      <c r="E55" s="196"/>
    </row>
    <row r="56" ht="14.25" customHeight="1">
      <c r="A56" s="262" t="s">
        <v>406</v>
      </c>
      <c r="B56" s="262" t="s">
        <v>418</v>
      </c>
      <c r="C56" s="262" t="s">
        <v>240</v>
      </c>
      <c r="D56" s="262">
        <v>0.0</v>
      </c>
    </row>
    <row r="57" ht="14.25" customHeight="1">
      <c r="A57" s="262" t="s">
        <v>306</v>
      </c>
      <c r="B57" s="262" t="s">
        <v>418</v>
      </c>
      <c r="C57" s="262" t="s">
        <v>240</v>
      </c>
      <c r="D57" s="262">
        <v>0.0</v>
      </c>
    </row>
    <row r="58" ht="14.25" customHeight="1">
      <c r="A58" s="262" t="s">
        <v>308</v>
      </c>
      <c r="B58" s="262" t="s">
        <v>418</v>
      </c>
      <c r="C58" s="262" t="s">
        <v>240</v>
      </c>
      <c r="D58" s="262">
        <v>0.0</v>
      </c>
    </row>
    <row r="59" ht="14.25" customHeight="1">
      <c r="A59" s="262" t="s">
        <v>309</v>
      </c>
      <c r="B59" s="262" t="s">
        <v>418</v>
      </c>
      <c r="C59" s="262" t="s">
        <v>240</v>
      </c>
      <c r="D59" s="260">
        <v>7680.94</v>
      </c>
    </row>
    <row r="60" ht="14.25" customHeight="1">
      <c r="B60" s="196"/>
      <c r="C60" s="261" t="s">
        <v>240</v>
      </c>
      <c r="D60" s="260">
        <v>26202.88</v>
      </c>
    </row>
    <row r="61" ht="14.25" customHeight="1">
      <c r="A61" s="196" t="s">
        <v>420</v>
      </c>
      <c r="C61" s="196" t="s">
        <v>240</v>
      </c>
      <c r="D61" s="235">
        <f>D60-D54</f>
        <v>26295.43</v>
      </c>
    </row>
    <row r="62" ht="14.25" customHeight="1">
      <c r="A62" s="196"/>
      <c r="C62" s="196"/>
      <c r="D62" s="235"/>
    </row>
    <row r="63" ht="14.25" customHeight="1">
      <c r="A63" s="196" t="s">
        <v>310</v>
      </c>
    </row>
    <row r="64" ht="14.25" customHeight="1">
      <c r="A64" s="254" t="s">
        <v>338</v>
      </c>
      <c r="B64" s="254" t="s">
        <v>408</v>
      </c>
      <c r="C64" s="254" t="s">
        <v>240</v>
      </c>
      <c r="D64" s="235">
        <v>2000.0</v>
      </c>
      <c r="E64" s="235"/>
    </row>
    <row r="65" ht="14.25" customHeight="1">
      <c r="A65" s="254" t="s">
        <v>340</v>
      </c>
      <c r="B65" s="254" t="s">
        <v>408</v>
      </c>
      <c r="C65" s="254" t="s">
        <v>240</v>
      </c>
      <c r="D65" s="235">
        <v>1904.12</v>
      </c>
      <c r="E65" s="235"/>
    </row>
    <row r="66" ht="14.25" customHeight="1">
      <c r="A66" s="254" t="s">
        <v>341</v>
      </c>
      <c r="B66" s="254" t="s">
        <v>408</v>
      </c>
      <c r="C66" s="254" t="s">
        <v>240</v>
      </c>
      <c r="D66" s="235">
        <v>8589.0</v>
      </c>
      <c r="E66" s="235"/>
    </row>
    <row r="67" ht="14.25" customHeight="1">
      <c r="A67" s="254" t="s">
        <v>342</v>
      </c>
      <c r="B67" s="254" t="s">
        <v>408</v>
      </c>
      <c r="C67" s="254" t="s">
        <v>240</v>
      </c>
      <c r="D67" s="235">
        <v>11843.0</v>
      </c>
      <c r="E67" s="235"/>
    </row>
    <row r="68" ht="14.25" customHeight="1">
      <c r="A68" s="254" t="s">
        <v>343</v>
      </c>
      <c r="B68" s="254" t="s">
        <v>408</v>
      </c>
      <c r="C68" s="254" t="s">
        <v>240</v>
      </c>
      <c r="D68" s="235">
        <v>8657.0</v>
      </c>
      <c r="E68" s="235"/>
    </row>
    <row r="69" ht="14.25" customHeight="1">
      <c r="A69" s="254" t="s">
        <v>344</v>
      </c>
      <c r="B69" s="254" t="s">
        <v>408</v>
      </c>
      <c r="C69" s="254" t="s">
        <v>240</v>
      </c>
      <c r="D69" s="254">
        <v>531.0</v>
      </c>
    </row>
    <row r="70" ht="14.25" customHeight="1">
      <c r="A70" s="254" t="s">
        <v>340</v>
      </c>
      <c r="B70" s="254" t="s">
        <v>345</v>
      </c>
      <c r="C70" s="254" t="s">
        <v>240</v>
      </c>
      <c r="D70" s="235">
        <v>1932.87</v>
      </c>
      <c r="E70" s="235"/>
    </row>
    <row r="71" ht="14.25" customHeight="1">
      <c r="A71" s="254" t="s">
        <v>346</v>
      </c>
      <c r="B71" s="254" t="s">
        <v>408</v>
      </c>
      <c r="C71" s="254" t="s">
        <v>240</v>
      </c>
      <c r="D71" s="235">
        <v>4500.0</v>
      </c>
      <c r="E71" s="235"/>
    </row>
    <row r="72" ht="14.25" customHeight="1">
      <c r="A72" s="254" t="s">
        <v>347</v>
      </c>
      <c r="B72" s="254" t="s">
        <v>408</v>
      </c>
      <c r="C72" s="254" t="s">
        <v>240</v>
      </c>
      <c r="D72" s="254">
        <v>907.59</v>
      </c>
      <c r="G72" s="250" t="s">
        <v>348</v>
      </c>
      <c r="H72" s="251">
        <f>SUM(F75:J75)</f>
        <v>133871.19</v>
      </c>
    </row>
    <row r="73" ht="14.25" customHeight="1">
      <c r="A73" s="254" t="s">
        <v>349</v>
      </c>
      <c r="B73" s="254" t="s">
        <v>408</v>
      </c>
      <c r="C73" s="254" t="s">
        <v>240</v>
      </c>
      <c r="D73" s="254">
        <v>610.25</v>
      </c>
    </row>
    <row r="74" ht="14.25" customHeight="1">
      <c r="A74" s="254" t="s">
        <v>350</v>
      </c>
      <c r="B74" s="254" t="s">
        <v>408</v>
      </c>
      <c r="C74" s="254" t="s">
        <v>240</v>
      </c>
      <c r="D74" s="235">
        <v>4500.0</v>
      </c>
      <c r="E74" s="235"/>
      <c r="F74" s="196" t="s">
        <v>351</v>
      </c>
      <c r="G74" s="196" t="str">
        <f>A86</f>
        <v>Loan BPS Collen Fund-Personal</v>
      </c>
      <c r="H74" s="196" t="str">
        <f>A87</f>
        <v>NYS Loan Masters Edu-Personal</v>
      </c>
      <c r="I74" s="196" t="str">
        <f>A88</f>
        <v>TEACh Grant-Personal</v>
      </c>
      <c r="J74" s="196" t="str">
        <f>A61</f>
        <v>Cards TOTAL</v>
      </c>
      <c r="K74" s="250" t="s">
        <v>348</v>
      </c>
    </row>
    <row r="75" ht="14.25" customHeight="1">
      <c r="A75" s="254" t="s">
        <v>352</v>
      </c>
      <c r="B75" s="254" t="s">
        <v>408</v>
      </c>
      <c r="C75" s="254" t="s">
        <v>240</v>
      </c>
      <c r="D75" s="235">
        <v>5896.67</v>
      </c>
      <c r="E75" s="235"/>
      <c r="F75" s="235">
        <f>E84</f>
        <v>76300.26</v>
      </c>
      <c r="G75" s="235">
        <f>D86</f>
        <v>11700</v>
      </c>
      <c r="H75" s="235">
        <f>D87</f>
        <v>13917.5</v>
      </c>
      <c r="I75" s="235">
        <f>D88</f>
        <v>5658</v>
      </c>
      <c r="J75" s="235">
        <f>D61</f>
        <v>26295.43</v>
      </c>
      <c r="K75" s="251">
        <f>H72</f>
        <v>133871.19</v>
      </c>
    </row>
    <row r="76" ht="14.25" customHeight="1">
      <c r="A76" s="254" t="s">
        <v>353</v>
      </c>
      <c r="B76" s="254" t="s">
        <v>408</v>
      </c>
      <c r="C76" s="254" t="s">
        <v>240</v>
      </c>
      <c r="D76" s="235">
        <v>5500.0</v>
      </c>
      <c r="E76" s="235"/>
    </row>
    <row r="77" ht="14.25" customHeight="1">
      <c r="A77" s="254" t="s">
        <v>354</v>
      </c>
      <c r="B77" s="254" t="s">
        <v>408</v>
      </c>
      <c r="C77" s="254" t="s">
        <v>240</v>
      </c>
      <c r="D77" s="235">
        <v>6613.65</v>
      </c>
      <c r="E77" s="235"/>
    </row>
    <row r="78" ht="14.25" customHeight="1">
      <c r="A78" s="254" t="s">
        <v>355</v>
      </c>
      <c r="B78" s="254" t="s">
        <v>345</v>
      </c>
      <c r="C78" s="254" t="s">
        <v>240</v>
      </c>
      <c r="D78" s="235">
        <v>6429.0</v>
      </c>
      <c r="E78" s="235"/>
    </row>
    <row r="79" ht="14.25" customHeight="1">
      <c r="A79" s="254" t="s">
        <v>338</v>
      </c>
      <c r="B79" s="254" t="s">
        <v>345</v>
      </c>
      <c r="C79" s="254" t="s">
        <v>240</v>
      </c>
      <c r="D79" s="235">
        <v>2000.0</v>
      </c>
      <c r="E79" s="235"/>
    </row>
    <row r="80" ht="14.25" customHeight="1">
      <c r="A80" s="254" t="s">
        <v>356</v>
      </c>
      <c r="B80" s="254" t="s">
        <v>345</v>
      </c>
      <c r="C80" s="254" t="s">
        <v>240</v>
      </c>
      <c r="D80" s="235">
        <v>1400.0</v>
      </c>
      <c r="E80" s="235"/>
    </row>
    <row r="81" ht="14.25" customHeight="1">
      <c r="A81" s="254" t="s">
        <v>357</v>
      </c>
      <c r="B81" s="254" t="s">
        <v>345</v>
      </c>
      <c r="C81" s="254" t="s">
        <v>240</v>
      </c>
      <c r="D81" s="235">
        <v>1936.1</v>
      </c>
      <c r="E81" s="235"/>
    </row>
    <row r="82" ht="14.25" customHeight="1">
      <c r="A82" s="254" t="s">
        <v>355</v>
      </c>
      <c r="B82" s="254" t="s">
        <v>408</v>
      </c>
      <c r="C82" s="254" t="s">
        <v>240</v>
      </c>
      <c r="D82" s="235">
        <v>6429.0</v>
      </c>
      <c r="E82" s="235"/>
    </row>
    <row r="83" ht="14.25" customHeight="1">
      <c r="A83" s="254" t="s">
        <v>357</v>
      </c>
      <c r="B83" s="254" t="s">
        <v>408</v>
      </c>
      <c r="C83" s="254" t="s">
        <v>240</v>
      </c>
      <c r="D83" s="235">
        <v>1907.3</v>
      </c>
      <c r="E83" s="235"/>
    </row>
    <row r="84" ht="14.25" customHeight="1">
      <c r="A84" s="254" t="s">
        <v>356</v>
      </c>
      <c r="B84" s="254" t="s">
        <v>408</v>
      </c>
      <c r="C84" s="254" t="s">
        <v>240</v>
      </c>
      <c r="D84" s="235">
        <v>1400.0</v>
      </c>
      <c r="E84" s="269">
        <v>76300.26</v>
      </c>
    </row>
    <row r="85" ht="14.25" customHeight="1">
      <c r="A85" s="254" t="s">
        <v>358</v>
      </c>
      <c r="B85" s="254" t="s">
        <v>408</v>
      </c>
      <c r="C85" s="254" t="s">
        <v>240</v>
      </c>
      <c r="D85" s="235">
        <v>2113.0</v>
      </c>
      <c r="E85" s="235">
        <f>SUM(D64:D85)</f>
        <v>87599.55</v>
      </c>
    </row>
    <row r="86" ht="14.25" customHeight="1">
      <c r="A86" s="254" t="s">
        <v>311</v>
      </c>
      <c r="B86" s="254" t="s">
        <v>312</v>
      </c>
      <c r="C86" s="254" t="s">
        <v>240</v>
      </c>
      <c r="D86" s="235">
        <v>11700.0</v>
      </c>
      <c r="E86" s="254" t="s">
        <v>388</v>
      </c>
    </row>
    <row r="87" ht="14.25" customHeight="1">
      <c r="A87" s="254" t="s">
        <v>313</v>
      </c>
      <c r="B87" s="254" t="s">
        <v>314</v>
      </c>
      <c r="C87" s="254" t="s">
        <v>240</v>
      </c>
      <c r="D87" s="235">
        <v>13917.5</v>
      </c>
    </row>
    <row r="88" ht="14.25" customHeight="1">
      <c r="A88" s="254" t="s">
        <v>319</v>
      </c>
      <c r="B88" s="254" t="s">
        <v>320</v>
      </c>
      <c r="C88" s="254" t="s">
        <v>240</v>
      </c>
      <c r="D88" s="235">
        <v>5658.0</v>
      </c>
    </row>
    <row r="89" ht="14.25" customHeight="1">
      <c r="A89" s="254" t="s">
        <v>321</v>
      </c>
      <c r="B89" s="254" t="s">
        <v>255</v>
      </c>
      <c r="C89" s="254" t="s">
        <v>240</v>
      </c>
      <c r="D89" s="235">
        <f>E84+D86+D87+D88</f>
        <v>107575.76</v>
      </c>
    </row>
    <row r="90" ht="14.25" customHeight="1"/>
    <row r="91" ht="14.25" customHeight="1">
      <c r="A91" s="196" t="s">
        <v>322</v>
      </c>
    </row>
    <row r="92" ht="14.25" customHeight="1">
      <c r="A92" s="196" t="s">
        <v>323</v>
      </c>
      <c r="B92" s="196" t="s">
        <v>312</v>
      </c>
      <c r="C92" s="196" t="s">
        <v>240</v>
      </c>
      <c r="D92" s="235">
        <v>10090.0</v>
      </c>
    </row>
    <row r="93" ht="14.25" customHeight="1">
      <c r="A93" s="196" t="s">
        <v>324</v>
      </c>
      <c r="B93" s="196" t="s">
        <v>255</v>
      </c>
      <c r="C93" s="196" t="s">
        <v>240</v>
      </c>
      <c r="D93" s="235">
        <v>10090.0</v>
      </c>
    </row>
    <row r="94" ht="14.25" customHeight="1"/>
    <row r="95" ht="14.25" customHeight="1">
      <c r="A95" s="196" t="s">
        <v>325</v>
      </c>
      <c r="B95" s="196" t="s">
        <v>255</v>
      </c>
      <c r="C95" s="196" t="s">
        <v>240</v>
      </c>
      <c r="D95" s="235">
        <f>D89+D61+D93</f>
        <v>143961.19</v>
      </c>
      <c r="E95" s="197">
        <f>G11-D95</f>
        <v>-52464.38</v>
      </c>
    </row>
    <row r="96" ht="14.25" customHeight="1"/>
    <row r="97" ht="14.25" customHeight="1">
      <c r="A97" s="196" t="s">
        <v>326</v>
      </c>
      <c r="B97" s="196" t="s">
        <v>255</v>
      </c>
      <c r="C97" s="196" t="s">
        <v>240</v>
      </c>
      <c r="D97" s="235">
        <v>-42402.48</v>
      </c>
      <c r="E97" s="253">
        <f>H11-H72</f>
        <v>-12674.38</v>
      </c>
      <c r="F97" s="198" t="s">
        <v>359</v>
      </c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4.25" customHeight="1">
      <c r="B268" s="247"/>
    </row>
    <row r="269" ht="14.25" customHeight="1">
      <c r="B269" s="247"/>
    </row>
    <row r="270" ht="14.25" customHeight="1">
      <c r="B270" s="247"/>
    </row>
    <row r="271" ht="14.25" customHeight="1">
      <c r="B271" s="247"/>
    </row>
    <row r="272" ht="14.25" customHeight="1">
      <c r="B272" s="247"/>
    </row>
    <row r="273" ht="14.25" customHeight="1">
      <c r="B273" s="247"/>
    </row>
    <row r="274" ht="14.25" customHeight="1">
      <c r="B274" s="247"/>
    </row>
    <row r="275" ht="14.25" customHeight="1">
      <c r="B275" s="247"/>
    </row>
    <row r="276" ht="14.25" customHeight="1">
      <c r="B276" s="247"/>
    </row>
    <row r="277" ht="14.25" customHeight="1">
      <c r="B277" s="247"/>
    </row>
    <row r="278" ht="14.25" customHeight="1">
      <c r="B278" s="247"/>
    </row>
    <row r="279" ht="14.25" customHeight="1">
      <c r="B279" s="247"/>
    </row>
    <row r="280" ht="14.25" customHeight="1">
      <c r="B280" s="247"/>
    </row>
    <row r="281" ht="14.25" customHeight="1">
      <c r="B281" s="247"/>
    </row>
    <row r="282" ht="14.25" customHeight="1">
      <c r="B282" s="247"/>
    </row>
    <row r="283" ht="14.25" customHeight="1">
      <c r="B283" s="247"/>
    </row>
    <row r="284" ht="14.25" customHeight="1">
      <c r="B284" s="247"/>
    </row>
    <row r="285" ht="14.25" customHeight="1">
      <c r="B285" s="247"/>
    </row>
    <row r="286" ht="14.25" customHeight="1">
      <c r="B286" s="247"/>
    </row>
    <row r="287" ht="14.25" customHeight="1">
      <c r="B287" s="247"/>
    </row>
    <row r="288" ht="14.25" customHeight="1">
      <c r="B288" s="247"/>
    </row>
    <row r="289" ht="14.25" customHeight="1">
      <c r="B289" s="247"/>
    </row>
    <row r="290" ht="14.25" customHeight="1">
      <c r="B290" s="247"/>
    </row>
    <row r="291" ht="14.25" customHeight="1">
      <c r="B291" s="247"/>
    </row>
    <row r="292" ht="14.25" customHeight="1">
      <c r="B292" s="247"/>
    </row>
    <row r="293" ht="14.25" customHeight="1">
      <c r="B293" s="247"/>
    </row>
    <row r="294" ht="14.25" customHeight="1">
      <c r="B294" s="247"/>
    </row>
    <row r="295" ht="14.25" customHeight="1">
      <c r="B295" s="247"/>
    </row>
    <row r="296" ht="14.25" customHeight="1">
      <c r="B296" s="247"/>
    </row>
    <row r="297" ht="14.25" customHeight="1">
      <c r="B297" s="247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1.57"/>
    <col customWidth="1" min="3" max="3" width="8.71"/>
    <col customWidth="1" min="4" max="4" width="10.14"/>
    <col customWidth="1" min="5" max="5" width="13.57"/>
    <col customWidth="1" min="6" max="6" width="22.71"/>
    <col customWidth="1" min="7" max="7" width="16.0"/>
    <col customWidth="1" min="8" max="8" width="36.86"/>
    <col customWidth="1" min="9" max="9" width="12.29"/>
    <col customWidth="1" min="10" max="10" width="15.71"/>
    <col customWidth="1" min="11" max="11" width="14.29"/>
    <col customWidth="1" min="12" max="14" width="8.71"/>
  </cols>
  <sheetData>
    <row r="1">
      <c r="A1" s="254" t="s">
        <v>372</v>
      </c>
    </row>
    <row r="2">
      <c r="A2" s="254" t="s">
        <v>231</v>
      </c>
    </row>
    <row r="3">
      <c r="A3" s="254" t="s">
        <v>232</v>
      </c>
      <c r="B3" s="254" t="s">
        <v>233</v>
      </c>
      <c r="C3" s="254" t="s">
        <v>234</v>
      </c>
      <c r="D3" s="254" t="s">
        <v>235</v>
      </c>
      <c r="G3" s="195" t="s">
        <v>373</v>
      </c>
      <c r="H3" s="257" t="s">
        <v>416</v>
      </c>
      <c r="I3" s="195" t="s">
        <v>375</v>
      </c>
    </row>
    <row r="4">
      <c r="F4" s="196" t="s">
        <v>136</v>
      </c>
      <c r="G4" s="197">
        <f>D6+D7+D8+D9</f>
        <v>53347.3</v>
      </c>
      <c r="H4" s="197">
        <f>D13+D11+D12+D15</f>
        <v>10598.83</v>
      </c>
      <c r="I4" s="197">
        <f t="shared" ref="I4:I5" si="1">G4+H4</f>
        <v>63946.13</v>
      </c>
    </row>
    <row r="5">
      <c r="A5" s="270" t="s">
        <v>435</v>
      </c>
      <c r="B5" s="270"/>
      <c r="C5" s="270"/>
      <c r="D5" s="270"/>
      <c r="F5" s="258" t="s">
        <v>417</v>
      </c>
      <c r="G5" s="197">
        <f>D17</f>
        <v>12000</v>
      </c>
      <c r="H5" s="197">
        <f>D10+1400</f>
        <v>6436</v>
      </c>
      <c r="I5" s="197">
        <f t="shared" si="1"/>
        <v>18436</v>
      </c>
    </row>
    <row r="6">
      <c r="A6" s="271" t="s">
        <v>238</v>
      </c>
      <c r="B6" s="271" t="s">
        <v>436</v>
      </c>
      <c r="C6" s="271" t="s">
        <v>240</v>
      </c>
      <c r="D6" s="272">
        <v>29708.84</v>
      </c>
      <c r="F6" s="261" t="s">
        <v>419</v>
      </c>
      <c r="G6" s="197">
        <f>VLOOKUP(F6,A5:D37,4,FALSE)</f>
        <v>32626.34</v>
      </c>
      <c r="I6" s="197">
        <f>G6</f>
        <v>32626.34</v>
      </c>
      <c r="J6" s="197">
        <f>G5+G6+H7</f>
        <v>66552.47</v>
      </c>
    </row>
    <row r="7">
      <c r="A7" s="271" t="s">
        <v>242</v>
      </c>
      <c r="B7" s="271" t="s">
        <v>436</v>
      </c>
      <c r="C7" s="271" t="s">
        <v>240</v>
      </c>
      <c r="D7" s="272">
        <v>21357.03</v>
      </c>
      <c r="E7" s="196"/>
      <c r="F7" s="196" t="s">
        <v>377</v>
      </c>
      <c r="G7" s="197"/>
      <c r="H7" s="197">
        <f>D16</f>
        <v>21926.13</v>
      </c>
      <c r="I7" s="197">
        <f>SUM(I4:I6)</f>
        <v>115008.47</v>
      </c>
      <c r="J7" s="197">
        <f>G9*0.047</f>
        <v>-1240.16456</v>
      </c>
    </row>
    <row r="8">
      <c r="A8" s="271" t="s">
        <v>244</v>
      </c>
      <c r="B8" s="271" t="s">
        <v>436</v>
      </c>
      <c r="C8" s="271" t="s">
        <v>240</v>
      </c>
      <c r="D8" s="272">
        <v>2237.3</v>
      </c>
      <c r="F8" s="196" t="s">
        <v>379</v>
      </c>
      <c r="G8" s="197">
        <f t="shared" ref="G8:H8" si="2">SUM(G4:G7)</f>
        <v>97973.64</v>
      </c>
      <c r="H8" s="197">
        <f t="shared" si="2"/>
        <v>38960.96</v>
      </c>
    </row>
    <row r="9">
      <c r="A9" s="271" t="s">
        <v>362</v>
      </c>
      <c r="B9" s="271" t="s">
        <v>436</v>
      </c>
      <c r="C9" s="271" t="s">
        <v>240</v>
      </c>
      <c r="D9" s="273">
        <v>44.13</v>
      </c>
      <c r="E9" s="196"/>
      <c r="F9" s="263" t="s">
        <v>420</v>
      </c>
      <c r="G9" s="200">
        <f>-VLOOKUP(F9,A41:D61,4,)</f>
        <v>-26386.48</v>
      </c>
      <c r="H9" s="199"/>
      <c r="I9" s="200">
        <f>G8+G9+H7</f>
        <v>93513.29</v>
      </c>
      <c r="J9" s="199" t="s">
        <v>392</v>
      </c>
    </row>
    <row r="10">
      <c r="A10" s="271" t="s">
        <v>247</v>
      </c>
      <c r="B10" s="271" t="s">
        <v>248</v>
      </c>
      <c r="C10" s="271" t="s">
        <v>240</v>
      </c>
      <c r="D10" s="272">
        <v>5036.0</v>
      </c>
      <c r="E10" s="196"/>
      <c r="F10" s="198"/>
      <c r="G10" s="197"/>
      <c r="H10" s="197"/>
      <c r="I10" s="197"/>
    </row>
    <row r="11">
      <c r="A11" s="271" t="s">
        <v>421</v>
      </c>
      <c r="B11" s="271" t="s">
        <v>422</v>
      </c>
      <c r="C11" s="271" t="s">
        <v>240</v>
      </c>
      <c r="D11" s="272">
        <v>4946.78</v>
      </c>
      <c r="E11" s="196"/>
      <c r="F11" s="265" t="s">
        <v>423</v>
      </c>
      <c r="G11" s="256">
        <f>I7</f>
        <v>115008.47</v>
      </c>
      <c r="H11" s="256">
        <f>G11+H7</f>
        <v>136934.6</v>
      </c>
    </row>
    <row r="12">
      <c r="A12" s="271" t="s">
        <v>363</v>
      </c>
      <c r="B12" s="271" t="s">
        <v>436</v>
      </c>
      <c r="C12" s="271" t="s">
        <v>240</v>
      </c>
      <c r="D12" s="273">
        <v>1.21</v>
      </c>
      <c r="E12" s="196"/>
      <c r="F12" s="196" t="s">
        <v>138</v>
      </c>
      <c r="G12" s="196" t="s">
        <v>331</v>
      </c>
      <c r="H12" s="196" t="s">
        <v>157</v>
      </c>
      <c r="I12" s="196" t="s">
        <v>332</v>
      </c>
      <c r="J12" s="196" t="s">
        <v>380</v>
      </c>
    </row>
    <row r="13">
      <c r="A13" s="271" t="s">
        <v>364</v>
      </c>
      <c r="B13" s="271" t="s">
        <v>436</v>
      </c>
      <c r="C13" s="271" t="s">
        <v>240</v>
      </c>
      <c r="D13" s="272">
        <v>2.02</v>
      </c>
      <c r="E13" s="196"/>
      <c r="F13" s="197">
        <f>G6</f>
        <v>32626.34</v>
      </c>
      <c r="G13" s="197">
        <f>I5</f>
        <v>18436</v>
      </c>
      <c r="H13" s="197">
        <f>I4</f>
        <v>63946.13</v>
      </c>
      <c r="I13" s="197">
        <f>H7</f>
        <v>21926.13</v>
      </c>
      <c r="J13" s="197">
        <f>SUM(F13:I13)</f>
        <v>136934.6</v>
      </c>
    </row>
    <row r="14">
      <c r="A14" s="259" t="s">
        <v>249</v>
      </c>
      <c r="B14" s="259" t="s">
        <v>381</v>
      </c>
      <c r="C14" s="259" t="s">
        <v>240</v>
      </c>
      <c r="D14" s="260"/>
      <c r="E14" s="196"/>
    </row>
    <row r="15">
      <c r="A15" s="266" t="s">
        <v>424</v>
      </c>
      <c r="B15" s="259" t="s">
        <v>381</v>
      </c>
      <c r="C15" s="259" t="s">
        <v>240</v>
      </c>
      <c r="D15" s="260">
        <v>5648.82</v>
      </c>
      <c r="E15" s="260" t="s">
        <v>425</v>
      </c>
      <c r="H15" s="235"/>
    </row>
    <row r="16">
      <c r="A16" s="271" t="s">
        <v>252</v>
      </c>
      <c r="B16" s="271" t="s">
        <v>253</v>
      </c>
      <c r="C16" s="271" t="s">
        <v>240</v>
      </c>
      <c r="D16" s="272">
        <v>21926.13</v>
      </c>
      <c r="E16" s="235">
        <f>1000000+25490000+4000000+38500000+21000000+500000+4000000</f>
        <v>94490000</v>
      </c>
      <c r="F16" s="264">
        <v>4127.04</v>
      </c>
      <c r="G16" s="262" t="s">
        <v>426</v>
      </c>
    </row>
    <row r="17">
      <c r="A17" s="271" t="s">
        <v>382</v>
      </c>
      <c r="B17" s="271" t="s">
        <v>383</v>
      </c>
      <c r="C17" s="271" t="s">
        <v>240</v>
      </c>
      <c r="D17" s="274">
        <v>12000.0</v>
      </c>
      <c r="E17" s="261" t="s">
        <v>437</v>
      </c>
    </row>
    <row r="18" ht="14.25" customHeight="1">
      <c r="A18" s="259"/>
      <c r="B18" s="267"/>
      <c r="C18" s="259" t="s">
        <v>240</v>
      </c>
      <c r="D18" s="264">
        <v>119887.95</v>
      </c>
      <c r="E18" s="196"/>
    </row>
    <row r="19" ht="14.25" customHeight="1">
      <c r="A19" s="259" t="s">
        <v>427</v>
      </c>
      <c r="B19" s="267"/>
      <c r="C19" s="259" t="s">
        <v>240</v>
      </c>
      <c r="D19" s="268">
        <f>SUM(D6:D17)</f>
        <v>102908.26</v>
      </c>
      <c r="E19" s="196"/>
    </row>
    <row r="20" ht="14.25" customHeight="1">
      <c r="A20" s="196"/>
      <c r="E20" s="196"/>
    </row>
    <row r="21" ht="14.25" customHeight="1">
      <c r="A21" s="271" t="s">
        <v>138</v>
      </c>
      <c r="B21" s="270"/>
      <c r="C21" s="270"/>
      <c r="D21" s="270"/>
      <c r="E21" s="196"/>
    </row>
    <row r="22" ht="14.25" customHeight="1">
      <c r="A22" s="271" t="s">
        <v>257</v>
      </c>
      <c r="B22" s="271" t="s">
        <v>436</v>
      </c>
      <c r="C22" s="271" t="s">
        <v>240</v>
      </c>
      <c r="D22" s="272">
        <v>915.86</v>
      </c>
      <c r="E22" s="196"/>
    </row>
    <row r="23" ht="14.25" customHeight="1">
      <c r="A23" s="271" t="s">
        <v>259</v>
      </c>
      <c r="B23" s="271" t="s">
        <v>436</v>
      </c>
      <c r="C23" s="271" t="s">
        <v>240</v>
      </c>
      <c r="D23" s="273">
        <v>27.41</v>
      </c>
      <c r="E23" s="196"/>
    </row>
    <row r="24" ht="14.25" customHeight="1">
      <c r="A24" s="271" t="s">
        <v>260</v>
      </c>
      <c r="B24" s="271" t="s">
        <v>436</v>
      </c>
      <c r="C24" s="271" t="s">
        <v>240</v>
      </c>
      <c r="D24" s="273">
        <v>25.68</v>
      </c>
      <c r="E24" s="235"/>
    </row>
    <row r="25" ht="14.25" customHeight="1">
      <c r="A25" s="271" t="s">
        <v>261</v>
      </c>
      <c r="B25" s="271" t="s">
        <v>436</v>
      </c>
      <c r="C25" s="271" t="s">
        <v>240</v>
      </c>
      <c r="D25" s="273">
        <v>519.79</v>
      </c>
      <c r="E25" s="196"/>
    </row>
    <row r="26" ht="14.25" customHeight="1">
      <c r="A26" s="271" t="s">
        <v>262</v>
      </c>
      <c r="B26" s="271" t="s">
        <v>263</v>
      </c>
      <c r="C26" s="271" t="s">
        <v>240</v>
      </c>
      <c r="D26" s="273">
        <v>0.0</v>
      </c>
      <c r="E26" s="235"/>
    </row>
    <row r="27" ht="14.25" customHeight="1">
      <c r="A27" s="271" t="s">
        <v>333</v>
      </c>
      <c r="B27" s="271" t="s">
        <v>436</v>
      </c>
      <c r="C27" s="271" t="s">
        <v>240</v>
      </c>
      <c r="D27" s="272">
        <v>1031.3</v>
      </c>
      <c r="E27" s="235"/>
    </row>
    <row r="28" ht="14.25" customHeight="1">
      <c r="A28" s="271" t="s">
        <v>264</v>
      </c>
      <c r="B28" s="271" t="s">
        <v>436</v>
      </c>
      <c r="C28" s="271" t="s">
        <v>240</v>
      </c>
      <c r="D28" s="272">
        <v>30986.35</v>
      </c>
      <c r="E28" s="235"/>
    </row>
    <row r="29" ht="14.25" customHeight="1">
      <c r="A29" s="271" t="s">
        <v>334</v>
      </c>
      <c r="B29" s="271" t="s">
        <v>436</v>
      </c>
      <c r="C29" s="271" t="s">
        <v>240</v>
      </c>
      <c r="D29" s="272">
        <v>10473.31</v>
      </c>
      <c r="E29" s="235"/>
    </row>
    <row r="30" ht="14.25" customHeight="1">
      <c r="A30" s="271" t="s">
        <v>265</v>
      </c>
      <c r="B30" s="271" t="s">
        <v>411</v>
      </c>
      <c r="C30" s="271" t="s">
        <v>240</v>
      </c>
      <c r="D30" s="273">
        <v>181.93</v>
      </c>
      <c r="E30" s="235"/>
    </row>
    <row r="31" ht="14.25" customHeight="1">
      <c r="A31" s="271" t="s">
        <v>267</v>
      </c>
      <c r="B31" s="271" t="s">
        <v>412</v>
      </c>
      <c r="C31" s="271" t="s">
        <v>240</v>
      </c>
      <c r="D31" s="273">
        <v>-5.0</v>
      </c>
      <c r="E31" s="196"/>
    </row>
    <row r="32" ht="14.25" customHeight="1">
      <c r="A32" s="270"/>
      <c r="B32" s="270"/>
      <c r="C32" s="271" t="s">
        <v>240</v>
      </c>
      <c r="D32" s="272">
        <v>44156.63</v>
      </c>
      <c r="E32" s="235"/>
    </row>
    <row r="33" ht="14.25" customHeight="1">
      <c r="A33" s="196" t="s">
        <v>419</v>
      </c>
      <c r="D33" s="235">
        <f>D22+D28+D30+D31+D23+D25+D26</f>
        <v>32626.34</v>
      </c>
      <c r="E33" s="235"/>
    </row>
    <row r="34" ht="14.25" customHeight="1">
      <c r="E34" s="235"/>
    </row>
    <row r="35" ht="14.25" customHeight="1">
      <c r="A35" s="196" t="s">
        <v>428</v>
      </c>
      <c r="E35" s="196"/>
      <c r="F35" s="235"/>
      <c r="G35" s="196"/>
    </row>
    <row r="36" ht="14.25" customHeight="1">
      <c r="A36" s="196" t="s">
        <v>269</v>
      </c>
      <c r="B36" s="196" t="s">
        <v>270</v>
      </c>
      <c r="C36" s="196" t="s">
        <v>240</v>
      </c>
      <c r="D36" s="235">
        <v>7500.0</v>
      </c>
      <c r="E36" s="196"/>
      <c r="F36" s="235"/>
      <c r="G36" s="196"/>
    </row>
    <row r="37" ht="14.25" customHeight="1">
      <c r="A37" s="196" t="s">
        <v>429</v>
      </c>
      <c r="B37" s="196" t="s">
        <v>430</v>
      </c>
      <c r="C37" s="196" t="s">
        <v>240</v>
      </c>
      <c r="D37" s="235">
        <v>7500.0</v>
      </c>
      <c r="E37" s="196"/>
      <c r="F37" s="260"/>
      <c r="G37" s="196"/>
    </row>
    <row r="38" ht="14.25" customHeight="1">
      <c r="D38" s="264">
        <v>171544.58</v>
      </c>
      <c r="E38" s="196"/>
      <c r="F38" s="235"/>
      <c r="G38" s="196" t="s">
        <v>272</v>
      </c>
      <c r="I38" s="245" t="str">
        <f>A7</f>
        <v>Merrill Lynch Merrill Edge-CMA-Edgex2085-CMA-x-2085</v>
      </c>
      <c r="K38" s="245" t="str">
        <f>A6</f>
        <v>Robinhood-Robinhood Brokerage-brokerageCash-x-8271</v>
      </c>
      <c r="L38" s="245" t="str">
        <f>A8</f>
        <v>Chase-Self-Directed-individual-x-3098</v>
      </c>
    </row>
    <row r="39" ht="14.25" customHeight="1">
      <c r="A39" s="196" t="s">
        <v>431</v>
      </c>
      <c r="B39" s="196" t="s">
        <v>430</v>
      </c>
      <c r="C39" s="196" t="s">
        <v>240</v>
      </c>
      <c r="D39" s="235">
        <f>SUM(D33+D19+D37)</f>
        <v>143034.6</v>
      </c>
      <c r="E39" s="196"/>
      <c r="F39" s="235"/>
      <c r="G39" s="196" t="s">
        <v>274</v>
      </c>
      <c r="H39" s="196">
        <v>190.0</v>
      </c>
      <c r="I39" s="196">
        <v>347.38</v>
      </c>
      <c r="K39" s="196">
        <f>6.2*173</f>
        <v>1072.6</v>
      </c>
    </row>
    <row r="40" ht="14.25" customHeight="1">
      <c r="E40" s="196"/>
      <c r="F40" s="235"/>
      <c r="G40" s="196" t="s">
        <v>275</v>
      </c>
      <c r="H40" s="196">
        <v>150.0</v>
      </c>
      <c r="I40" s="196">
        <v>110.0</v>
      </c>
      <c r="J40" s="196">
        <f>H40/36.97</f>
        <v>4.057343792</v>
      </c>
      <c r="K40" s="196">
        <v>152.0</v>
      </c>
    </row>
    <row r="41" ht="14.25" customHeight="1">
      <c r="A41" s="261" t="s">
        <v>432</v>
      </c>
      <c r="B41" s="261" t="s">
        <v>233</v>
      </c>
      <c r="C41" s="261" t="s">
        <v>234</v>
      </c>
      <c r="D41" s="261" t="s">
        <v>433</v>
      </c>
      <c r="E41" s="196"/>
      <c r="F41" s="235"/>
      <c r="G41" s="196" t="s">
        <v>277</v>
      </c>
      <c r="H41" s="196">
        <v>20.0</v>
      </c>
      <c r="K41" s="196">
        <v>450.0</v>
      </c>
    </row>
    <row r="42" ht="14.25" customHeight="1">
      <c r="E42" s="196"/>
      <c r="F42" s="235"/>
      <c r="G42" s="196" t="s">
        <v>278</v>
      </c>
      <c r="H42" s="196">
        <v>80.0</v>
      </c>
      <c r="I42" s="196">
        <v>154.69</v>
      </c>
      <c r="K42" s="196">
        <v>1000.0</v>
      </c>
    </row>
    <row r="43" ht="14.25" customHeight="1">
      <c r="A43" s="271" t="s">
        <v>434</v>
      </c>
      <c r="B43" s="270"/>
      <c r="C43" s="270"/>
      <c r="D43" s="270"/>
      <c r="E43" s="196"/>
      <c r="F43" s="235"/>
      <c r="G43" s="196" t="s">
        <v>280</v>
      </c>
      <c r="H43" s="196">
        <v>250.0</v>
      </c>
      <c r="I43" s="196">
        <v>212.3</v>
      </c>
    </row>
    <row r="44" ht="14.25" customHeight="1">
      <c r="A44" s="271" t="s">
        <v>413</v>
      </c>
      <c r="B44" s="271" t="s">
        <v>414</v>
      </c>
      <c r="C44" s="271" t="s">
        <v>240</v>
      </c>
      <c r="D44" s="273">
        <v>0.0</v>
      </c>
      <c r="E44" s="196"/>
      <c r="F44" s="235"/>
      <c r="G44" s="196" t="s">
        <v>282</v>
      </c>
      <c r="H44" s="196">
        <v>450.0</v>
      </c>
      <c r="K44" s="196">
        <v>1000.0</v>
      </c>
    </row>
    <row r="45" ht="14.25" customHeight="1">
      <c r="A45" s="271" t="s">
        <v>438</v>
      </c>
      <c r="B45" s="271" t="s">
        <v>436</v>
      </c>
      <c r="C45" s="271" t="s">
        <v>240</v>
      </c>
      <c r="D45" s="273">
        <v>-14.3</v>
      </c>
      <c r="E45" s="196"/>
      <c r="F45" s="235"/>
      <c r="G45" s="196" t="s">
        <v>284</v>
      </c>
      <c r="H45" s="196">
        <v>322.0</v>
      </c>
      <c r="I45" s="196">
        <v>494.0</v>
      </c>
    </row>
    <row r="46" ht="14.25" customHeight="1">
      <c r="A46" s="271" t="s">
        <v>439</v>
      </c>
      <c r="B46" s="271" t="s">
        <v>436</v>
      </c>
      <c r="C46" s="271" t="s">
        <v>240</v>
      </c>
      <c r="D46" s="273">
        <v>0.0</v>
      </c>
      <c r="E46" s="246"/>
      <c r="G46" s="196" t="s">
        <v>286</v>
      </c>
      <c r="H46" s="196">
        <v>167.0</v>
      </c>
      <c r="K46" s="196">
        <f>4*122</f>
        <v>488</v>
      </c>
    </row>
    <row r="47" ht="14.25" customHeight="1">
      <c r="A47" s="271" t="s">
        <v>369</v>
      </c>
      <c r="B47" s="271" t="s">
        <v>436</v>
      </c>
      <c r="C47" s="271" t="s">
        <v>240</v>
      </c>
      <c r="D47" s="272">
        <v>18796.84</v>
      </c>
      <c r="G47" s="196" t="s">
        <v>288</v>
      </c>
      <c r="K47" s="196">
        <f>3.135147*397</f>
        <v>1244.653359</v>
      </c>
    </row>
    <row r="48" ht="14.25" customHeight="1">
      <c r="A48" s="271" t="s">
        <v>287</v>
      </c>
      <c r="B48" s="271" t="s">
        <v>436</v>
      </c>
      <c r="C48" s="271" t="s">
        <v>240</v>
      </c>
      <c r="D48" s="273">
        <v>0.0</v>
      </c>
      <c r="G48" s="196" t="s">
        <v>291</v>
      </c>
      <c r="K48" s="196">
        <v>223.0</v>
      </c>
      <c r="L48" s="196">
        <f>2*454.5</f>
        <v>909</v>
      </c>
    </row>
    <row r="49" ht="14.25" customHeight="1">
      <c r="A49" s="271" t="s">
        <v>289</v>
      </c>
      <c r="B49" s="271" t="s">
        <v>290</v>
      </c>
      <c r="C49" s="271" t="s">
        <v>240</v>
      </c>
      <c r="D49" s="273">
        <v>0.0</v>
      </c>
      <c r="G49" s="196" t="s">
        <v>294</v>
      </c>
      <c r="K49" s="196">
        <v>313.0</v>
      </c>
    </row>
    <row r="50" ht="14.25" customHeight="1">
      <c r="A50" s="271" t="s">
        <v>292</v>
      </c>
      <c r="B50" s="271" t="s">
        <v>293</v>
      </c>
      <c r="C50" s="271" t="s">
        <v>240</v>
      </c>
      <c r="D50" s="273">
        <v>0.0</v>
      </c>
      <c r="E50" s="196"/>
      <c r="G50" s="196" t="s">
        <v>296</v>
      </c>
      <c r="K50" s="196">
        <v>430.0</v>
      </c>
    </row>
    <row r="51" ht="14.25" customHeight="1">
      <c r="A51" s="271" t="s">
        <v>295</v>
      </c>
      <c r="B51" s="271" t="s">
        <v>436</v>
      </c>
      <c r="C51" s="271" t="s">
        <v>240</v>
      </c>
      <c r="D51" s="273">
        <v>0.0</v>
      </c>
      <c r="E51" s="196"/>
      <c r="G51" s="196" t="s">
        <v>299</v>
      </c>
      <c r="K51" s="196">
        <v>300.0</v>
      </c>
    </row>
    <row r="52" ht="14.25" customHeight="1">
      <c r="A52" s="271" t="s">
        <v>297</v>
      </c>
      <c r="B52" s="271" t="s">
        <v>298</v>
      </c>
      <c r="C52" s="271" t="s">
        <v>240</v>
      </c>
      <c r="D52" s="273">
        <v>0.0</v>
      </c>
      <c r="E52" s="196"/>
      <c r="H52" s="196">
        <f t="shared" ref="H52:I52" si="3">SUM(H37:H51)</f>
        <v>1629</v>
      </c>
      <c r="I52" s="196">
        <f t="shared" si="3"/>
        <v>1318.37</v>
      </c>
      <c r="K52" s="196">
        <f t="shared" ref="K52:L52" si="4">SUM(K37:K51)</f>
        <v>6673.253359</v>
      </c>
      <c r="L52" s="196">
        <f t="shared" si="4"/>
        <v>909</v>
      </c>
      <c r="M52" s="196">
        <f t="shared" ref="M52:M53" si="5">SUM(I52:L52)</f>
        <v>8900.623359</v>
      </c>
    </row>
    <row r="53" ht="14.25" customHeight="1">
      <c r="A53" s="271" t="s">
        <v>300</v>
      </c>
      <c r="B53" s="271" t="s">
        <v>290</v>
      </c>
      <c r="C53" s="271" t="s">
        <v>240</v>
      </c>
      <c r="D53" s="273">
        <v>0.0</v>
      </c>
      <c r="E53" s="196"/>
      <c r="H53" s="249" t="s">
        <v>336</v>
      </c>
      <c r="I53" s="196">
        <v>1400.0</v>
      </c>
      <c r="K53" s="196">
        <v>6777.0</v>
      </c>
      <c r="L53" s="196">
        <v>944.0</v>
      </c>
      <c r="M53" s="196">
        <f t="shared" si="5"/>
        <v>9121</v>
      </c>
    </row>
    <row r="54" ht="14.25" customHeight="1">
      <c r="A54" s="271" t="s">
        <v>301</v>
      </c>
      <c r="B54" s="271" t="s">
        <v>436</v>
      </c>
      <c r="C54" s="271" t="s">
        <v>240</v>
      </c>
      <c r="D54" s="273">
        <v>543.41</v>
      </c>
      <c r="E54" s="196"/>
      <c r="I54" s="196" t="s">
        <v>303</v>
      </c>
      <c r="J54" s="196">
        <v>2300.0</v>
      </c>
      <c r="M54" s="196">
        <f>SUM(J54+M52)</f>
        <v>11200.62336</v>
      </c>
      <c r="N54" s="196" t="s">
        <v>304</v>
      </c>
    </row>
    <row r="55" ht="14.25" customHeight="1">
      <c r="A55" s="271" t="s">
        <v>404</v>
      </c>
      <c r="B55" s="271" t="s">
        <v>436</v>
      </c>
      <c r="C55" s="271" t="s">
        <v>240</v>
      </c>
      <c r="D55" s="273">
        <v>0.0</v>
      </c>
      <c r="E55" s="196"/>
    </row>
    <row r="56" ht="14.25" customHeight="1">
      <c r="A56" s="271" t="s">
        <v>406</v>
      </c>
      <c r="B56" s="271" t="s">
        <v>436</v>
      </c>
      <c r="C56" s="271" t="s">
        <v>240</v>
      </c>
      <c r="D56" s="273">
        <v>0.0</v>
      </c>
    </row>
    <row r="57" ht="14.25" customHeight="1">
      <c r="A57" s="271" t="s">
        <v>306</v>
      </c>
      <c r="B57" s="271" t="s">
        <v>440</v>
      </c>
      <c r="C57" s="271" t="s">
        <v>240</v>
      </c>
      <c r="D57" s="273">
        <v>0.0</v>
      </c>
    </row>
    <row r="58" ht="14.25" customHeight="1">
      <c r="A58" s="271" t="s">
        <v>308</v>
      </c>
      <c r="B58" s="271" t="s">
        <v>440</v>
      </c>
      <c r="C58" s="271" t="s">
        <v>240</v>
      </c>
      <c r="D58" s="273">
        <v>0.0</v>
      </c>
    </row>
    <row r="59" ht="14.25" customHeight="1">
      <c r="A59" s="271" t="s">
        <v>309</v>
      </c>
      <c r="B59" s="271" t="s">
        <v>436</v>
      </c>
      <c r="C59" s="271" t="s">
        <v>240</v>
      </c>
      <c r="D59" s="272">
        <v>7603.94</v>
      </c>
    </row>
    <row r="60" ht="14.25" customHeight="1">
      <c r="A60" s="270"/>
      <c r="B60" s="275"/>
      <c r="C60" s="271" t="s">
        <v>240</v>
      </c>
      <c r="D60" s="272">
        <v>26929.89</v>
      </c>
    </row>
    <row r="61" ht="14.25" customHeight="1">
      <c r="A61" s="196" t="s">
        <v>420</v>
      </c>
      <c r="C61" s="196" t="s">
        <v>240</v>
      </c>
      <c r="D61" s="235">
        <f>D60-D54</f>
        <v>26386.48</v>
      </c>
    </row>
    <row r="62" ht="14.25" customHeight="1">
      <c r="A62" s="196"/>
      <c r="C62" s="196"/>
      <c r="D62" s="235"/>
    </row>
    <row r="63" ht="14.25" customHeight="1">
      <c r="A63" s="196" t="s">
        <v>310</v>
      </c>
    </row>
    <row r="64" ht="14.25" customHeight="1">
      <c r="A64" s="254" t="s">
        <v>338</v>
      </c>
      <c r="B64" s="254" t="s">
        <v>408</v>
      </c>
      <c r="C64" s="254" t="s">
        <v>240</v>
      </c>
      <c r="D64" s="235">
        <v>2000.0</v>
      </c>
      <c r="E64" s="235"/>
    </row>
    <row r="65" ht="14.25" customHeight="1">
      <c r="A65" s="254" t="s">
        <v>340</v>
      </c>
      <c r="B65" s="254" t="s">
        <v>408</v>
      </c>
      <c r="C65" s="254" t="s">
        <v>240</v>
      </c>
      <c r="D65" s="235">
        <v>1904.12</v>
      </c>
      <c r="E65" s="235"/>
    </row>
    <row r="66" ht="14.25" customHeight="1">
      <c r="A66" s="254" t="s">
        <v>341</v>
      </c>
      <c r="B66" s="254" t="s">
        <v>408</v>
      </c>
      <c r="C66" s="254" t="s">
        <v>240</v>
      </c>
      <c r="D66" s="235">
        <v>8589.0</v>
      </c>
      <c r="E66" s="235"/>
    </row>
    <row r="67" ht="14.25" customHeight="1">
      <c r="A67" s="254" t="s">
        <v>342</v>
      </c>
      <c r="B67" s="254" t="s">
        <v>408</v>
      </c>
      <c r="C67" s="254" t="s">
        <v>240</v>
      </c>
      <c r="D67" s="235">
        <v>11843.0</v>
      </c>
      <c r="E67" s="235"/>
    </row>
    <row r="68" ht="14.25" customHeight="1">
      <c r="A68" s="254" t="s">
        <v>343</v>
      </c>
      <c r="B68" s="254" t="s">
        <v>408</v>
      </c>
      <c r="C68" s="254" t="s">
        <v>240</v>
      </c>
      <c r="D68" s="235">
        <v>8657.0</v>
      </c>
      <c r="E68" s="235"/>
    </row>
    <row r="69" ht="14.25" customHeight="1">
      <c r="A69" s="254" t="s">
        <v>344</v>
      </c>
      <c r="B69" s="254" t="s">
        <v>408</v>
      </c>
      <c r="C69" s="254" t="s">
        <v>240</v>
      </c>
      <c r="D69" s="254">
        <v>531.0</v>
      </c>
    </row>
    <row r="70" ht="14.25" customHeight="1">
      <c r="A70" s="254" t="s">
        <v>340</v>
      </c>
      <c r="B70" s="254" t="s">
        <v>345</v>
      </c>
      <c r="C70" s="254" t="s">
        <v>240</v>
      </c>
      <c r="D70" s="235">
        <v>1932.87</v>
      </c>
      <c r="E70" s="235"/>
    </row>
    <row r="71" ht="14.25" customHeight="1">
      <c r="A71" s="254" t="s">
        <v>346</v>
      </c>
      <c r="B71" s="254" t="s">
        <v>408</v>
      </c>
      <c r="C71" s="254" t="s">
        <v>240</v>
      </c>
      <c r="D71" s="235">
        <v>4500.0</v>
      </c>
      <c r="E71" s="235"/>
    </row>
    <row r="72" ht="14.25" customHeight="1">
      <c r="A72" s="254" t="s">
        <v>347</v>
      </c>
      <c r="B72" s="254" t="s">
        <v>408</v>
      </c>
      <c r="C72" s="254" t="s">
        <v>240</v>
      </c>
      <c r="D72" s="254">
        <v>907.59</v>
      </c>
      <c r="G72" s="250" t="s">
        <v>348</v>
      </c>
      <c r="H72" s="251">
        <f>SUM(F75:J75)</f>
        <v>133962.24</v>
      </c>
    </row>
    <row r="73" ht="14.25" customHeight="1">
      <c r="A73" s="254" t="s">
        <v>349</v>
      </c>
      <c r="B73" s="254" t="s">
        <v>408</v>
      </c>
      <c r="C73" s="254" t="s">
        <v>240</v>
      </c>
      <c r="D73" s="254">
        <v>610.25</v>
      </c>
    </row>
    <row r="74" ht="14.25" customHeight="1">
      <c r="A74" s="254" t="s">
        <v>350</v>
      </c>
      <c r="B74" s="254" t="s">
        <v>408</v>
      </c>
      <c r="C74" s="254" t="s">
        <v>240</v>
      </c>
      <c r="D74" s="235">
        <v>4500.0</v>
      </c>
      <c r="E74" s="235"/>
      <c r="F74" s="196" t="s">
        <v>351</v>
      </c>
      <c r="G74" s="196" t="str">
        <f>A86</f>
        <v>Loan BPS Collen Fund-Personal</v>
      </c>
      <c r="H74" s="196" t="str">
        <f>A87</f>
        <v>NYS Loan Masters Edu-Personal</v>
      </c>
      <c r="I74" s="196" t="str">
        <f>A88</f>
        <v>TEACh Grant-Personal</v>
      </c>
      <c r="J74" s="196" t="str">
        <f>A61</f>
        <v>Cards TOTAL</v>
      </c>
      <c r="K74" s="250" t="s">
        <v>348</v>
      </c>
    </row>
    <row r="75" ht="14.25" customHeight="1">
      <c r="A75" s="254" t="s">
        <v>352</v>
      </c>
      <c r="B75" s="254" t="s">
        <v>408</v>
      </c>
      <c r="C75" s="254" t="s">
        <v>240</v>
      </c>
      <c r="D75" s="235">
        <v>5896.67</v>
      </c>
      <c r="E75" s="235"/>
      <c r="F75" s="235">
        <f>E84</f>
        <v>76300.26</v>
      </c>
      <c r="G75" s="235">
        <f>D86</f>
        <v>11700</v>
      </c>
      <c r="H75" s="235">
        <f>D87</f>
        <v>13917.5</v>
      </c>
      <c r="I75" s="235">
        <f>D88</f>
        <v>5658</v>
      </c>
      <c r="J75" s="235">
        <f>D61</f>
        <v>26386.48</v>
      </c>
      <c r="K75" s="251">
        <f>H72</f>
        <v>133962.24</v>
      </c>
    </row>
    <row r="76" ht="14.25" customHeight="1">
      <c r="A76" s="254" t="s">
        <v>353</v>
      </c>
      <c r="B76" s="254" t="s">
        <v>408</v>
      </c>
      <c r="C76" s="254" t="s">
        <v>240</v>
      </c>
      <c r="D76" s="235">
        <v>5500.0</v>
      </c>
      <c r="E76" s="235"/>
    </row>
    <row r="77" ht="14.25" customHeight="1">
      <c r="A77" s="254" t="s">
        <v>354</v>
      </c>
      <c r="B77" s="254" t="s">
        <v>408</v>
      </c>
      <c r="C77" s="254" t="s">
        <v>240</v>
      </c>
      <c r="D77" s="235">
        <v>6613.65</v>
      </c>
      <c r="E77" s="235"/>
    </row>
    <row r="78" ht="14.25" customHeight="1">
      <c r="A78" s="254" t="s">
        <v>355</v>
      </c>
      <c r="B78" s="254" t="s">
        <v>345</v>
      </c>
      <c r="C78" s="254" t="s">
        <v>240</v>
      </c>
      <c r="D78" s="235">
        <v>6429.0</v>
      </c>
      <c r="E78" s="235"/>
    </row>
    <row r="79" ht="14.25" customHeight="1">
      <c r="A79" s="254" t="s">
        <v>338</v>
      </c>
      <c r="B79" s="254" t="s">
        <v>345</v>
      </c>
      <c r="C79" s="254" t="s">
        <v>240</v>
      </c>
      <c r="D79" s="235">
        <v>2000.0</v>
      </c>
      <c r="E79" s="235"/>
    </row>
    <row r="80" ht="14.25" customHeight="1">
      <c r="A80" s="254" t="s">
        <v>356</v>
      </c>
      <c r="B80" s="254" t="s">
        <v>345</v>
      </c>
      <c r="C80" s="254" t="s">
        <v>240</v>
      </c>
      <c r="D80" s="235">
        <v>1400.0</v>
      </c>
      <c r="E80" s="235"/>
    </row>
    <row r="81" ht="14.25" customHeight="1">
      <c r="A81" s="254" t="s">
        <v>357</v>
      </c>
      <c r="B81" s="254" t="s">
        <v>345</v>
      </c>
      <c r="C81" s="254" t="s">
        <v>240</v>
      </c>
      <c r="D81" s="235">
        <v>1936.1</v>
      </c>
      <c r="E81" s="235"/>
    </row>
    <row r="82" ht="14.25" customHeight="1">
      <c r="A82" s="254" t="s">
        <v>355</v>
      </c>
      <c r="B82" s="254" t="s">
        <v>408</v>
      </c>
      <c r="C82" s="254" t="s">
        <v>240</v>
      </c>
      <c r="D82" s="235">
        <v>6429.0</v>
      </c>
      <c r="E82" s="235"/>
    </row>
    <row r="83" ht="14.25" customHeight="1">
      <c r="A83" s="254" t="s">
        <v>357</v>
      </c>
      <c r="B83" s="254" t="s">
        <v>408</v>
      </c>
      <c r="C83" s="254" t="s">
        <v>240</v>
      </c>
      <c r="D83" s="235">
        <v>1907.3</v>
      </c>
      <c r="E83" s="235"/>
    </row>
    <row r="84" ht="14.25" customHeight="1">
      <c r="A84" s="254" t="s">
        <v>356</v>
      </c>
      <c r="B84" s="254" t="s">
        <v>408</v>
      </c>
      <c r="C84" s="254" t="s">
        <v>240</v>
      </c>
      <c r="D84" s="235">
        <v>1400.0</v>
      </c>
      <c r="E84" s="269">
        <v>76300.26</v>
      </c>
    </row>
    <row r="85" ht="14.25" customHeight="1">
      <c r="A85" s="254" t="s">
        <v>358</v>
      </c>
      <c r="B85" s="254" t="s">
        <v>408</v>
      </c>
      <c r="C85" s="254" t="s">
        <v>240</v>
      </c>
      <c r="D85" s="235">
        <v>2113.0</v>
      </c>
      <c r="E85" s="235">
        <f>SUM(D64:D85)</f>
        <v>87599.55</v>
      </c>
    </row>
    <row r="86" ht="14.25" customHeight="1">
      <c r="A86" s="254" t="s">
        <v>311</v>
      </c>
      <c r="B86" s="254" t="s">
        <v>312</v>
      </c>
      <c r="C86" s="254" t="s">
        <v>240</v>
      </c>
      <c r="D86" s="235">
        <v>11700.0</v>
      </c>
      <c r="E86" s="254" t="s">
        <v>388</v>
      </c>
    </row>
    <row r="87" ht="14.25" customHeight="1">
      <c r="A87" s="254" t="s">
        <v>313</v>
      </c>
      <c r="B87" s="254" t="s">
        <v>314</v>
      </c>
      <c r="C87" s="254" t="s">
        <v>240</v>
      </c>
      <c r="D87" s="235">
        <v>13917.5</v>
      </c>
    </row>
    <row r="88" ht="14.25" customHeight="1">
      <c r="A88" s="254" t="s">
        <v>319</v>
      </c>
      <c r="B88" s="254" t="s">
        <v>320</v>
      </c>
      <c r="C88" s="254" t="s">
        <v>240</v>
      </c>
      <c r="D88" s="235">
        <v>5658.0</v>
      </c>
    </row>
    <row r="89" ht="14.25" customHeight="1">
      <c r="A89" s="254" t="s">
        <v>321</v>
      </c>
      <c r="B89" s="254" t="s">
        <v>255</v>
      </c>
      <c r="C89" s="254" t="s">
        <v>240</v>
      </c>
      <c r="D89" s="235">
        <f>E84+D86+D87+D88</f>
        <v>107575.76</v>
      </c>
    </row>
    <row r="90" ht="14.25" customHeight="1"/>
    <row r="91" ht="14.25" customHeight="1">
      <c r="A91" s="196" t="s">
        <v>322</v>
      </c>
    </row>
    <row r="92" ht="14.25" customHeight="1">
      <c r="A92" s="196" t="s">
        <v>323</v>
      </c>
      <c r="B92" s="196" t="s">
        <v>312</v>
      </c>
      <c r="C92" s="196" t="s">
        <v>240</v>
      </c>
      <c r="D92" s="235">
        <v>10090.0</v>
      </c>
    </row>
    <row r="93" ht="14.25" customHeight="1">
      <c r="A93" s="196" t="s">
        <v>324</v>
      </c>
      <c r="B93" s="196" t="s">
        <v>255</v>
      </c>
      <c r="C93" s="196" t="s">
        <v>240</v>
      </c>
      <c r="D93" s="235">
        <v>10090.0</v>
      </c>
    </row>
    <row r="94" ht="14.25" customHeight="1"/>
    <row r="95" ht="14.25" customHeight="1">
      <c r="A95" s="196" t="s">
        <v>325</v>
      </c>
      <c r="B95" s="196" t="s">
        <v>255</v>
      </c>
      <c r="C95" s="196" t="s">
        <v>240</v>
      </c>
      <c r="D95" s="235">
        <f>D89+D61+D93</f>
        <v>144052.24</v>
      </c>
      <c r="E95" s="197">
        <f>G11-D95</f>
        <v>-29043.77</v>
      </c>
    </row>
    <row r="96" ht="14.25" customHeight="1"/>
    <row r="97" ht="14.25" customHeight="1">
      <c r="A97" s="196" t="s">
        <v>326</v>
      </c>
      <c r="B97" s="196" t="s">
        <v>255</v>
      </c>
      <c r="C97" s="196" t="s">
        <v>240</v>
      </c>
      <c r="D97" s="260">
        <v>103249.19</v>
      </c>
      <c r="E97" s="253">
        <f>H11-H72</f>
        <v>2972.36</v>
      </c>
      <c r="F97" s="198" t="s">
        <v>359</v>
      </c>
    </row>
    <row r="98" ht="14.25" customHeight="1">
      <c r="B98" s="247"/>
    </row>
    <row r="99" ht="14.25" customHeight="1">
      <c r="B99" s="247"/>
    </row>
    <row r="100" ht="14.25" customHeight="1">
      <c r="B100" s="247"/>
    </row>
    <row r="101" ht="14.25" customHeight="1">
      <c r="B101" s="247"/>
    </row>
    <row r="102" ht="14.25" customHeight="1">
      <c r="B102" s="247"/>
    </row>
    <row r="103" ht="14.25" customHeight="1">
      <c r="B103" s="247"/>
    </row>
    <row r="104" ht="14.25" customHeight="1">
      <c r="B104" s="247"/>
    </row>
    <row r="105" ht="14.25" customHeight="1">
      <c r="B105" s="247"/>
    </row>
    <row r="106" ht="14.25" customHeight="1">
      <c r="B106" s="247"/>
    </row>
    <row r="107" ht="14.25" customHeight="1">
      <c r="B107" s="247"/>
    </row>
    <row r="108" ht="14.25" customHeight="1">
      <c r="B108" s="247"/>
    </row>
    <row r="109" ht="14.25" customHeight="1">
      <c r="B109" s="247"/>
    </row>
    <row r="110" ht="14.25" customHeight="1">
      <c r="B110" s="247"/>
    </row>
    <row r="111" ht="14.25" customHeight="1">
      <c r="B111" s="247"/>
    </row>
    <row r="112" ht="14.25" customHeight="1">
      <c r="B112" s="247"/>
    </row>
    <row r="113" ht="14.25" customHeight="1">
      <c r="B113" s="247"/>
    </row>
    <row r="114" ht="14.25" customHeight="1">
      <c r="B114" s="247"/>
    </row>
    <row r="115" ht="14.25" customHeight="1">
      <c r="B115" s="247"/>
    </row>
    <row r="116" ht="14.25" customHeight="1">
      <c r="B116" s="247"/>
    </row>
    <row r="117" ht="14.25" customHeight="1">
      <c r="B117" s="247"/>
    </row>
    <row r="118" ht="14.25" customHeight="1">
      <c r="B118" s="247"/>
    </row>
    <row r="119" ht="14.25" customHeight="1">
      <c r="B119" s="247"/>
    </row>
    <row r="120" ht="14.25" customHeight="1">
      <c r="B120" s="247"/>
    </row>
    <row r="121" ht="14.25" customHeight="1">
      <c r="B121" s="247"/>
    </row>
    <row r="122" ht="14.25" customHeight="1">
      <c r="B122" s="247"/>
    </row>
    <row r="123" ht="14.25" customHeight="1">
      <c r="B123" s="247"/>
    </row>
    <row r="124" ht="14.25" customHeight="1">
      <c r="B124" s="247"/>
    </row>
    <row r="125" ht="14.25" customHeight="1">
      <c r="B125" s="247"/>
    </row>
    <row r="126" ht="14.25" customHeight="1">
      <c r="B126" s="247"/>
    </row>
    <row r="127" ht="14.25" customHeight="1">
      <c r="B127" s="247"/>
    </row>
    <row r="128" ht="14.25" customHeight="1">
      <c r="B128" s="247"/>
    </row>
    <row r="129" ht="14.25" customHeight="1">
      <c r="B129" s="247"/>
    </row>
    <row r="130" ht="14.25" customHeight="1">
      <c r="B130" s="247"/>
    </row>
    <row r="131" ht="14.25" customHeight="1">
      <c r="B131" s="247"/>
    </row>
    <row r="132" ht="14.25" customHeight="1">
      <c r="B132" s="247"/>
    </row>
    <row r="133" ht="14.25" customHeight="1">
      <c r="B133" s="247"/>
    </row>
    <row r="134" ht="14.25" customHeight="1">
      <c r="B134" s="247"/>
    </row>
    <row r="135" ht="14.25" customHeight="1">
      <c r="B135" s="247"/>
    </row>
    <row r="136" ht="14.25" customHeight="1">
      <c r="B136" s="247"/>
    </row>
    <row r="137" ht="14.25" customHeight="1">
      <c r="B137" s="247"/>
    </row>
    <row r="138" ht="14.25" customHeight="1">
      <c r="B138" s="247"/>
    </row>
    <row r="139" ht="14.25" customHeight="1">
      <c r="B139" s="247"/>
    </row>
    <row r="140" ht="14.25" customHeight="1">
      <c r="B140" s="247"/>
    </row>
    <row r="141" ht="14.25" customHeight="1">
      <c r="B141" s="247"/>
    </row>
    <row r="142" ht="14.25" customHeight="1">
      <c r="B142" s="247"/>
    </row>
    <row r="143" ht="14.25" customHeight="1">
      <c r="B143" s="247"/>
    </row>
    <row r="144" ht="14.25" customHeight="1">
      <c r="B144" s="247"/>
    </row>
    <row r="145" ht="14.25" customHeight="1">
      <c r="B145" s="247"/>
    </row>
    <row r="146" ht="14.25" customHeight="1">
      <c r="B146" s="247"/>
    </row>
    <row r="147" ht="14.25" customHeight="1">
      <c r="B147" s="247"/>
    </row>
    <row r="148" ht="14.25" customHeight="1">
      <c r="B148" s="247"/>
    </row>
    <row r="149" ht="14.25" customHeight="1">
      <c r="B149" s="247"/>
    </row>
    <row r="150" ht="14.25" customHeight="1">
      <c r="B150" s="247"/>
    </row>
    <row r="151" ht="14.25" customHeight="1">
      <c r="B151" s="247"/>
    </row>
    <row r="152" ht="14.25" customHeight="1">
      <c r="B152" s="247"/>
    </row>
    <row r="153" ht="14.25" customHeight="1">
      <c r="B153" s="247"/>
    </row>
    <row r="154" ht="14.25" customHeight="1">
      <c r="B154" s="247"/>
    </row>
    <row r="155" ht="14.25" customHeight="1">
      <c r="B155" s="247"/>
    </row>
    <row r="156" ht="14.25" customHeight="1">
      <c r="B156" s="247"/>
    </row>
    <row r="157" ht="14.25" customHeight="1">
      <c r="B157" s="247"/>
    </row>
    <row r="158" ht="14.25" customHeight="1">
      <c r="B158" s="247"/>
    </row>
    <row r="159" ht="14.25" customHeight="1">
      <c r="B159" s="247"/>
    </row>
    <row r="160" ht="14.25" customHeight="1">
      <c r="B160" s="247"/>
    </row>
    <row r="161" ht="14.25" customHeight="1">
      <c r="B161" s="247"/>
    </row>
    <row r="162" ht="14.25" customHeight="1">
      <c r="B162" s="247"/>
    </row>
    <row r="163" ht="14.25" customHeight="1">
      <c r="B163" s="247"/>
    </row>
    <row r="164" ht="14.25" customHeight="1">
      <c r="B164" s="247"/>
    </row>
    <row r="165" ht="14.25" customHeight="1">
      <c r="B165" s="247"/>
    </row>
    <row r="166" ht="14.25" customHeight="1">
      <c r="B166" s="247"/>
    </row>
    <row r="167" ht="14.25" customHeight="1">
      <c r="B167" s="247"/>
    </row>
    <row r="168" ht="14.25" customHeight="1">
      <c r="B168" s="247"/>
    </row>
    <row r="169" ht="14.25" customHeight="1">
      <c r="B169" s="247"/>
    </row>
    <row r="170" ht="14.25" customHeight="1">
      <c r="B170" s="247"/>
    </row>
    <row r="171" ht="14.25" customHeight="1">
      <c r="B171" s="247"/>
    </row>
    <row r="172" ht="14.25" customHeight="1">
      <c r="B172" s="247"/>
    </row>
    <row r="173" ht="14.25" customHeight="1">
      <c r="B173" s="247"/>
    </row>
    <row r="174" ht="14.25" customHeight="1">
      <c r="B174" s="247"/>
    </row>
    <row r="175" ht="14.25" customHeight="1">
      <c r="B175" s="247"/>
    </row>
    <row r="176" ht="14.25" customHeight="1">
      <c r="B176" s="247"/>
    </row>
    <row r="177" ht="14.25" customHeight="1">
      <c r="B177" s="247"/>
    </row>
    <row r="178" ht="14.25" customHeight="1">
      <c r="B178" s="247"/>
    </row>
    <row r="179" ht="14.25" customHeight="1">
      <c r="B179" s="247"/>
    </row>
    <row r="180" ht="14.25" customHeight="1">
      <c r="B180" s="247"/>
    </row>
    <row r="181" ht="14.25" customHeight="1">
      <c r="B181" s="247"/>
    </row>
    <row r="182" ht="14.25" customHeight="1">
      <c r="B182" s="247"/>
    </row>
    <row r="183" ht="14.25" customHeight="1">
      <c r="B183" s="247"/>
    </row>
    <row r="184" ht="14.25" customHeight="1">
      <c r="B184" s="247"/>
    </row>
    <row r="185" ht="14.25" customHeight="1">
      <c r="B185" s="247"/>
    </row>
    <row r="186" ht="14.25" customHeight="1">
      <c r="B186" s="247"/>
    </row>
    <row r="187" ht="14.25" customHeight="1">
      <c r="B187" s="247"/>
    </row>
    <row r="188" ht="14.25" customHeight="1">
      <c r="B188" s="247"/>
    </row>
    <row r="189" ht="14.25" customHeight="1">
      <c r="B189" s="247"/>
    </row>
    <row r="190" ht="14.25" customHeight="1">
      <c r="B190" s="247"/>
    </row>
    <row r="191" ht="14.25" customHeight="1">
      <c r="B191" s="247"/>
    </row>
    <row r="192" ht="14.25" customHeight="1">
      <c r="B192" s="247"/>
    </row>
    <row r="193" ht="14.25" customHeight="1">
      <c r="B193" s="247"/>
    </row>
    <row r="194" ht="14.25" customHeight="1">
      <c r="B194" s="247"/>
    </row>
    <row r="195" ht="14.25" customHeight="1">
      <c r="B195" s="247"/>
    </row>
    <row r="196" ht="14.25" customHeight="1">
      <c r="B196" s="247"/>
    </row>
    <row r="197" ht="14.25" customHeight="1">
      <c r="B197" s="247"/>
    </row>
    <row r="198" ht="14.25" customHeight="1">
      <c r="B198" s="247"/>
    </row>
    <row r="199" ht="14.25" customHeight="1">
      <c r="B199" s="247"/>
    </row>
    <row r="200" ht="14.25" customHeight="1">
      <c r="B200" s="247"/>
    </row>
    <row r="201" ht="14.25" customHeight="1">
      <c r="B201" s="247"/>
    </row>
    <row r="202" ht="14.25" customHeight="1">
      <c r="B202" s="247"/>
    </row>
    <row r="203" ht="14.25" customHeight="1">
      <c r="B203" s="247"/>
    </row>
    <row r="204" ht="14.25" customHeight="1">
      <c r="B204" s="247"/>
    </row>
    <row r="205" ht="14.25" customHeight="1">
      <c r="B205" s="247"/>
    </row>
    <row r="206" ht="14.25" customHeight="1">
      <c r="B206" s="247"/>
    </row>
    <row r="207" ht="14.25" customHeight="1">
      <c r="B207" s="247"/>
    </row>
    <row r="208" ht="14.25" customHeight="1">
      <c r="B208" s="247"/>
    </row>
    <row r="209" ht="14.25" customHeight="1">
      <c r="B209" s="247"/>
    </row>
    <row r="210" ht="14.25" customHeight="1">
      <c r="B210" s="247"/>
    </row>
    <row r="211" ht="14.25" customHeight="1">
      <c r="B211" s="247"/>
    </row>
    <row r="212" ht="14.25" customHeight="1">
      <c r="B212" s="247"/>
    </row>
    <row r="213" ht="14.25" customHeight="1">
      <c r="B213" s="247"/>
    </row>
    <row r="214" ht="14.25" customHeight="1">
      <c r="B214" s="247"/>
    </row>
    <row r="215" ht="14.25" customHeight="1">
      <c r="B215" s="247"/>
    </row>
    <row r="216" ht="14.25" customHeight="1">
      <c r="B216" s="247"/>
    </row>
    <row r="217" ht="14.25" customHeight="1">
      <c r="B217" s="247"/>
    </row>
    <row r="218" ht="14.25" customHeight="1">
      <c r="B218" s="247"/>
    </row>
    <row r="219" ht="14.25" customHeight="1">
      <c r="B219" s="247"/>
    </row>
    <row r="220" ht="14.25" customHeight="1">
      <c r="B220" s="247"/>
    </row>
    <row r="221" ht="14.25" customHeight="1">
      <c r="B221" s="247"/>
    </row>
    <row r="222" ht="14.25" customHeight="1">
      <c r="B222" s="247"/>
    </row>
    <row r="223" ht="14.25" customHeight="1">
      <c r="B223" s="247"/>
    </row>
    <row r="224" ht="14.25" customHeight="1">
      <c r="B224" s="247"/>
    </row>
    <row r="225" ht="14.25" customHeight="1">
      <c r="B225" s="247"/>
    </row>
    <row r="226" ht="14.25" customHeight="1">
      <c r="B226" s="247"/>
    </row>
    <row r="227" ht="14.25" customHeight="1">
      <c r="B227" s="247"/>
    </row>
    <row r="228" ht="14.25" customHeight="1">
      <c r="B228" s="247"/>
    </row>
    <row r="229" ht="14.25" customHeight="1">
      <c r="B229" s="247"/>
    </row>
    <row r="230" ht="14.25" customHeight="1">
      <c r="B230" s="247"/>
    </row>
    <row r="231" ht="14.25" customHeight="1">
      <c r="B231" s="247"/>
    </row>
    <row r="232" ht="14.25" customHeight="1">
      <c r="B232" s="247"/>
    </row>
    <row r="233" ht="14.25" customHeight="1">
      <c r="B233" s="247"/>
    </row>
    <row r="234" ht="14.25" customHeight="1">
      <c r="B234" s="247"/>
    </row>
    <row r="235" ht="14.25" customHeight="1">
      <c r="B235" s="247"/>
    </row>
    <row r="236" ht="14.25" customHeight="1">
      <c r="B236" s="247"/>
    </row>
    <row r="237" ht="14.25" customHeight="1">
      <c r="B237" s="247"/>
    </row>
    <row r="238" ht="14.25" customHeight="1">
      <c r="B238" s="247"/>
    </row>
    <row r="239" ht="14.25" customHeight="1">
      <c r="B239" s="247"/>
    </row>
    <row r="240" ht="14.25" customHeight="1">
      <c r="B240" s="247"/>
    </row>
    <row r="241" ht="14.25" customHeight="1">
      <c r="B241" s="247"/>
    </row>
    <row r="242" ht="14.25" customHeight="1">
      <c r="B242" s="247"/>
    </row>
    <row r="243" ht="14.25" customHeight="1">
      <c r="B243" s="247"/>
    </row>
    <row r="244" ht="14.25" customHeight="1">
      <c r="B244" s="247"/>
    </row>
    <row r="245" ht="14.25" customHeight="1">
      <c r="B245" s="247"/>
    </row>
    <row r="246" ht="14.25" customHeight="1">
      <c r="B246" s="247"/>
    </row>
    <row r="247" ht="14.25" customHeight="1">
      <c r="B247" s="247"/>
    </row>
    <row r="248" ht="14.25" customHeight="1">
      <c r="B248" s="247"/>
    </row>
    <row r="249" ht="14.25" customHeight="1">
      <c r="B249" s="247"/>
    </row>
    <row r="250" ht="14.25" customHeight="1">
      <c r="B250" s="247"/>
    </row>
    <row r="251" ht="14.25" customHeight="1">
      <c r="B251" s="247"/>
    </row>
    <row r="252" ht="14.25" customHeight="1">
      <c r="B252" s="247"/>
    </row>
    <row r="253" ht="14.25" customHeight="1">
      <c r="B253" s="247"/>
    </row>
    <row r="254" ht="14.25" customHeight="1">
      <c r="B254" s="247"/>
    </row>
    <row r="255" ht="14.25" customHeight="1">
      <c r="B255" s="247"/>
    </row>
    <row r="256" ht="14.25" customHeight="1">
      <c r="B256" s="247"/>
    </row>
    <row r="257" ht="14.25" customHeight="1">
      <c r="B257" s="247"/>
    </row>
    <row r="258" ht="14.25" customHeight="1">
      <c r="B258" s="247"/>
    </row>
    <row r="259" ht="14.25" customHeight="1">
      <c r="B259" s="247"/>
    </row>
    <row r="260" ht="14.25" customHeight="1">
      <c r="B260" s="247"/>
    </row>
    <row r="261" ht="14.25" customHeight="1">
      <c r="B261" s="247"/>
    </row>
    <row r="262" ht="14.25" customHeight="1">
      <c r="B262" s="247"/>
    </row>
    <row r="263" ht="14.25" customHeight="1">
      <c r="B263" s="247"/>
    </row>
    <row r="264" ht="14.25" customHeight="1">
      <c r="B264" s="247"/>
    </row>
    <row r="265" ht="14.25" customHeight="1">
      <c r="B265" s="247"/>
    </row>
    <row r="266" ht="14.25" customHeight="1">
      <c r="B266" s="247"/>
    </row>
    <row r="267" ht="14.25" customHeight="1">
      <c r="B267" s="247"/>
    </row>
    <row r="268" ht="14.25" customHeight="1">
      <c r="B268" s="247"/>
    </row>
    <row r="269" ht="14.25" customHeight="1">
      <c r="B269" s="247"/>
    </row>
    <row r="270" ht="14.25" customHeight="1">
      <c r="B270" s="247"/>
    </row>
    <row r="271" ht="14.25" customHeight="1">
      <c r="B271" s="247"/>
    </row>
    <row r="272" ht="14.25" customHeight="1">
      <c r="B272" s="247"/>
    </row>
    <row r="273" ht="14.25" customHeight="1">
      <c r="B273" s="247"/>
    </row>
    <row r="274" ht="14.25" customHeight="1">
      <c r="B274" s="247"/>
    </row>
    <row r="275" ht="14.25" customHeight="1">
      <c r="B275" s="247"/>
    </row>
    <row r="276" ht="14.25" customHeight="1">
      <c r="B276" s="247"/>
    </row>
    <row r="277" ht="14.25" customHeight="1">
      <c r="B277" s="247"/>
    </row>
    <row r="278" ht="14.25" customHeight="1">
      <c r="B278" s="247"/>
    </row>
    <row r="279" ht="14.25" customHeight="1">
      <c r="B279" s="247"/>
    </row>
    <row r="280" ht="14.25" customHeight="1">
      <c r="B280" s="247"/>
    </row>
    <row r="281" ht="14.25" customHeight="1">
      <c r="B281" s="247"/>
    </row>
    <row r="282" ht="14.25" customHeight="1">
      <c r="B282" s="247"/>
    </row>
    <row r="283" ht="14.25" customHeight="1">
      <c r="B283" s="247"/>
    </row>
    <row r="284" ht="14.25" customHeight="1">
      <c r="B284" s="247"/>
    </row>
    <row r="285" ht="14.25" customHeight="1">
      <c r="B285" s="247"/>
    </row>
    <row r="286" ht="14.25" customHeight="1">
      <c r="B286" s="247"/>
    </row>
    <row r="287" ht="14.25" customHeight="1">
      <c r="B287" s="247"/>
    </row>
    <row r="288" ht="14.25" customHeight="1">
      <c r="B288" s="247"/>
    </row>
    <row r="289" ht="14.25" customHeight="1">
      <c r="B289" s="247"/>
    </row>
    <row r="290" ht="14.25" customHeight="1">
      <c r="B290" s="247"/>
    </row>
    <row r="291" ht="14.25" customHeight="1">
      <c r="B291" s="247"/>
    </row>
    <row r="292" ht="14.25" customHeight="1">
      <c r="B292" s="247"/>
    </row>
    <row r="293" ht="14.25" customHeight="1">
      <c r="B293" s="247"/>
    </row>
    <row r="294" ht="14.25" customHeight="1">
      <c r="B294" s="247"/>
    </row>
    <row r="295" ht="14.25" customHeight="1">
      <c r="B295" s="247"/>
    </row>
    <row r="296" ht="14.25" customHeight="1">
      <c r="B296" s="247"/>
    </row>
    <row r="297" ht="14.25" customHeight="1">
      <c r="B297" s="247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5.14"/>
    <col customWidth="1" min="3" max="3" width="6.57"/>
    <col customWidth="1" min="4" max="4" width="95.29"/>
    <col customWidth="1" min="5" max="7" width="8.71"/>
  </cols>
  <sheetData>
    <row r="1" ht="14.25" customHeight="1">
      <c r="A1" s="196" t="s">
        <v>187</v>
      </c>
      <c r="E1" s="196" t="s">
        <v>188</v>
      </c>
    </row>
    <row r="2" ht="14.25" customHeight="1">
      <c r="A2" s="196" t="s">
        <v>441</v>
      </c>
      <c r="E2" s="235">
        <v>1710.11</v>
      </c>
    </row>
    <row r="3" ht="14.25" customHeight="1">
      <c r="A3" s="196" t="s">
        <v>190</v>
      </c>
      <c r="D3" s="235"/>
      <c r="E3" s="235">
        <v>1929.74</v>
      </c>
    </row>
    <row r="4" ht="14.25" customHeight="1">
      <c r="A4" s="196" t="s">
        <v>191</v>
      </c>
      <c r="D4" s="196"/>
      <c r="E4" s="235">
        <v>-1492.37</v>
      </c>
    </row>
    <row r="5" ht="14.25" customHeight="1">
      <c r="A5" s="196" t="s">
        <v>442</v>
      </c>
      <c r="D5" s="196"/>
      <c r="E5" s="235">
        <v>2147.48</v>
      </c>
    </row>
    <row r="6" ht="14.25" customHeight="1">
      <c r="A6" s="236"/>
      <c r="B6" s="196"/>
      <c r="C6" s="196"/>
      <c r="D6" s="196"/>
    </row>
    <row r="7" ht="14.25" customHeight="1">
      <c r="A7" s="236" t="s">
        <v>100</v>
      </c>
      <c r="B7" s="196"/>
      <c r="C7" s="196"/>
      <c r="D7" s="235" t="s">
        <v>187</v>
      </c>
      <c r="E7" s="196" t="s">
        <v>193</v>
      </c>
      <c r="F7" s="196" t="s">
        <v>194</v>
      </c>
    </row>
    <row r="8" ht="14.25" hidden="1" customHeight="1">
      <c r="A8" s="236">
        <v>45226.0</v>
      </c>
      <c r="B8" s="196">
        <f t="shared" ref="B8:B28" si="1">IF(E8&lt;0,0,1)</f>
        <v>1</v>
      </c>
      <c r="C8" s="196" t="b">
        <f>DEC!C8=IF(E8&lt;0,"debit","credit")</f>
        <v>1</v>
      </c>
      <c r="D8" s="196" t="s">
        <v>441</v>
      </c>
      <c r="F8" s="196">
        <v>1795.03</v>
      </c>
      <c r="G8" s="196" t="str">
        <f t="shared" ref="G8:G28" si="2">IFERROR(VLOOKUP($B$8,B8:E8,4,FALSE),0)</f>
        <v/>
      </c>
    </row>
    <row r="9" ht="14.25" hidden="1" customHeight="1">
      <c r="A9" s="236">
        <v>45226.0</v>
      </c>
      <c r="B9" s="196">
        <f t="shared" si="1"/>
        <v>1</v>
      </c>
      <c r="C9" s="196" t="str">
        <f t="shared" ref="C9:C28" si="3">IF(E9&lt;0,"debit","credit")</f>
        <v>credit</v>
      </c>
      <c r="D9" s="196" t="s">
        <v>443</v>
      </c>
      <c r="E9" s="196">
        <v>464.95</v>
      </c>
      <c r="F9" s="235">
        <v>2175.06</v>
      </c>
      <c r="G9" s="196">
        <f t="shared" si="2"/>
        <v>464.95</v>
      </c>
    </row>
    <row r="10" ht="14.25" hidden="1" customHeight="1">
      <c r="A10" s="236">
        <v>45229.0</v>
      </c>
      <c r="B10" s="196">
        <f t="shared" si="1"/>
        <v>1</v>
      </c>
      <c r="C10" s="196" t="str">
        <f t="shared" si="3"/>
        <v>credit</v>
      </c>
      <c r="D10" s="196" t="s">
        <v>444</v>
      </c>
      <c r="E10" s="196">
        <v>700.0</v>
      </c>
      <c r="F10" s="235">
        <v>2875.06</v>
      </c>
      <c r="G10" s="196">
        <f t="shared" si="2"/>
        <v>700</v>
      </c>
    </row>
    <row r="11" ht="14.25" hidden="1" customHeight="1">
      <c r="A11" s="236">
        <v>45229.0</v>
      </c>
      <c r="B11" s="198">
        <f t="shared" si="1"/>
        <v>0</v>
      </c>
      <c r="C11" s="196" t="str">
        <f t="shared" si="3"/>
        <v>debit</v>
      </c>
      <c r="D11" s="196" t="s">
        <v>445</v>
      </c>
      <c r="E11" s="196">
        <v>-100.0</v>
      </c>
      <c r="F11" s="235">
        <v>2775.06</v>
      </c>
      <c r="G11" s="196">
        <f t="shared" si="2"/>
        <v>0</v>
      </c>
    </row>
    <row r="12" ht="14.25" hidden="1" customHeight="1">
      <c r="A12" s="236">
        <v>45229.0</v>
      </c>
      <c r="B12" s="196">
        <f t="shared" si="1"/>
        <v>0</v>
      </c>
      <c r="C12" s="196" t="str">
        <f t="shared" si="3"/>
        <v>debit</v>
      </c>
      <c r="D12" s="196" t="s">
        <v>446</v>
      </c>
      <c r="E12" s="196">
        <v>-71.81</v>
      </c>
      <c r="F12" s="235">
        <v>2703.25</v>
      </c>
      <c r="G12" s="196">
        <f t="shared" si="2"/>
        <v>0</v>
      </c>
    </row>
    <row r="13" ht="14.25" hidden="1" customHeight="1">
      <c r="A13" s="236">
        <v>45229.0</v>
      </c>
      <c r="B13" s="196">
        <f t="shared" si="1"/>
        <v>0</v>
      </c>
      <c r="C13" s="196" t="str">
        <f t="shared" si="3"/>
        <v>debit</v>
      </c>
      <c r="D13" s="196" t="s">
        <v>447</v>
      </c>
      <c r="E13" s="196">
        <v>-536.02</v>
      </c>
      <c r="F13" s="235">
        <v>2167.23</v>
      </c>
      <c r="G13" s="196">
        <f t="shared" si="2"/>
        <v>0</v>
      </c>
    </row>
    <row r="14" ht="14.25" hidden="1" customHeight="1">
      <c r="A14" s="236">
        <v>45229.0</v>
      </c>
      <c r="B14" s="196">
        <f t="shared" si="1"/>
        <v>0</v>
      </c>
      <c r="C14" s="196" t="str">
        <f t="shared" si="3"/>
        <v>debit</v>
      </c>
      <c r="D14" s="196" t="s">
        <v>448</v>
      </c>
      <c r="E14" s="196">
        <v>-292.7</v>
      </c>
      <c r="F14" s="235">
        <v>1874.53</v>
      </c>
      <c r="G14" s="196">
        <f t="shared" si="2"/>
        <v>0</v>
      </c>
    </row>
    <row r="15" ht="14.25" hidden="1" customHeight="1">
      <c r="A15" s="236">
        <v>45229.0</v>
      </c>
      <c r="B15" s="196">
        <f t="shared" si="1"/>
        <v>0</v>
      </c>
      <c r="C15" s="196" t="str">
        <f t="shared" si="3"/>
        <v>debit</v>
      </c>
      <c r="D15" s="196" t="s">
        <v>449</v>
      </c>
      <c r="E15" s="196">
        <v>-250.0</v>
      </c>
      <c r="F15" s="235">
        <v>1624.53</v>
      </c>
      <c r="G15" s="196">
        <f t="shared" si="2"/>
        <v>0</v>
      </c>
    </row>
    <row r="16" ht="14.25" hidden="1" customHeight="1">
      <c r="A16" s="236">
        <v>45229.0</v>
      </c>
      <c r="B16" s="196">
        <f t="shared" si="1"/>
        <v>0</v>
      </c>
      <c r="C16" s="196" t="str">
        <f t="shared" si="3"/>
        <v>debit</v>
      </c>
      <c r="D16" s="196" t="s">
        <v>450</v>
      </c>
      <c r="E16" s="196">
        <v>-83.0</v>
      </c>
      <c r="F16" s="235">
        <v>1541.53</v>
      </c>
      <c r="G16" s="196">
        <f t="shared" si="2"/>
        <v>0</v>
      </c>
    </row>
    <row r="17" ht="14.25" hidden="1" customHeight="1">
      <c r="A17" s="236">
        <v>45232.0</v>
      </c>
      <c r="B17" s="196">
        <f t="shared" si="1"/>
        <v>0</v>
      </c>
      <c r="C17" s="196" t="str">
        <f t="shared" si="3"/>
        <v>debit</v>
      </c>
      <c r="D17" s="196" t="s">
        <v>212</v>
      </c>
      <c r="E17" s="196">
        <v>-7.0</v>
      </c>
      <c r="F17" s="235">
        <v>1534.53</v>
      </c>
      <c r="G17" s="196">
        <f t="shared" si="2"/>
        <v>0</v>
      </c>
    </row>
    <row r="18" ht="14.25" hidden="1" customHeight="1">
      <c r="A18" s="236">
        <v>45233.0</v>
      </c>
      <c r="B18" s="196">
        <f t="shared" si="1"/>
        <v>0</v>
      </c>
      <c r="C18" s="196" t="str">
        <f t="shared" si="3"/>
        <v>debit</v>
      </c>
      <c r="D18" s="196" t="s">
        <v>213</v>
      </c>
      <c r="E18" s="196">
        <v>-25.0</v>
      </c>
      <c r="F18" s="235">
        <v>1509.53</v>
      </c>
      <c r="G18" s="196">
        <f t="shared" si="2"/>
        <v>0</v>
      </c>
    </row>
    <row r="19" ht="14.25" hidden="1" customHeight="1">
      <c r="A19" s="236">
        <v>45236.0</v>
      </c>
      <c r="B19" s="196">
        <f t="shared" si="1"/>
        <v>1</v>
      </c>
      <c r="C19" s="196" t="str">
        <f t="shared" si="3"/>
        <v>credit</v>
      </c>
      <c r="D19" s="196" t="s">
        <v>451</v>
      </c>
      <c r="E19" s="196">
        <v>550.0</v>
      </c>
      <c r="F19" s="235">
        <v>2059.53</v>
      </c>
      <c r="G19" s="196">
        <f t="shared" si="2"/>
        <v>550</v>
      </c>
    </row>
    <row r="20" ht="14.25" hidden="1" customHeight="1">
      <c r="A20" s="236">
        <v>45236.0</v>
      </c>
      <c r="B20" s="196">
        <f t="shared" si="1"/>
        <v>0</v>
      </c>
      <c r="C20" s="196" t="str">
        <f t="shared" si="3"/>
        <v>debit</v>
      </c>
      <c r="D20" s="196" t="s">
        <v>214</v>
      </c>
      <c r="E20" s="196">
        <v>-103.0</v>
      </c>
      <c r="F20" s="235">
        <v>1956.53</v>
      </c>
      <c r="G20" s="196">
        <f t="shared" si="2"/>
        <v>0</v>
      </c>
    </row>
    <row r="21" ht="14.25" hidden="1" customHeight="1">
      <c r="A21" s="236">
        <v>45236.0</v>
      </c>
      <c r="B21" s="196">
        <f t="shared" si="1"/>
        <v>0</v>
      </c>
      <c r="C21" s="196" t="str">
        <f t="shared" si="3"/>
        <v>debit</v>
      </c>
      <c r="D21" s="196" t="s">
        <v>214</v>
      </c>
      <c r="E21" s="196">
        <v>-16.84</v>
      </c>
      <c r="F21" s="235">
        <v>1939.69</v>
      </c>
      <c r="G21" s="196">
        <f t="shared" si="2"/>
        <v>0</v>
      </c>
    </row>
    <row r="22" ht="14.25" hidden="1" customHeight="1">
      <c r="A22" s="236">
        <v>45238.0</v>
      </c>
      <c r="B22" s="196">
        <f t="shared" si="1"/>
        <v>1</v>
      </c>
      <c r="C22" s="196" t="str">
        <f t="shared" si="3"/>
        <v>credit</v>
      </c>
      <c r="D22" s="196" t="s">
        <v>452</v>
      </c>
      <c r="E22" s="196">
        <v>39.18</v>
      </c>
      <c r="F22" s="235">
        <v>1978.87</v>
      </c>
      <c r="G22" s="196">
        <f t="shared" si="2"/>
        <v>39.18</v>
      </c>
    </row>
    <row r="23" ht="14.25" customHeight="1">
      <c r="A23" s="236">
        <v>45240.0</v>
      </c>
      <c r="B23" s="196">
        <f t="shared" si="1"/>
        <v>1</v>
      </c>
      <c r="C23" s="196" t="str">
        <f t="shared" si="3"/>
        <v>credit</v>
      </c>
      <c r="D23" s="196" t="s">
        <v>453</v>
      </c>
      <c r="E23" s="196">
        <v>464.95</v>
      </c>
      <c r="F23" s="235">
        <v>1983.52</v>
      </c>
      <c r="G23" s="196">
        <f t="shared" si="2"/>
        <v>464.95</v>
      </c>
    </row>
    <row r="24" ht="14.25" customHeight="1">
      <c r="A24" s="236">
        <v>45243.0</v>
      </c>
      <c r="B24" s="196">
        <f t="shared" si="1"/>
        <v>1</v>
      </c>
      <c r="C24" s="196" t="str">
        <f t="shared" si="3"/>
        <v>credit</v>
      </c>
      <c r="D24" s="196" t="s">
        <v>454</v>
      </c>
      <c r="E24" s="196">
        <v>26.41</v>
      </c>
      <c r="F24" s="235">
        <v>2009.93</v>
      </c>
      <c r="G24" s="196">
        <f t="shared" si="2"/>
        <v>26.41</v>
      </c>
    </row>
    <row r="25" ht="14.25" customHeight="1">
      <c r="A25" s="236">
        <v>45243.0</v>
      </c>
      <c r="B25" s="196">
        <f t="shared" si="1"/>
        <v>1</v>
      </c>
      <c r="C25" s="196" t="str">
        <f t="shared" si="3"/>
        <v>credit</v>
      </c>
      <c r="D25" s="196" t="s">
        <v>455</v>
      </c>
      <c r="E25" s="196">
        <v>15.2</v>
      </c>
      <c r="F25" s="235">
        <v>2025.13</v>
      </c>
      <c r="G25" s="196">
        <f t="shared" si="2"/>
        <v>15.2</v>
      </c>
    </row>
    <row r="26" ht="14.25" hidden="1" customHeight="1">
      <c r="A26" s="236">
        <v>45245.0</v>
      </c>
      <c r="B26" s="196">
        <f t="shared" si="1"/>
        <v>1</v>
      </c>
      <c r="C26" s="196" t="str">
        <f t="shared" si="3"/>
        <v>credit</v>
      </c>
      <c r="D26" s="196" t="s">
        <v>456</v>
      </c>
      <c r="E26" s="196">
        <v>123.72</v>
      </c>
      <c r="F26" s="235">
        <v>2148.85</v>
      </c>
      <c r="G26" s="196">
        <f t="shared" si="2"/>
        <v>123.72</v>
      </c>
    </row>
    <row r="27" ht="14.25" hidden="1" customHeight="1">
      <c r="A27" s="236">
        <v>45246.0</v>
      </c>
      <c r="B27" s="196">
        <f t="shared" si="1"/>
        <v>0</v>
      </c>
      <c r="C27" s="196" t="str">
        <f t="shared" si="3"/>
        <v>debit</v>
      </c>
      <c r="D27" s="196" t="s">
        <v>212</v>
      </c>
      <c r="E27" s="196">
        <v>-7.0</v>
      </c>
      <c r="F27" s="235">
        <v>2141.85</v>
      </c>
      <c r="G27" s="196">
        <f t="shared" si="2"/>
        <v>0</v>
      </c>
    </row>
    <row r="28" ht="14.25" customHeight="1">
      <c r="A28" s="236">
        <v>45254.0</v>
      </c>
      <c r="B28" s="196">
        <f t="shared" si="1"/>
        <v>1</v>
      </c>
      <c r="C28" s="196" t="str">
        <f t="shared" si="3"/>
        <v>credit</v>
      </c>
      <c r="D28" s="196" t="s">
        <v>457</v>
      </c>
      <c r="E28" s="196">
        <f>563.29-46.64</f>
        <v>516.65</v>
      </c>
      <c r="F28" s="235">
        <v>2147.48</v>
      </c>
      <c r="G28" s="196">
        <f t="shared" si="2"/>
        <v>516.65</v>
      </c>
    </row>
    <row r="29" ht="14.25" customHeight="1">
      <c r="A29" s="196"/>
      <c r="B29" s="196"/>
      <c r="C29" s="196"/>
      <c r="D29" s="196"/>
      <c r="E29" s="196"/>
      <c r="F29" s="196"/>
      <c r="G29" s="196"/>
    </row>
    <row r="30" ht="14.25" customHeight="1">
      <c r="A30" s="196"/>
      <c r="B30" s="196"/>
      <c r="C30" s="196"/>
      <c r="D30" s="196"/>
      <c r="E30" s="196"/>
      <c r="F30" s="196"/>
      <c r="G30" s="196"/>
    </row>
    <row r="31" ht="14.25" customHeight="1">
      <c r="A31" s="196"/>
      <c r="B31" s="196"/>
      <c r="C31" s="196"/>
      <c r="D31" s="196"/>
      <c r="E31" s="196"/>
      <c r="F31" s="196"/>
      <c r="G31" s="196"/>
    </row>
    <row r="32" ht="14.25" customHeight="1">
      <c r="A32" s="196"/>
      <c r="B32" s="196"/>
      <c r="C32" s="196"/>
      <c r="D32" s="196"/>
      <c r="E32" s="196"/>
      <c r="F32" s="196"/>
      <c r="G32" s="196"/>
    </row>
    <row r="33" ht="14.25" customHeight="1">
      <c r="A33" s="196"/>
      <c r="B33" s="196"/>
      <c r="C33" s="196"/>
      <c r="D33" s="196"/>
      <c r="E33" s="196"/>
      <c r="F33" s="196"/>
      <c r="G33" s="196"/>
    </row>
    <row r="34" ht="14.25" customHeight="1">
      <c r="A34" s="196"/>
      <c r="B34" s="196"/>
      <c r="C34" s="196"/>
      <c r="D34" s="196"/>
      <c r="E34" s="196"/>
      <c r="F34" s="196"/>
      <c r="G34" s="196"/>
    </row>
    <row r="35" ht="14.25" customHeight="1">
      <c r="A35" s="196"/>
      <c r="B35" s="196"/>
      <c r="C35" s="196"/>
      <c r="D35" s="196"/>
      <c r="E35" s="196"/>
      <c r="F35" s="196"/>
      <c r="G35" s="196"/>
    </row>
    <row r="36" ht="14.25" customHeight="1"/>
    <row r="37" ht="14.25" customHeight="1"/>
    <row r="38" ht="14.25" customHeight="1">
      <c r="D38" s="196"/>
      <c r="E38" s="196"/>
    </row>
    <row r="39" ht="14.25" customHeight="1">
      <c r="E39" s="196">
        <v>464.95</v>
      </c>
    </row>
    <row r="40" ht="14.25" customHeight="1">
      <c r="E40" s="196">
        <v>26.41</v>
      </c>
    </row>
    <row r="41" ht="14.25" customHeight="1">
      <c r="E41" s="196">
        <v>15.2</v>
      </c>
    </row>
    <row r="42" ht="14.25" customHeight="1">
      <c r="E42" s="196">
        <v>516.65</v>
      </c>
    </row>
    <row r="43" ht="14.25" customHeight="1">
      <c r="E43" s="276">
        <f>SUM(E38:E42)</f>
        <v>1023.21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G$28">
    <filterColumn colId="0">
      <filters>
        <filter val="11/8/2023"/>
        <filter val="11/15/2023"/>
        <filter val="11/3/2023"/>
        <filter val="11/10/2023"/>
        <filter val="11/13/2023"/>
        <filter val="11/16/2023"/>
        <filter val="11/2/2023"/>
        <filter val="11/6/2023"/>
        <filter val="11/24/2023"/>
        <filter val="10/30/2023"/>
      </filters>
    </filterColumn>
    <filterColumn colId="3">
      <filters>
        <filter val="JOURNEY'S END RE DES:DIRECT DEP ID:XXXXX08471119BM INDN:DIAZ BARRAGAN,DARIO CO ID:XXXXX11101 PPD"/>
        <filter val="JOURNEY'S END RE DES:DIRECT DEP ID:XXXXX91024469BM INDN:DIAZ BARRAGAN,DARIO CO ID:XXXXX11101 PPD"/>
        <filter val="Bank of America DES:CASHREWARD ID:BARRAGAN INDN:XXXXX0062XXXXX91XXXXX0 CO ID:XXXXX90310 PPD"/>
        <filter val="Beginning balance as of 10/27/2023"/>
        <filter val="Bank of America DES:CASHREWARD ID:DIAZ BARRAGAN INDN:XXXXX0060XXXXX21XXXXX0 CO ID:XXXXX90310 PPD"/>
        <filter val="JOURNEY'S END RE DES:DIRECT DEP ID:XXXXX81801479BM INDN:DIAZ BARRAGAN,DARIO CO ID:XXXXX11101 PPD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86"/>
    <col customWidth="1" min="3" max="3" width="15.57"/>
    <col customWidth="1" min="4" max="4" width="77.57"/>
    <col customWidth="1" min="5" max="5" width="13.29"/>
    <col customWidth="1" min="6" max="6" width="11.14"/>
    <col customWidth="1" min="7" max="10" width="8.71"/>
  </cols>
  <sheetData>
    <row r="1" ht="14.25" customHeight="1">
      <c r="A1" s="196" t="s">
        <v>187</v>
      </c>
      <c r="B1" s="239"/>
      <c r="C1" s="195"/>
      <c r="E1" s="196" t="s">
        <v>188</v>
      </c>
      <c r="G1" s="195"/>
    </row>
    <row r="2" ht="14.25" customHeight="1">
      <c r="A2" s="196" t="s">
        <v>458</v>
      </c>
      <c r="B2" s="239"/>
      <c r="C2" s="195"/>
      <c r="E2" s="235">
        <v>2141.85</v>
      </c>
      <c r="G2" s="195"/>
      <c r="I2" s="235"/>
    </row>
    <row r="3" ht="14.25" customHeight="1">
      <c r="A3" s="196" t="s">
        <v>190</v>
      </c>
      <c r="B3" s="239"/>
      <c r="C3" s="195"/>
      <c r="E3" s="196">
        <v>504.28</v>
      </c>
      <c r="G3" s="195"/>
      <c r="I3" s="235"/>
    </row>
    <row r="4" ht="14.25" customHeight="1">
      <c r="A4" s="196" t="s">
        <v>191</v>
      </c>
      <c r="B4" s="239"/>
      <c r="C4" s="195"/>
      <c r="E4" s="196">
        <v>-655.05</v>
      </c>
      <c r="G4" s="195"/>
      <c r="I4" s="235"/>
    </row>
    <row r="5" ht="14.25" customHeight="1">
      <c r="A5" s="196" t="s">
        <v>459</v>
      </c>
      <c r="B5" s="239"/>
      <c r="C5" s="195"/>
      <c r="E5" s="235">
        <v>1991.08</v>
      </c>
      <c r="G5" s="195"/>
      <c r="I5" s="235"/>
    </row>
    <row r="6" ht="14.25" customHeight="1">
      <c r="B6" s="239"/>
      <c r="C6" s="195"/>
      <c r="G6" s="195"/>
    </row>
    <row r="7" ht="14.25" customHeight="1">
      <c r="A7" s="196" t="s">
        <v>100</v>
      </c>
      <c r="B7" s="239"/>
      <c r="C7" s="195"/>
      <c r="D7" s="196" t="s">
        <v>187</v>
      </c>
      <c r="E7" s="196" t="s">
        <v>193</v>
      </c>
      <c r="F7" s="196" t="s">
        <v>194</v>
      </c>
      <c r="G7" s="195"/>
    </row>
    <row r="8" ht="14.25" hidden="1" customHeight="1">
      <c r="A8" s="236">
        <v>45254.0</v>
      </c>
      <c r="B8" s="239">
        <f t="shared" ref="B8:B21" si="1">IF(E8&lt;0,0,1)</f>
        <v>1</v>
      </c>
      <c r="C8" s="220" t="str">
        <f t="shared" ref="C8:C21" si="2">IF(E8&lt;0,"debit","credit")</f>
        <v>credit</v>
      </c>
      <c r="D8" s="196" t="s">
        <v>458</v>
      </c>
      <c r="F8" s="235">
        <v>2141.85</v>
      </c>
      <c r="G8" s="239" t="str">
        <f t="shared" ref="G8:G21" si="3">IFERROR(VLOOKUP($B$8,B8:E8,4,FALSE),0)</f>
        <v/>
      </c>
      <c r="J8" s="235"/>
    </row>
    <row r="9" ht="14.25" hidden="1" customHeight="1">
      <c r="A9" s="236">
        <v>45254.0</v>
      </c>
      <c r="B9" s="239">
        <f t="shared" si="1"/>
        <v>1</v>
      </c>
      <c r="C9" s="220" t="str">
        <f t="shared" si="2"/>
        <v>credit</v>
      </c>
      <c r="D9" s="196" t="s">
        <v>457</v>
      </c>
      <c r="E9" s="196">
        <v>5.63</v>
      </c>
      <c r="F9" s="235">
        <v>2147.48</v>
      </c>
      <c r="G9" s="239">
        <f t="shared" si="3"/>
        <v>5.63</v>
      </c>
      <c r="J9" s="235"/>
    </row>
    <row r="10" ht="14.25" hidden="1" customHeight="1">
      <c r="A10" s="236">
        <v>45257.0</v>
      </c>
      <c r="B10" s="239">
        <f t="shared" si="1"/>
        <v>0</v>
      </c>
      <c r="C10" s="220" t="str">
        <f t="shared" si="2"/>
        <v>debit</v>
      </c>
      <c r="D10" s="196" t="s">
        <v>460</v>
      </c>
      <c r="E10" s="196">
        <v>-376.05</v>
      </c>
      <c r="F10" s="235">
        <v>1771.43</v>
      </c>
      <c r="G10" s="239">
        <f t="shared" si="3"/>
        <v>0</v>
      </c>
      <c r="J10" s="235"/>
    </row>
    <row r="11" ht="14.25" hidden="1" customHeight="1">
      <c r="A11" s="236">
        <v>45257.0</v>
      </c>
      <c r="B11" s="239">
        <f t="shared" si="1"/>
        <v>0</v>
      </c>
      <c r="C11" s="220" t="str">
        <f t="shared" si="2"/>
        <v>debit</v>
      </c>
      <c r="D11" s="196" t="s">
        <v>461</v>
      </c>
      <c r="E11" s="196">
        <v>-25.0</v>
      </c>
      <c r="F11" s="235">
        <v>1746.43</v>
      </c>
      <c r="G11" s="239">
        <f t="shared" si="3"/>
        <v>0</v>
      </c>
      <c r="J11" s="235"/>
    </row>
    <row r="12" ht="14.25" hidden="1" customHeight="1">
      <c r="A12" s="236">
        <v>45264.0</v>
      </c>
      <c r="B12" s="239">
        <f t="shared" si="1"/>
        <v>0</v>
      </c>
      <c r="C12" s="220" t="str">
        <f t="shared" si="2"/>
        <v>debit</v>
      </c>
      <c r="D12" s="196" t="s">
        <v>462</v>
      </c>
      <c r="E12" s="196">
        <v>-62.0</v>
      </c>
      <c r="F12" s="235">
        <v>1684.43</v>
      </c>
      <c r="G12" s="239">
        <f t="shared" si="3"/>
        <v>0</v>
      </c>
      <c r="J12" s="235"/>
    </row>
    <row r="13" ht="14.25" hidden="1" customHeight="1">
      <c r="A13" s="236">
        <v>45264.0</v>
      </c>
      <c r="B13" s="239">
        <f t="shared" si="1"/>
        <v>0</v>
      </c>
      <c r="C13" s="220" t="str">
        <f t="shared" si="2"/>
        <v>debit</v>
      </c>
      <c r="D13" s="196" t="s">
        <v>213</v>
      </c>
      <c r="E13" s="196">
        <v>-25.0</v>
      </c>
      <c r="F13" s="235">
        <v>1659.43</v>
      </c>
      <c r="G13" s="239">
        <f t="shared" si="3"/>
        <v>0</v>
      </c>
      <c r="J13" s="235"/>
    </row>
    <row r="14" ht="14.25" hidden="1" customHeight="1">
      <c r="A14" s="236">
        <v>45264.0</v>
      </c>
      <c r="B14" s="239">
        <f t="shared" si="1"/>
        <v>0</v>
      </c>
      <c r="C14" s="220" t="str">
        <f t="shared" si="2"/>
        <v>debit</v>
      </c>
      <c r="D14" s="196" t="s">
        <v>212</v>
      </c>
      <c r="E14" s="196">
        <v>-7.0</v>
      </c>
      <c r="F14" s="235">
        <v>1652.43</v>
      </c>
      <c r="G14" s="239">
        <f t="shared" si="3"/>
        <v>0</v>
      </c>
      <c r="J14" s="235"/>
    </row>
    <row r="15" ht="14.25" hidden="1" customHeight="1">
      <c r="A15" s="236">
        <v>45266.0</v>
      </c>
      <c r="B15" s="239">
        <f t="shared" si="1"/>
        <v>0</v>
      </c>
      <c r="C15" s="220" t="str">
        <f t="shared" si="2"/>
        <v>debit</v>
      </c>
      <c r="D15" s="196" t="s">
        <v>214</v>
      </c>
      <c r="E15" s="196">
        <v>-103.0</v>
      </c>
      <c r="F15" s="235">
        <v>1549.43</v>
      </c>
      <c r="G15" s="239">
        <f t="shared" si="3"/>
        <v>0</v>
      </c>
      <c r="J15" s="235"/>
    </row>
    <row r="16" ht="14.25" hidden="1" customHeight="1">
      <c r="A16" s="236">
        <v>45267.0</v>
      </c>
      <c r="B16" s="239">
        <f t="shared" si="1"/>
        <v>1</v>
      </c>
      <c r="C16" s="220" t="str">
        <f t="shared" si="2"/>
        <v>credit</v>
      </c>
      <c r="D16" s="196" t="s">
        <v>463</v>
      </c>
      <c r="E16" s="196">
        <v>288.0</v>
      </c>
      <c r="F16" s="235">
        <v>1837.43</v>
      </c>
      <c r="G16" s="239">
        <f t="shared" si="3"/>
        <v>288</v>
      </c>
      <c r="J16" s="235"/>
    </row>
    <row r="17" ht="14.25" customHeight="1">
      <c r="A17" s="236">
        <v>45268.0</v>
      </c>
      <c r="B17" s="239">
        <f t="shared" si="1"/>
        <v>1</v>
      </c>
      <c r="C17" s="220" t="str">
        <f t="shared" si="2"/>
        <v>credit</v>
      </c>
      <c r="D17" s="196" t="s">
        <v>464</v>
      </c>
      <c r="E17" s="196">
        <v>523.99</v>
      </c>
      <c r="F17" s="235">
        <v>1842.67</v>
      </c>
      <c r="G17" s="239">
        <f t="shared" si="3"/>
        <v>523.99</v>
      </c>
      <c r="J17" s="235"/>
    </row>
    <row r="18" ht="14.25" customHeight="1">
      <c r="A18" s="236">
        <v>45275.0</v>
      </c>
      <c r="B18" s="239">
        <f t="shared" si="1"/>
        <v>1</v>
      </c>
      <c r="C18" s="220" t="str">
        <f t="shared" si="2"/>
        <v>credit</v>
      </c>
      <c r="D18" s="196" t="s">
        <v>465</v>
      </c>
      <c r="E18" s="196">
        <v>200.0</v>
      </c>
      <c r="F18" s="235">
        <v>2042.67</v>
      </c>
      <c r="G18" s="239">
        <f t="shared" si="3"/>
        <v>200</v>
      </c>
      <c r="J18" s="235"/>
    </row>
    <row r="19" ht="14.25" hidden="1" customHeight="1">
      <c r="A19" s="236">
        <v>45278.0</v>
      </c>
      <c r="B19" s="239">
        <f t="shared" si="1"/>
        <v>1</v>
      </c>
      <c r="C19" s="220" t="str">
        <f t="shared" si="2"/>
        <v>credit</v>
      </c>
      <c r="D19" s="196" t="s">
        <v>212</v>
      </c>
      <c r="E19" s="196">
        <v>476.05</v>
      </c>
      <c r="F19" s="235">
        <v>2035.67</v>
      </c>
      <c r="G19" s="239">
        <f t="shared" si="3"/>
        <v>476.05</v>
      </c>
      <c r="J19" s="235"/>
    </row>
    <row r="20" ht="14.25" hidden="1" customHeight="1">
      <c r="A20" s="236">
        <v>45281.0</v>
      </c>
      <c r="B20" s="239">
        <f t="shared" si="1"/>
        <v>0</v>
      </c>
      <c r="C20" s="220" t="str">
        <f t="shared" si="2"/>
        <v>debit</v>
      </c>
      <c r="D20" s="196" t="s">
        <v>466</v>
      </c>
      <c r="E20" s="196">
        <v>-50.0</v>
      </c>
      <c r="F20" s="235">
        <v>1985.67</v>
      </c>
      <c r="G20" s="239">
        <f t="shared" si="3"/>
        <v>0</v>
      </c>
      <c r="J20" s="235"/>
    </row>
    <row r="21" ht="14.25" customHeight="1">
      <c r="A21" s="236">
        <v>45282.0</v>
      </c>
      <c r="B21" s="239">
        <f t="shared" si="1"/>
        <v>1</v>
      </c>
      <c r="C21" s="220" t="str">
        <f t="shared" si="2"/>
        <v>credit</v>
      </c>
      <c r="D21" s="196" t="s">
        <v>467</v>
      </c>
      <c r="E21" s="196">
        <v>476.05</v>
      </c>
      <c r="F21" s="235">
        <v>1991.08</v>
      </c>
      <c r="G21" s="239">
        <f t="shared" si="3"/>
        <v>476.05</v>
      </c>
      <c r="I21" s="235"/>
      <c r="J21" s="235"/>
    </row>
    <row r="22" ht="14.25" hidden="1" customHeight="1">
      <c r="A22" s="236"/>
      <c r="B22" s="239"/>
      <c r="C22" s="220"/>
      <c r="D22" s="196"/>
      <c r="E22" s="196"/>
      <c r="F22" s="235"/>
      <c r="G22" s="239"/>
      <c r="J22" s="235"/>
    </row>
    <row r="23" ht="14.25" hidden="1" customHeight="1">
      <c r="A23" s="236"/>
      <c r="B23" s="239"/>
      <c r="C23" s="220"/>
      <c r="D23" s="196"/>
      <c r="E23" s="196"/>
      <c r="F23" s="235"/>
      <c r="G23" s="239"/>
      <c r="J23" s="235"/>
    </row>
    <row r="24" ht="14.25" hidden="1" customHeight="1">
      <c r="A24" s="236"/>
      <c r="B24" s="239"/>
      <c r="C24" s="220"/>
      <c r="D24" s="196"/>
      <c r="E24" s="196"/>
      <c r="F24" s="235"/>
      <c r="G24" s="239"/>
      <c r="J24" s="235"/>
    </row>
    <row r="25" ht="14.25" hidden="1" customHeight="1">
      <c r="A25" s="236"/>
      <c r="B25" s="239"/>
      <c r="C25" s="220"/>
      <c r="D25" s="196"/>
      <c r="E25" s="196"/>
      <c r="F25" s="235"/>
      <c r="G25" s="239"/>
      <c r="J25" s="235"/>
    </row>
    <row r="26" ht="14.25" hidden="1" customHeight="1">
      <c r="A26" s="236"/>
      <c r="B26" s="239"/>
      <c r="C26" s="220"/>
      <c r="D26" s="196"/>
      <c r="E26" s="196"/>
      <c r="F26" s="235"/>
      <c r="G26" s="239"/>
      <c r="J26" s="235"/>
    </row>
    <row r="27" ht="14.25" hidden="1" customHeight="1">
      <c r="A27" s="236"/>
      <c r="B27" s="239"/>
      <c r="C27" s="220"/>
      <c r="D27" s="196"/>
      <c r="E27" s="196"/>
      <c r="F27" s="235"/>
      <c r="G27" s="239"/>
      <c r="J27" s="235"/>
    </row>
    <row r="28" ht="14.25" hidden="1" customHeight="1">
      <c r="A28" s="236"/>
      <c r="B28" s="239"/>
      <c r="C28" s="220"/>
      <c r="D28" s="196"/>
      <c r="E28" s="196"/>
      <c r="F28" s="235"/>
      <c r="G28" s="239"/>
      <c r="J28" s="235"/>
    </row>
    <row r="29" ht="14.25" hidden="1" customHeight="1">
      <c r="A29" s="236"/>
      <c r="B29" s="239"/>
      <c r="C29" s="220"/>
      <c r="D29" s="196"/>
      <c r="E29" s="196"/>
      <c r="F29" s="235"/>
      <c r="G29" s="239"/>
      <c r="J29" s="235"/>
    </row>
    <row r="30" ht="14.25" hidden="1" customHeight="1">
      <c r="A30" s="236"/>
      <c r="B30" s="239"/>
      <c r="C30" s="220"/>
      <c r="D30" s="196"/>
      <c r="E30" s="196"/>
      <c r="F30" s="235"/>
      <c r="G30" s="239"/>
      <c r="J30" s="235"/>
    </row>
    <row r="31" ht="14.25" hidden="1" customHeight="1">
      <c r="A31" s="236"/>
      <c r="B31" s="239"/>
      <c r="C31" s="220"/>
      <c r="D31" s="196"/>
      <c r="E31" s="196"/>
      <c r="F31" s="235"/>
      <c r="G31" s="239"/>
      <c r="J31" s="235"/>
    </row>
    <row r="32" ht="14.25" hidden="1" customHeight="1">
      <c r="A32" s="236"/>
      <c r="B32" s="239"/>
      <c r="C32" s="220"/>
      <c r="D32" s="196"/>
      <c r="E32" s="196"/>
      <c r="F32" s="235"/>
      <c r="G32" s="239"/>
      <c r="J32" s="235"/>
    </row>
    <row r="33" ht="14.25" hidden="1" customHeight="1">
      <c r="A33" s="236"/>
      <c r="B33" s="239"/>
      <c r="C33" s="220"/>
      <c r="D33" s="196"/>
      <c r="E33" s="196"/>
      <c r="F33" s="235"/>
      <c r="G33" s="239"/>
      <c r="J33" s="235"/>
    </row>
    <row r="34" ht="14.25" hidden="1" customHeight="1">
      <c r="A34" s="236"/>
      <c r="B34" s="239"/>
      <c r="C34" s="220"/>
      <c r="D34" s="196"/>
      <c r="E34" s="235"/>
      <c r="F34" s="235"/>
      <c r="G34" s="239"/>
      <c r="I34" s="235"/>
      <c r="J34" s="235"/>
    </row>
    <row r="35" ht="14.25" hidden="1" customHeight="1">
      <c r="A35" s="236"/>
      <c r="B35" s="239"/>
      <c r="C35" s="220"/>
      <c r="D35" s="196"/>
      <c r="E35" s="235"/>
      <c r="F35" s="235"/>
      <c r="G35" s="239"/>
      <c r="I35" s="235"/>
      <c r="J35" s="235"/>
    </row>
    <row r="36" ht="14.25" hidden="1" customHeight="1">
      <c r="A36" s="236"/>
      <c r="B36" s="239"/>
      <c r="C36" s="220"/>
      <c r="D36" s="196"/>
      <c r="E36" s="196"/>
      <c r="F36" s="235"/>
      <c r="G36" s="239"/>
      <c r="J36" s="235"/>
    </row>
    <row r="37" ht="14.25" hidden="1" customHeight="1">
      <c r="A37" s="236"/>
      <c r="B37" s="239"/>
      <c r="C37" s="220"/>
      <c r="D37" s="196"/>
      <c r="E37" s="196"/>
      <c r="G37" s="239"/>
    </row>
    <row r="38" ht="14.25" hidden="1" customHeight="1">
      <c r="A38" s="236"/>
      <c r="B38" s="239"/>
      <c r="C38" s="220"/>
      <c r="D38" s="196"/>
      <c r="E38" s="196"/>
      <c r="G38" s="239"/>
    </row>
    <row r="39" ht="14.25" hidden="1" customHeight="1">
      <c r="B39" s="239"/>
      <c r="C39" s="220"/>
      <c r="D39" s="196"/>
      <c r="E39" s="196"/>
      <c r="G39" s="239"/>
    </row>
    <row r="40" ht="14.25" customHeight="1">
      <c r="B40" s="239"/>
      <c r="C40" s="195"/>
      <c r="G40" s="277"/>
    </row>
    <row r="41" ht="14.25" customHeight="1">
      <c r="B41" s="239"/>
      <c r="C41" s="195"/>
      <c r="D41" s="236"/>
      <c r="E41" s="196"/>
      <c r="F41" s="196"/>
      <c r="G41" s="277"/>
    </row>
    <row r="42" ht="14.25" customHeight="1">
      <c r="B42" s="239"/>
      <c r="C42" s="195"/>
      <c r="D42" s="236"/>
      <c r="E42" s="196"/>
      <c r="F42" s="196"/>
      <c r="G42" s="277"/>
    </row>
    <row r="43" ht="14.25" customHeight="1">
      <c r="B43" s="239"/>
      <c r="C43" s="195"/>
      <c r="D43" s="236"/>
      <c r="E43" s="196"/>
      <c r="F43" s="196"/>
      <c r="G43" s="277"/>
    </row>
    <row r="44" ht="14.25" customHeight="1">
      <c r="B44" s="239"/>
      <c r="C44" s="195"/>
      <c r="D44" s="236"/>
      <c r="E44" s="196"/>
      <c r="F44" s="196"/>
      <c r="G44" s="277"/>
    </row>
    <row r="45" ht="14.25" customHeight="1">
      <c r="B45" s="239"/>
      <c r="C45" s="195"/>
      <c r="D45" s="236"/>
      <c r="E45" s="196"/>
      <c r="F45" s="196"/>
      <c r="G45" s="277"/>
    </row>
    <row r="46" ht="14.25" customHeight="1">
      <c r="B46" s="239"/>
      <c r="C46" s="195"/>
      <c r="D46" s="236"/>
      <c r="E46" s="196"/>
      <c r="G46" s="195"/>
    </row>
    <row r="47" ht="14.25" customHeight="1">
      <c r="B47" s="239"/>
      <c r="C47" s="195"/>
      <c r="D47" s="236"/>
      <c r="E47" s="196"/>
      <c r="G47" s="234"/>
    </row>
    <row r="48" ht="14.25" customHeight="1">
      <c r="B48" s="239"/>
      <c r="C48" s="195"/>
      <c r="D48" s="236"/>
      <c r="E48" s="196">
        <v>523.99</v>
      </c>
      <c r="G48" s="195"/>
    </row>
    <row r="49" ht="14.25" customHeight="1">
      <c r="B49" s="239"/>
      <c r="C49" s="195"/>
      <c r="E49" s="196">
        <v>200.0</v>
      </c>
      <c r="G49" s="277"/>
    </row>
    <row r="50" ht="14.25" customHeight="1">
      <c r="B50" s="239"/>
      <c r="C50" s="195"/>
      <c r="E50" s="196">
        <v>476.05</v>
      </c>
      <c r="G50" s="277"/>
    </row>
    <row r="51" ht="14.25" customHeight="1">
      <c r="B51" s="239"/>
      <c r="C51" s="195"/>
      <c r="E51" s="196"/>
      <c r="G51" s="277"/>
    </row>
    <row r="52" ht="14.25" customHeight="1">
      <c r="B52" s="239"/>
      <c r="C52" s="195"/>
      <c r="E52" s="276">
        <f>SUM(E45:E51)</f>
        <v>1200.04</v>
      </c>
      <c r="G52" s="277"/>
    </row>
    <row r="53" ht="14.25" customHeight="1">
      <c r="B53" s="239"/>
      <c r="C53" s="195"/>
      <c r="D53" s="196"/>
      <c r="E53" s="196"/>
      <c r="G53" s="277"/>
    </row>
    <row r="54" ht="14.25" customHeight="1">
      <c r="B54" s="239"/>
      <c r="C54" s="195"/>
      <c r="G54" s="277"/>
    </row>
    <row r="55" ht="14.25" customHeight="1">
      <c r="B55" s="239"/>
      <c r="C55" s="195"/>
      <c r="G55" s="277"/>
    </row>
    <row r="56" ht="14.25" customHeight="1">
      <c r="B56" s="239"/>
      <c r="C56" s="195"/>
      <c r="D56" s="196"/>
      <c r="E56" s="196"/>
      <c r="G56" s="277"/>
    </row>
    <row r="57" ht="14.25" customHeight="1">
      <c r="B57" s="239"/>
      <c r="C57" s="195"/>
      <c r="E57" s="196"/>
      <c r="G57" s="277"/>
    </row>
    <row r="58" ht="14.25" customHeight="1">
      <c r="B58" s="239"/>
      <c r="C58" s="195"/>
      <c r="E58" s="196"/>
      <c r="G58" s="237"/>
    </row>
    <row r="59" ht="14.25" customHeight="1">
      <c r="B59" s="239"/>
      <c r="C59" s="195"/>
      <c r="E59" s="196"/>
      <c r="G59" s="195"/>
    </row>
    <row r="60" ht="14.25" customHeight="1">
      <c r="B60" s="239"/>
      <c r="C60" s="195"/>
      <c r="E60" s="196"/>
      <c r="G60" s="195"/>
    </row>
    <row r="61" ht="14.25" customHeight="1">
      <c r="B61" s="239"/>
      <c r="C61" s="195"/>
      <c r="E61" s="196"/>
      <c r="G61" s="195"/>
    </row>
    <row r="62" ht="14.25" customHeight="1">
      <c r="B62" s="239"/>
      <c r="C62" s="195"/>
      <c r="E62" s="196"/>
      <c r="G62" s="195"/>
    </row>
    <row r="63" ht="14.25" customHeight="1">
      <c r="B63" s="239"/>
      <c r="C63" s="195"/>
      <c r="E63" s="196"/>
      <c r="G63" s="195"/>
    </row>
    <row r="64" ht="14.25" customHeight="1">
      <c r="B64" s="239"/>
      <c r="C64" s="195"/>
      <c r="E64" s="196"/>
      <c r="G64" s="195"/>
    </row>
    <row r="65" ht="14.25" customHeight="1">
      <c r="B65" s="239"/>
      <c r="C65" s="195"/>
      <c r="D65" s="196"/>
      <c r="E65" s="196"/>
      <c r="G65" s="195"/>
    </row>
    <row r="66" ht="14.25" customHeight="1">
      <c r="B66" s="239"/>
      <c r="C66" s="195"/>
      <c r="E66" s="196"/>
      <c r="G66" s="195"/>
    </row>
    <row r="67" ht="14.25" customHeight="1">
      <c r="B67" s="239"/>
      <c r="C67" s="195"/>
      <c r="E67" s="196"/>
      <c r="G67" s="195"/>
    </row>
    <row r="68" ht="14.25" customHeight="1">
      <c r="B68" s="239"/>
      <c r="C68" s="195"/>
      <c r="E68" s="196"/>
      <c r="G68" s="195"/>
    </row>
    <row r="69" ht="14.25" customHeight="1">
      <c r="B69" s="239"/>
      <c r="C69" s="195"/>
      <c r="E69" s="196"/>
      <c r="G69" s="195"/>
    </row>
    <row r="70" ht="14.25" customHeight="1">
      <c r="B70" s="239"/>
      <c r="C70" s="195"/>
      <c r="E70" s="196"/>
      <c r="G70" s="195"/>
    </row>
    <row r="71" ht="14.25" customHeight="1">
      <c r="B71" s="239"/>
      <c r="C71" s="195"/>
      <c r="E71" s="196"/>
      <c r="G71" s="195"/>
    </row>
    <row r="72" ht="14.25" customHeight="1">
      <c r="B72" s="239"/>
      <c r="C72" s="195"/>
      <c r="E72" s="196"/>
      <c r="G72" s="195"/>
    </row>
    <row r="73" ht="14.25" customHeight="1">
      <c r="B73" s="239"/>
      <c r="C73" s="195"/>
      <c r="E73" s="196"/>
      <c r="G73" s="195"/>
    </row>
    <row r="74" ht="14.25" customHeight="1">
      <c r="B74" s="239"/>
      <c r="C74" s="195"/>
      <c r="E74" s="276"/>
      <c r="G74" s="195"/>
    </row>
    <row r="75" ht="14.25" customHeight="1">
      <c r="B75" s="239"/>
      <c r="C75" s="195"/>
      <c r="D75" s="196"/>
      <c r="E75" s="276"/>
      <c r="G75" s="195"/>
    </row>
    <row r="76" ht="14.25" customHeight="1">
      <c r="B76" s="239"/>
      <c r="C76" s="195"/>
      <c r="G76" s="195"/>
    </row>
    <row r="77" ht="14.25" customHeight="1">
      <c r="B77" s="239"/>
      <c r="C77" s="195"/>
      <c r="G77" s="195"/>
    </row>
    <row r="78" ht="14.25" customHeight="1">
      <c r="B78" s="239"/>
      <c r="C78" s="195"/>
      <c r="G78" s="195"/>
    </row>
    <row r="79" ht="14.25" customHeight="1">
      <c r="B79" s="239"/>
      <c r="C79" s="195"/>
      <c r="G79" s="195"/>
    </row>
    <row r="80" ht="14.25" customHeight="1">
      <c r="B80" s="239"/>
      <c r="C80" s="195"/>
      <c r="G80" s="195"/>
    </row>
    <row r="81" ht="14.25" customHeight="1">
      <c r="B81" s="239"/>
      <c r="C81" s="195"/>
      <c r="G81" s="195"/>
    </row>
    <row r="82" ht="14.25" customHeight="1">
      <c r="B82" s="239"/>
      <c r="C82" s="195"/>
      <c r="G82" s="195"/>
    </row>
    <row r="83" ht="14.25" customHeight="1">
      <c r="B83" s="239"/>
      <c r="C83" s="195"/>
      <c r="G83" s="195"/>
    </row>
    <row r="84" ht="14.25" customHeight="1">
      <c r="B84" s="239"/>
      <c r="C84" s="195"/>
      <c r="G84" s="195"/>
    </row>
    <row r="85" ht="14.25" customHeight="1">
      <c r="B85" s="239"/>
      <c r="C85" s="195"/>
      <c r="G85" s="195"/>
    </row>
    <row r="86" ht="14.25" customHeight="1">
      <c r="B86" s="239"/>
      <c r="C86" s="195"/>
      <c r="G86" s="195"/>
    </row>
    <row r="87" ht="14.25" customHeight="1">
      <c r="B87" s="239"/>
      <c r="C87" s="195"/>
      <c r="G87" s="195"/>
    </row>
    <row r="88" ht="14.25" customHeight="1">
      <c r="B88" s="239"/>
      <c r="C88" s="195"/>
      <c r="G88" s="195"/>
    </row>
    <row r="89" ht="14.25" customHeight="1">
      <c r="B89" s="239"/>
      <c r="C89" s="195"/>
      <c r="G89" s="195"/>
    </row>
    <row r="90" ht="14.25" customHeight="1">
      <c r="B90" s="239"/>
      <c r="C90" s="195"/>
      <c r="G90" s="195"/>
    </row>
    <row r="91" ht="14.25" customHeight="1">
      <c r="B91" s="239"/>
      <c r="C91" s="195"/>
      <c r="G91" s="195"/>
    </row>
    <row r="92" ht="14.25" customHeight="1">
      <c r="B92" s="239"/>
      <c r="C92" s="195"/>
      <c r="G92" s="195"/>
    </row>
    <row r="93" ht="14.25" customHeight="1">
      <c r="B93" s="239"/>
      <c r="C93" s="195"/>
      <c r="G93" s="195"/>
    </row>
    <row r="94" ht="14.25" customHeight="1">
      <c r="B94" s="239"/>
      <c r="C94" s="195"/>
      <c r="G94" s="195"/>
    </row>
    <row r="95" ht="14.25" customHeight="1">
      <c r="B95" s="239"/>
      <c r="C95" s="195"/>
      <c r="G95" s="195"/>
    </row>
    <row r="96" ht="14.25" customHeight="1">
      <c r="B96" s="239"/>
      <c r="C96" s="195"/>
      <c r="G96" s="195"/>
    </row>
    <row r="97" ht="14.25" customHeight="1">
      <c r="B97" s="239"/>
      <c r="C97" s="195"/>
      <c r="G97" s="195"/>
    </row>
    <row r="98" ht="14.25" customHeight="1">
      <c r="B98" s="239"/>
      <c r="C98" s="195"/>
      <c r="G98" s="195"/>
    </row>
    <row r="99" ht="14.25" customHeight="1">
      <c r="B99" s="239"/>
      <c r="C99" s="195"/>
      <c r="G99" s="195"/>
    </row>
    <row r="100" ht="14.25" customHeight="1">
      <c r="B100" s="239"/>
      <c r="C100" s="195"/>
      <c r="G100" s="195"/>
    </row>
    <row r="101" ht="14.25" customHeight="1">
      <c r="B101" s="239"/>
      <c r="C101" s="195"/>
      <c r="G101" s="195"/>
    </row>
    <row r="102" ht="14.25" customHeight="1">
      <c r="B102" s="239"/>
      <c r="C102" s="195"/>
      <c r="G102" s="195"/>
    </row>
    <row r="103" ht="14.25" customHeight="1">
      <c r="B103" s="239"/>
      <c r="C103" s="195"/>
      <c r="G103" s="195"/>
    </row>
    <row r="104" ht="14.25" customHeight="1">
      <c r="B104" s="239"/>
      <c r="C104" s="195"/>
      <c r="G104" s="195"/>
    </row>
    <row r="105" ht="14.25" customHeight="1">
      <c r="B105" s="239"/>
      <c r="C105" s="195"/>
      <c r="G105" s="195"/>
    </row>
    <row r="106" ht="14.25" customHeight="1">
      <c r="B106" s="239"/>
      <c r="C106" s="195"/>
      <c r="G106" s="195"/>
    </row>
    <row r="107" ht="14.25" customHeight="1">
      <c r="B107" s="239"/>
      <c r="C107" s="195"/>
      <c r="G107" s="195"/>
    </row>
    <row r="108" ht="14.25" customHeight="1">
      <c r="B108" s="239"/>
      <c r="C108" s="195"/>
      <c r="G108" s="195"/>
    </row>
    <row r="109" ht="14.25" customHeight="1">
      <c r="B109" s="239"/>
      <c r="C109" s="195"/>
      <c r="G109" s="195"/>
    </row>
    <row r="110" ht="14.25" customHeight="1">
      <c r="B110" s="239"/>
      <c r="C110" s="195"/>
      <c r="G110" s="195"/>
    </row>
    <row r="111" ht="14.25" customHeight="1">
      <c r="B111" s="239"/>
      <c r="C111" s="195"/>
      <c r="G111" s="195"/>
    </row>
    <row r="112" ht="14.25" customHeight="1">
      <c r="B112" s="239"/>
      <c r="C112" s="195"/>
      <c r="G112" s="195"/>
    </row>
    <row r="113" ht="14.25" customHeight="1">
      <c r="B113" s="239"/>
      <c r="C113" s="195"/>
      <c r="G113" s="195"/>
    </row>
    <row r="114" ht="14.25" customHeight="1">
      <c r="B114" s="239"/>
      <c r="C114" s="195"/>
      <c r="G114" s="195"/>
    </row>
    <row r="115" ht="14.25" customHeight="1">
      <c r="B115" s="239"/>
      <c r="C115" s="195"/>
      <c r="G115" s="195"/>
    </row>
    <row r="116" ht="14.25" customHeight="1">
      <c r="B116" s="239"/>
      <c r="C116" s="195"/>
      <c r="G116" s="195"/>
    </row>
    <row r="117" ht="14.25" customHeight="1">
      <c r="B117" s="239"/>
      <c r="C117" s="195"/>
      <c r="G117" s="195"/>
    </row>
    <row r="118" ht="14.25" customHeight="1">
      <c r="B118" s="239"/>
      <c r="C118" s="195"/>
      <c r="G118" s="195"/>
    </row>
    <row r="119" ht="14.25" customHeight="1">
      <c r="B119" s="239"/>
      <c r="C119" s="195"/>
      <c r="G119" s="195"/>
    </row>
    <row r="120" ht="14.25" customHeight="1">
      <c r="B120" s="239"/>
      <c r="C120" s="195"/>
      <c r="G120" s="195"/>
    </row>
    <row r="121" ht="14.25" customHeight="1">
      <c r="B121" s="239"/>
      <c r="C121" s="195"/>
      <c r="G121" s="195"/>
    </row>
    <row r="122" ht="14.25" customHeight="1">
      <c r="B122" s="239"/>
      <c r="C122" s="195"/>
      <c r="G122" s="195"/>
    </row>
    <row r="123" ht="14.25" customHeight="1">
      <c r="B123" s="239"/>
      <c r="C123" s="195"/>
      <c r="G123" s="195"/>
    </row>
    <row r="124" ht="14.25" customHeight="1">
      <c r="B124" s="239"/>
      <c r="C124" s="195"/>
      <c r="G124" s="195"/>
    </row>
    <row r="125" ht="14.25" customHeight="1">
      <c r="B125" s="239"/>
      <c r="C125" s="195"/>
      <c r="G125" s="195"/>
    </row>
    <row r="126" ht="14.25" customHeight="1">
      <c r="B126" s="239"/>
      <c r="C126" s="195"/>
      <c r="G126" s="195"/>
    </row>
    <row r="127" ht="14.25" customHeight="1">
      <c r="B127" s="239"/>
      <c r="C127" s="195"/>
      <c r="G127" s="195"/>
    </row>
    <row r="128" ht="14.25" customHeight="1">
      <c r="B128" s="239"/>
      <c r="C128" s="195"/>
      <c r="G128" s="195"/>
    </row>
    <row r="129" ht="14.25" customHeight="1">
      <c r="B129" s="239"/>
      <c r="C129" s="195"/>
      <c r="G129" s="195"/>
    </row>
    <row r="130" ht="14.25" customHeight="1">
      <c r="B130" s="239"/>
      <c r="C130" s="195"/>
      <c r="G130" s="195"/>
    </row>
    <row r="131" ht="14.25" customHeight="1">
      <c r="B131" s="239"/>
      <c r="C131" s="195"/>
      <c r="G131" s="195"/>
    </row>
    <row r="132" ht="14.25" customHeight="1">
      <c r="B132" s="239"/>
      <c r="C132" s="195"/>
      <c r="G132" s="195"/>
    </row>
    <row r="133" ht="14.25" customHeight="1">
      <c r="B133" s="239"/>
      <c r="C133" s="195"/>
      <c r="G133" s="195"/>
    </row>
    <row r="134" ht="14.25" customHeight="1">
      <c r="B134" s="239"/>
      <c r="C134" s="195"/>
      <c r="G134" s="195"/>
    </row>
    <row r="135" ht="14.25" customHeight="1">
      <c r="B135" s="239"/>
      <c r="C135" s="195"/>
      <c r="G135" s="195"/>
    </row>
    <row r="136" ht="14.25" customHeight="1">
      <c r="B136" s="239"/>
      <c r="C136" s="195"/>
      <c r="G136" s="195"/>
    </row>
    <row r="137" ht="14.25" customHeight="1">
      <c r="B137" s="239"/>
      <c r="C137" s="195"/>
      <c r="G137" s="195"/>
    </row>
    <row r="138" ht="14.25" customHeight="1">
      <c r="B138" s="239"/>
      <c r="C138" s="195"/>
      <c r="G138" s="195"/>
    </row>
    <row r="139" ht="14.25" customHeight="1">
      <c r="B139" s="239"/>
      <c r="C139" s="195"/>
      <c r="G139" s="195"/>
    </row>
    <row r="140" ht="14.25" customHeight="1">
      <c r="B140" s="239"/>
      <c r="C140" s="195"/>
      <c r="G140" s="195"/>
    </row>
    <row r="141" ht="14.25" customHeight="1">
      <c r="B141" s="239"/>
      <c r="C141" s="195"/>
      <c r="G141" s="195"/>
    </row>
    <row r="142" ht="14.25" customHeight="1">
      <c r="B142" s="239"/>
      <c r="C142" s="195"/>
      <c r="G142" s="195"/>
    </row>
    <row r="143" ht="14.25" customHeight="1">
      <c r="B143" s="239"/>
      <c r="C143" s="195"/>
      <c r="G143" s="195"/>
    </row>
    <row r="144" ht="14.25" customHeight="1">
      <c r="B144" s="239"/>
      <c r="C144" s="195"/>
      <c r="G144" s="195"/>
    </row>
    <row r="145" ht="14.25" customHeight="1">
      <c r="B145" s="239"/>
      <c r="C145" s="195"/>
      <c r="G145" s="195"/>
    </row>
    <row r="146" ht="14.25" customHeight="1">
      <c r="B146" s="239"/>
      <c r="C146" s="195"/>
      <c r="G146" s="195"/>
    </row>
    <row r="147" ht="14.25" customHeight="1">
      <c r="B147" s="239"/>
      <c r="C147" s="195"/>
      <c r="G147" s="195"/>
    </row>
    <row r="148" ht="14.25" customHeight="1">
      <c r="B148" s="239"/>
      <c r="C148" s="195"/>
      <c r="G148" s="195"/>
    </row>
    <row r="149" ht="14.25" customHeight="1">
      <c r="B149" s="239"/>
      <c r="C149" s="195"/>
      <c r="G149" s="195"/>
    </row>
    <row r="150" ht="14.25" customHeight="1">
      <c r="B150" s="239"/>
      <c r="C150" s="195"/>
      <c r="G150" s="195"/>
    </row>
    <row r="151" ht="14.25" customHeight="1">
      <c r="B151" s="239"/>
      <c r="C151" s="195"/>
      <c r="G151" s="195"/>
    </row>
    <row r="152" ht="14.25" customHeight="1">
      <c r="B152" s="239"/>
      <c r="C152" s="195"/>
      <c r="G152" s="195"/>
    </row>
    <row r="153" ht="14.25" customHeight="1">
      <c r="B153" s="239"/>
      <c r="C153" s="195"/>
      <c r="G153" s="195"/>
    </row>
    <row r="154" ht="14.25" customHeight="1">
      <c r="B154" s="239"/>
      <c r="C154" s="195"/>
      <c r="G154" s="195"/>
    </row>
    <row r="155" ht="14.25" customHeight="1">
      <c r="B155" s="239"/>
      <c r="C155" s="195"/>
      <c r="G155" s="195"/>
    </row>
    <row r="156" ht="14.25" customHeight="1">
      <c r="B156" s="239"/>
      <c r="C156" s="195"/>
      <c r="G156" s="195"/>
    </row>
    <row r="157" ht="14.25" customHeight="1">
      <c r="B157" s="239"/>
      <c r="C157" s="195"/>
      <c r="G157" s="195"/>
    </row>
    <row r="158" ht="14.25" customHeight="1">
      <c r="B158" s="239"/>
      <c r="C158" s="195"/>
      <c r="G158" s="195"/>
    </row>
    <row r="159" ht="14.25" customHeight="1">
      <c r="B159" s="239"/>
      <c r="C159" s="195"/>
      <c r="G159" s="195"/>
    </row>
    <row r="160" ht="14.25" customHeight="1">
      <c r="B160" s="239"/>
      <c r="C160" s="195"/>
      <c r="G160" s="195"/>
    </row>
    <row r="161" ht="14.25" customHeight="1">
      <c r="B161" s="239"/>
      <c r="C161" s="195"/>
      <c r="G161" s="195"/>
    </row>
    <row r="162" ht="14.25" customHeight="1">
      <c r="B162" s="239"/>
      <c r="C162" s="195"/>
      <c r="G162" s="195"/>
    </row>
    <row r="163" ht="14.25" customHeight="1">
      <c r="B163" s="239"/>
      <c r="C163" s="195"/>
      <c r="G163" s="195"/>
    </row>
    <row r="164" ht="14.25" customHeight="1">
      <c r="B164" s="239"/>
      <c r="C164" s="195"/>
      <c r="G164" s="195"/>
    </row>
    <row r="165" ht="14.25" customHeight="1">
      <c r="B165" s="239"/>
      <c r="C165" s="195"/>
      <c r="G165" s="195"/>
    </row>
    <row r="166" ht="14.25" customHeight="1">
      <c r="B166" s="239"/>
      <c r="C166" s="195"/>
      <c r="G166" s="195"/>
    </row>
    <row r="167" ht="14.25" customHeight="1">
      <c r="B167" s="239"/>
      <c r="C167" s="195"/>
      <c r="G167" s="195"/>
    </row>
    <row r="168" ht="14.25" customHeight="1">
      <c r="B168" s="239"/>
      <c r="C168" s="195"/>
      <c r="G168" s="195"/>
    </row>
    <row r="169" ht="14.25" customHeight="1">
      <c r="B169" s="239"/>
      <c r="C169" s="195"/>
      <c r="G169" s="195"/>
    </row>
    <row r="170" ht="14.25" customHeight="1">
      <c r="B170" s="239"/>
      <c r="C170" s="195"/>
      <c r="G170" s="195"/>
    </row>
    <row r="171" ht="14.25" customHeight="1">
      <c r="B171" s="239"/>
      <c r="C171" s="195"/>
      <c r="G171" s="195"/>
    </row>
    <row r="172" ht="14.25" customHeight="1">
      <c r="B172" s="239"/>
      <c r="C172" s="195"/>
      <c r="G172" s="195"/>
    </row>
    <row r="173" ht="14.25" customHeight="1">
      <c r="B173" s="239"/>
      <c r="C173" s="195"/>
      <c r="G173" s="195"/>
    </row>
    <row r="174" ht="14.25" customHeight="1">
      <c r="B174" s="239"/>
      <c r="C174" s="195"/>
      <c r="G174" s="195"/>
    </row>
    <row r="175" ht="14.25" customHeight="1">
      <c r="B175" s="239"/>
      <c r="C175" s="195"/>
      <c r="G175" s="195"/>
    </row>
    <row r="176" ht="14.25" customHeight="1">
      <c r="B176" s="239"/>
      <c r="C176" s="195"/>
      <c r="G176" s="195"/>
    </row>
    <row r="177" ht="14.25" customHeight="1">
      <c r="B177" s="239"/>
      <c r="C177" s="195"/>
      <c r="G177" s="195"/>
    </row>
    <row r="178" ht="14.25" customHeight="1">
      <c r="B178" s="239"/>
      <c r="C178" s="195"/>
      <c r="G178" s="195"/>
    </row>
    <row r="179" ht="14.25" customHeight="1">
      <c r="B179" s="239"/>
      <c r="C179" s="195"/>
      <c r="G179" s="195"/>
    </row>
    <row r="180" ht="14.25" customHeight="1">
      <c r="B180" s="239"/>
      <c r="C180" s="195"/>
      <c r="G180" s="195"/>
    </row>
    <row r="181" ht="14.25" customHeight="1">
      <c r="B181" s="239"/>
      <c r="C181" s="195"/>
      <c r="G181" s="195"/>
    </row>
    <row r="182" ht="14.25" customHeight="1">
      <c r="B182" s="239"/>
      <c r="C182" s="195"/>
      <c r="G182" s="195"/>
    </row>
    <row r="183" ht="14.25" customHeight="1">
      <c r="B183" s="239"/>
      <c r="C183" s="195"/>
      <c r="G183" s="195"/>
    </row>
    <row r="184" ht="14.25" customHeight="1">
      <c r="B184" s="239"/>
      <c r="C184" s="195"/>
      <c r="G184" s="195"/>
    </row>
    <row r="185" ht="14.25" customHeight="1">
      <c r="B185" s="239"/>
      <c r="C185" s="195"/>
      <c r="G185" s="195"/>
    </row>
    <row r="186" ht="14.25" customHeight="1">
      <c r="B186" s="239"/>
      <c r="C186" s="195"/>
      <c r="G186" s="195"/>
    </row>
    <row r="187" ht="14.25" customHeight="1">
      <c r="B187" s="239"/>
      <c r="C187" s="195"/>
      <c r="G187" s="195"/>
    </row>
    <row r="188" ht="14.25" customHeight="1">
      <c r="B188" s="239"/>
      <c r="C188" s="195"/>
      <c r="G188" s="195"/>
    </row>
    <row r="189" ht="14.25" customHeight="1">
      <c r="B189" s="239"/>
      <c r="C189" s="195"/>
      <c r="G189" s="195"/>
    </row>
    <row r="190" ht="14.25" customHeight="1">
      <c r="B190" s="239"/>
      <c r="C190" s="195"/>
      <c r="G190" s="195"/>
    </row>
    <row r="191" ht="14.25" customHeight="1">
      <c r="B191" s="239"/>
      <c r="C191" s="195"/>
      <c r="G191" s="195"/>
    </row>
    <row r="192" ht="14.25" customHeight="1">
      <c r="B192" s="239"/>
      <c r="C192" s="195"/>
      <c r="G192" s="195"/>
    </row>
    <row r="193" ht="14.25" customHeight="1">
      <c r="B193" s="239"/>
      <c r="C193" s="195"/>
      <c r="G193" s="195"/>
    </row>
    <row r="194" ht="14.25" customHeight="1">
      <c r="B194" s="239"/>
      <c r="C194" s="195"/>
      <c r="G194" s="195"/>
    </row>
    <row r="195" ht="14.25" customHeight="1">
      <c r="B195" s="239"/>
      <c r="C195" s="195"/>
      <c r="G195" s="195"/>
    </row>
    <row r="196" ht="14.25" customHeight="1">
      <c r="B196" s="239"/>
      <c r="C196" s="195"/>
      <c r="G196" s="195"/>
    </row>
    <row r="197" ht="14.25" customHeight="1">
      <c r="B197" s="239"/>
      <c r="C197" s="195"/>
      <c r="G197" s="195"/>
    </row>
    <row r="198" ht="14.25" customHeight="1">
      <c r="B198" s="239"/>
      <c r="C198" s="195"/>
      <c r="G198" s="195"/>
    </row>
    <row r="199" ht="14.25" customHeight="1">
      <c r="B199" s="239"/>
      <c r="C199" s="195"/>
      <c r="G199" s="195"/>
    </row>
    <row r="200" ht="14.25" customHeight="1">
      <c r="B200" s="239"/>
      <c r="C200" s="195"/>
      <c r="G200" s="195"/>
    </row>
    <row r="201" ht="14.25" customHeight="1">
      <c r="B201" s="239"/>
      <c r="C201" s="195"/>
      <c r="G201" s="195"/>
    </row>
    <row r="202" ht="14.25" customHeight="1">
      <c r="B202" s="239"/>
      <c r="C202" s="195"/>
      <c r="G202" s="195"/>
    </row>
    <row r="203" ht="14.25" customHeight="1">
      <c r="B203" s="239"/>
      <c r="C203" s="195"/>
      <c r="G203" s="195"/>
    </row>
    <row r="204" ht="14.25" customHeight="1">
      <c r="B204" s="239"/>
      <c r="C204" s="195"/>
      <c r="G204" s="195"/>
    </row>
    <row r="205" ht="14.25" customHeight="1">
      <c r="B205" s="239"/>
      <c r="C205" s="195"/>
      <c r="G205" s="195"/>
    </row>
    <row r="206" ht="14.25" customHeight="1">
      <c r="B206" s="239"/>
      <c r="C206" s="195"/>
      <c r="G206" s="195"/>
    </row>
    <row r="207" ht="14.25" customHeight="1">
      <c r="B207" s="239"/>
      <c r="C207" s="195"/>
      <c r="G207" s="195"/>
    </row>
    <row r="208" ht="14.25" customHeight="1">
      <c r="B208" s="239"/>
      <c r="C208" s="195"/>
      <c r="G208" s="195"/>
    </row>
    <row r="209" ht="14.25" customHeight="1">
      <c r="B209" s="239"/>
      <c r="C209" s="195"/>
      <c r="G209" s="195"/>
    </row>
    <row r="210" ht="14.25" customHeight="1">
      <c r="B210" s="239"/>
      <c r="C210" s="195"/>
      <c r="G210" s="195"/>
    </row>
    <row r="211" ht="14.25" customHeight="1">
      <c r="B211" s="239"/>
      <c r="C211" s="195"/>
      <c r="G211" s="195"/>
    </row>
    <row r="212" ht="14.25" customHeight="1">
      <c r="B212" s="239"/>
      <c r="C212" s="195"/>
      <c r="G212" s="195"/>
    </row>
    <row r="213" ht="14.25" customHeight="1">
      <c r="B213" s="239"/>
      <c r="C213" s="195"/>
      <c r="G213" s="195"/>
    </row>
    <row r="214" ht="14.25" customHeight="1">
      <c r="B214" s="239"/>
      <c r="C214" s="195"/>
      <c r="G214" s="195"/>
    </row>
    <row r="215" ht="14.25" customHeight="1">
      <c r="B215" s="239"/>
      <c r="C215" s="195"/>
      <c r="G215" s="195"/>
    </row>
    <row r="216" ht="14.25" customHeight="1">
      <c r="B216" s="239"/>
      <c r="C216" s="195"/>
      <c r="G216" s="195"/>
    </row>
    <row r="217" ht="14.25" customHeight="1">
      <c r="B217" s="239"/>
      <c r="C217" s="195"/>
      <c r="G217" s="195"/>
    </row>
    <row r="218" ht="14.25" customHeight="1">
      <c r="B218" s="239"/>
      <c r="C218" s="195"/>
      <c r="G218" s="195"/>
    </row>
    <row r="219" ht="14.25" customHeight="1">
      <c r="B219" s="239"/>
      <c r="C219" s="195"/>
      <c r="G219" s="195"/>
    </row>
    <row r="220" ht="14.25" customHeight="1">
      <c r="B220" s="239"/>
      <c r="C220" s="195"/>
      <c r="G220" s="195"/>
    </row>
    <row r="221" ht="14.25" customHeight="1">
      <c r="B221" s="239"/>
      <c r="C221" s="195"/>
      <c r="G221" s="195"/>
    </row>
    <row r="222" ht="14.25" customHeight="1">
      <c r="B222" s="239"/>
      <c r="C222" s="195"/>
      <c r="G222" s="195"/>
    </row>
    <row r="223" ht="14.25" customHeight="1">
      <c r="B223" s="239"/>
      <c r="C223" s="195"/>
      <c r="G223" s="195"/>
    </row>
    <row r="224" ht="14.25" customHeight="1">
      <c r="B224" s="239"/>
      <c r="C224" s="195"/>
      <c r="G224" s="195"/>
    </row>
    <row r="225" ht="14.25" customHeight="1">
      <c r="B225" s="239"/>
      <c r="C225" s="195"/>
      <c r="G225" s="195"/>
    </row>
    <row r="226" ht="14.25" customHeight="1">
      <c r="B226" s="239"/>
      <c r="C226" s="195"/>
      <c r="G226" s="195"/>
    </row>
    <row r="227" ht="14.25" customHeight="1">
      <c r="B227" s="239"/>
      <c r="C227" s="195"/>
      <c r="G227" s="195"/>
    </row>
    <row r="228" ht="14.25" customHeight="1">
      <c r="B228" s="239"/>
      <c r="C228" s="195"/>
      <c r="G228" s="195"/>
    </row>
    <row r="229" ht="14.25" customHeight="1">
      <c r="B229" s="239"/>
      <c r="C229" s="195"/>
      <c r="G229" s="195"/>
    </row>
    <row r="230" ht="14.25" customHeight="1">
      <c r="B230" s="239"/>
      <c r="C230" s="195"/>
      <c r="G230" s="195"/>
    </row>
    <row r="231" ht="14.25" customHeight="1">
      <c r="B231" s="239"/>
      <c r="C231" s="195"/>
      <c r="G231" s="195"/>
    </row>
    <row r="232" ht="14.25" customHeight="1">
      <c r="B232" s="239"/>
      <c r="C232" s="195"/>
      <c r="G232" s="195"/>
    </row>
    <row r="233" ht="14.25" customHeight="1">
      <c r="B233" s="239"/>
      <c r="C233" s="195"/>
      <c r="G233" s="195"/>
    </row>
    <row r="234" ht="14.25" customHeight="1">
      <c r="B234" s="239"/>
      <c r="C234" s="195"/>
      <c r="G234" s="195"/>
    </row>
    <row r="235" ht="14.25" customHeight="1">
      <c r="B235" s="239"/>
      <c r="C235" s="195"/>
      <c r="G235" s="195"/>
    </row>
    <row r="236" ht="14.25" customHeight="1">
      <c r="B236" s="239"/>
      <c r="C236" s="195"/>
      <c r="G236" s="195"/>
    </row>
    <row r="237" ht="14.25" customHeight="1">
      <c r="B237" s="239"/>
      <c r="C237" s="195"/>
      <c r="G237" s="195"/>
    </row>
    <row r="238" ht="14.25" customHeight="1">
      <c r="B238" s="239"/>
      <c r="C238" s="195"/>
      <c r="G238" s="195"/>
    </row>
    <row r="239" ht="14.25" customHeight="1">
      <c r="B239" s="239"/>
      <c r="C239" s="195"/>
      <c r="G239" s="195"/>
    </row>
    <row r="240" ht="14.25" customHeight="1">
      <c r="B240" s="239"/>
      <c r="C240" s="195"/>
      <c r="G240" s="195"/>
    </row>
    <row r="241" ht="14.25" customHeight="1">
      <c r="B241" s="239"/>
      <c r="C241" s="195"/>
      <c r="G241" s="195"/>
    </row>
    <row r="242" ht="14.25" customHeight="1">
      <c r="B242" s="239"/>
      <c r="C242" s="195"/>
      <c r="G242" s="195"/>
    </row>
    <row r="243" ht="14.25" customHeight="1">
      <c r="B243" s="239"/>
      <c r="C243" s="195"/>
      <c r="G243" s="195"/>
    </row>
    <row r="244" ht="14.25" customHeight="1">
      <c r="B244" s="239"/>
      <c r="C244" s="195"/>
      <c r="G244" s="195"/>
    </row>
    <row r="245" ht="14.25" customHeight="1">
      <c r="B245" s="239"/>
      <c r="C245" s="195"/>
      <c r="G245" s="195"/>
    </row>
    <row r="246" ht="14.25" customHeight="1">
      <c r="B246" s="239"/>
      <c r="C246" s="195"/>
      <c r="G246" s="195"/>
    </row>
    <row r="247" ht="14.25" customHeight="1">
      <c r="B247" s="239"/>
      <c r="C247" s="195"/>
      <c r="G247" s="195"/>
    </row>
    <row r="248" ht="14.25" customHeight="1">
      <c r="B248" s="239"/>
      <c r="C248" s="195"/>
      <c r="G248" s="195"/>
    </row>
    <row r="249" ht="14.25" customHeight="1">
      <c r="B249" s="239"/>
      <c r="C249" s="195"/>
      <c r="G249" s="195"/>
    </row>
    <row r="250" ht="14.25" customHeight="1">
      <c r="B250" s="239"/>
      <c r="C250" s="195"/>
      <c r="G250" s="195"/>
    </row>
    <row r="251" ht="14.25" customHeight="1">
      <c r="B251" s="239"/>
      <c r="C251" s="195"/>
      <c r="G251" s="195"/>
    </row>
    <row r="252" ht="14.25" customHeight="1">
      <c r="B252" s="239"/>
      <c r="C252" s="195"/>
      <c r="G252" s="195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K$39">
    <filterColumn colId="3">
      <filters>
        <filter val="JOURNEY'S END RE DES:DIRECT DEP ID:XXXXX69317989BM INDN:DIAZ BARRAGAN,DARIO CO ID:XXXXX11101 PPD"/>
        <filter val="JOURNEY'S END RE DES:DIRECT DEP ID:XXXXX07040829BM INDN:DIAZ BARRAGAN,DARIO CO ID:XXXXX11101 PPD"/>
        <filter val="JOURNEY'S END RE DES:DIRECT DEP ID:XXXXX08235659BM INDN:DIAZ BARRAGAN,DARIO CO ID:XXXXX11101 PPD"/>
      </filters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2016-11-30T00:04:34Z</dcterms:created>
  <dc:creator>Frank Diaz Barragan</dc:creator>
</cp:coreProperties>
</file>