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rank\OneDrive\Escritorio\Frankdiaz1194\"/>
    </mc:Choice>
  </mc:AlternateContent>
  <xr:revisionPtr revIDLastSave="0" documentId="13_ncr:1_{4AD77428-B54F-450A-BEE9-FA186C724C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ly" sheetId="1" r:id="rId1"/>
    <sheet name="Stocks" sheetId="2" r:id="rId2"/>
    <sheet name="JAN" sheetId="3" r:id="rId3"/>
    <sheet name="FEB" sheetId="4" r:id="rId4"/>
    <sheet name="MAR" sheetId="5" r:id="rId5"/>
    <sheet name="APR" sheetId="6" r:id="rId6"/>
    <sheet name="MAY" sheetId="7" r:id="rId7"/>
    <sheet name="JUN" sheetId="16" r:id="rId8"/>
    <sheet name="JUL" sheetId="10" r:id="rId9"/>
    <sheet name="AUG" sheetId="11" r:id="rId10"/>
    <sheet name="SEP" sheetId="12" r:id="rId11"/>
    <sheet name="OCT" sheetId="13" r:id="rId12"/>
    <sheet name="NOV" sheetId="14" r:id="rId13"/>
    <sheet name="DEC" sheetId="15" r:id="rId14"/>
  </sheets>
  <definedNames>
    <definedName name="_xlnm._FilterDatabase" localSheetId="9" hidden="1">AUG!$A$6:$I$43</definedName>
    <definedName name="_xlnm._FilterDatabase" localSheetId="13" hidden="1">DEC!$A$7:$K$39</definedName>
    <definedName name="_xlnm._FilterDatabase" localSheetId="3" hidden="1">FEB!$A$7:$K$36</definedName>
    <definedName name="_xlnm._FilterDatabase" localSheetId="2" hidden="1">JAN!$A$7:$J$29</definedName>
    <definedName name="_xlnm._FilterDatabase" localSheetId="8" hidden="1">JUL!$A$7:$H$40</definedName>
    <definedName name="_xlnm._FilterDatabase" localSheetId="12" hidden="1">NOV!$A$7:$G$28</definedName>
    <definedName name="_xlnm._FilterDatabase" localSheetId="11" hidden="1">OCT!$A$7:$G$45</definedName>
    <definedName name="_xlnm._FilterDatabase" localSheetId="10" hidden="1">SEP!$A$7:$Z$39</definedName>
    <definedName name="credit_processing" localSheetId="11">#REF!</definedName>
    <definedName name="deposit" localSheetId="5">APR!$C$13</definedName>
    <definedName name="deposit" localSheetId="7">JUN!$C$15</definedName>
    <definedName name="deposit" localSheetId="6">MAY!$C$15</definedName>
    <definedName name="processing_dlg_link_5" localSheetId="11">OCT!$A$14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MhcJ99UWqzHBkceTJNdr1OQvyozvN15qFuMVGd7SnQI="/>
    </ext>
  </extLst>
</workbook>
</file>

<file path=xl/calcChain.xml><?xml version="1.0" encoding="utf-8"?>
<calcChain xmlns="http://schemas.openxmlformats.org/spreadsheetml/2006/main">
  <c r="F25" i="1" l="1"/>
  <c r="D25" i="1"/>
  <c r="E25" i="1"/>
  <c r="B36" i="1"/>
  <c r="B37" i="1"/>
  <c r="E19" i="1"/>
  <c r="C19" i="1"/>
  <c r="G18" i="1"/>
  <c r="C18" i="1"/>
  <c r="I18" i="1"/>
  <c r="G17" i="1"/>
  <c r="H18" i="1"/>
  <c r="H17" i="1"/>
  <c r="E39" i="1"/>
  <c r="E38" i="1"/>
  <c r="E36" i="1"/>
  <c r="E37" i="1"/>
  <c r="H45" i="1"/>
  <c r="I45" i="1" s="1"/>
  <c r="H38" i="1"/>
  <c r="B33" i="1"/>
  <c r="B27" i="1"/>
  <c r="K71" i="16"/>
  <c r="J13" i="16"/>
  <c r="H11" i="16"/>
  <c r="G11" i="16"/>
  <c r="H13" i="16"/>
  <c r="F13" i="16"/>
  <c r="G13" i="16"/>
  <c r="I13" i="16"/>
  <c r="G38" i="1"/>
  <c r="H7" i="16"/>
  <c r="J7" i="16"/>
  <c r="H10" i="7"/>
  <c r="G10" i="7"/>
  <c r="G4" i="16"/>
  <c r="J71" i="16"/>
  <c r="H68" i="16"/>
  <c r="D58" i="16"/>
  <c r="H5" i="16"/>
  <c r="I5" i="16"/>
  <c r="D31" i="16"/>
  <c r="G6" i="16"/>
  <c r="I71" i="16"/>
  <c r="H4" i="16"/>
  <c r="E81" i="16"/>
  <c r="F71" i="16" s="1"/>
  <c r="H71" i="16"/>
  <c r="G71" i="16"/>
  <c r="J70" i="16"/>
  <c r="I70" i="16"/>
  <c r="H70" i="16"/>
  <c r="G70" i="16"/>
  <c r="M51" i="16"/>
  <c r="H50" i="16"/>
  <c r="L46" i="16"/>
  <c r="K45" i="16"/>
  <c r="K44" i="16"/>
  <c r="J38" i="16"/>
  <c r="K37" i="16"/>
  <c r="L36" i="16"/>
  <c r="L50" i="16" s="1"/>
  <c r="K36" i="16"/>
  <c r="K50" i="16" s="1"/>
  <c r="I36" i="16"/>
  <c r="I50" i="16" s="1"/>
  <c r="G9" i="16"/>
  <c r="D21" i="1"/>
  <c r="E45" i="1"/>
  <c r="H37" i="1"/>
  <c r="D57" i="7"/>
  <c r="J70" i="7"/>
  <c r="H67" i="7"/>
  <c r="J12" i="7"/>
  <c r="G6" i="7"/>
  <c r="G7" i="7" s="1"/>
  <c r="G37" i="1"/>
  <c r="I5" i="7"/>
  <c r="I4" i="7"/>
  <c r="H4" i="7"/>
  <c r="E80" i="7"/>
  <c r="D30" i="7"/>
  <c r="H5" i="7"/>
  <c r="G4" i="7"/>
  <c r="F34" i="1"/>
  <c r="F33" i="1"/>
  <c r="B28" i="1"/>
  <c r="D19" i="1"/>
  <c r="F19" i="1"/>
  <c r="H46" i="1" l="1"/>
  <c r="I46" i="1" s="1"/>
  <c r="H8" i="16"/>
  <c r="I4" i="16"/>
  <c r="G8" i="16"/>
  <c r="I9" i="16" s="1"/>
  <c r="J6" i="16"/>
  <c r="I6" i="16"/>
  <c r="I7" i="16" s="1"/>
  <c r="M50" i="16"/>
  <c r="M52" i="16" s="1"/>
  <c r="F45" i="1"/>
  <c r="F46" i="1" s="1"/>
  <c r="G30" i="1"/>
  <c r="H10" i="6"/>
  <c r="G10" i="6"/>
  <c r="G6" i="6"/>
  <c r="H7" i="6"/>
  <c r="G69" i="1"/>
  <c r="E5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G16" i="15" s="1"/>
  <c r="E43" i="14"/>
  <c r="E28" i="14"/>
  <c r="B28" i="14" s="1"/>
  <c r="C28" i="14"/>
  <c r="G27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G19" i="14"/>
  <c r="C19" i="14"/>
  <c r="B19" i="14"/>
  <c r="C18" i="14"/>
  <c r="B18" i="14"/>
  <c r="C17" i="14"/>
  <c r="B17" i="14"/>
  <c r="C16" i="14"/>
  <c r="B16" i="14"/>
  <c r="G15" i="14"/>
  <c r="C15" i="14"/>
  <c r="B15" i="14"/>
  <c r="C14" i="14"/>
  <c r="B14" i="14"/>
  <c r="G13" i="14"/>
  <c r="C13" i="14"/>
  <c r="B13" i="14"/>
  <c r="C12" i="14"/>
  <c r="B12" i="14"/>
  <c r="G11" i="14"/>
  <c r="C11" i="14"/>
  <c r="B11" i="14"/>
  <c r="C10" i="14"/>
  <c r="B10" i="14"/>
  <c r="C9" i="14"/>
  <c r="B9" i="14"/>
  <c r="C8" i="14"/>
  <c r="B8" i="14"/>
  <c r="G16" i="14" s="1"/>
  <c r="E55" i="13"/>
  <c r="E34" i="13"/>
  <c r="C27" i="13"/>
  <c r="B27" i="13"/>
  <c r="G27" i="13" s="1"/>
  <c r="G26" i="13"/>
  <c r="C26" i="13"/>
  <c r="B26" i="13"/>
  <c r="G25" i="13"/>
  <c r="C25" i="13"/>
  <c r="B25" i="13"/>
  <c r="G24" i="13"/>
  <c r="C24" i="13"/>
  <c r="B24" i="13"/>
  <c r="G23" i="13"/>
  <c r="C23" i="13"/>
  <c r="B23" i="13"/>
  <c r="G22" i="13"/>
  <c r="C22" i="13"/>
  <c r="B22" i="13"/>
  <c r="G21" i="13"/>
  <c r="C21" i="13"/>
  <c r="B21" i="13"/>
  <c r="G20" i="13"/>
  <c r="C20" i="13"/>
  <c r="B20" i="13"/>
  <c r="C19" i="13"/>
  <c r="B19" i="13"/>
  <c r="G19" i="13" s="1"/>
  <c r="G18" i="13"/>
  <c r="C18" i="13"/>
  <c r="B18" i="13"/>
  <c r="C17" i="13"/>
  <c r="B17" i="13"/>
  <c r="G17" i="13" s="1"/>
  <c r="C16" i="13"/>
  <c r="B16" i="13"/>
  <c r="G16" i="13" s="1"/>
  <c r="C15" i="13"/>
  <c r="B15" i="13"/>
  <c r="G15" i="13" s="1"/>
  <c r="C14" i="13"/>
  <c r="B14" i="13"/>
  <c r="G14" i="13" s="1"/>
  <c r="C13" i="13"/>
  <c r="B13" i="13"/>
  <c r="G13" i="13" s="1"/>
  <c r="C12" i="13"/>
  <c r="B12" i="13"/>
  <c r="G12" i="13" s="1"/>
  <c r="C11" i="13"/>
  <c r="B11" i="13"/>
  <c r="G11" i="13" s="1"/>
  <c r="G10" i="13"/>
  <c r="C10" i="13"/>
  <c r="B10" i="13"/>
  <c r="G9" i="13"/>
  <c r="C9" i="13"/>
  <c r="B9" i="13"/>
  <c r="C8" i="13"/>
  <c r="E46" i="12"/>
  <c r="C39" i="12"/>
  <c r="B39" i="12"/>
  <c r="C38" i="12"/>
  <c r="B38" i="12"/>
  <c r="C37" i="12"/>
  <c r="B37" i="12"/>
  <c r="G37" i="12" s="1"/>
  <c r="G36" i="12"/>
  <c r="C36" i="12"/>
  <c r="B36" i="12"/>
  <c r="G35" i="12"/>
  <c r="C35" i="12"/>
  <c r="B35" i="12"/>
  <c r="C34" i="12"/>
  <c r="B34" i="12"/>
  <c r="G33" i="12"/>
  <c r="C33" i="12"/>
  <c r="B33" i="12"/>
  <c r="G32" i="12"/>
  <c r="C32" i="12"/>
  <c r="B32" i="12"/>
  <c r="G31" i="12"/>
  <c r="C31" i="12"/>
  <c r="B31" i="12"/>
  <c r="G30" i="12"/>
  <c r="C30" i="12"/>
  <c r="B30" i="12"/>
  <c r="C29" i="12"/>
  <c r="B29" i="12"/>
  <c r="G28" i="12"/>
  <c r="C28" i="12"/>
  <c r="B28" i="12"/>
  <c r="C27" i="12"/>
  <c r="B27" i="12"/>
  <c r="C26" i="12"/>
  <c r="B26" i="12"/>
  <c r="C25" i="12"/>
  <c r="B25" i="12"/>
  <c r="G24" i="12"/>
  <c r="C24" i="12"/>
  <c r="B24" i="12"/>
  <c r="C23" i="12"/>
  <c r="B23" i="12"/>
  <c r="G23" i="12" s="1"/>
  <c r="C22" i="12"/>
  <c r="B22" i="12"/>
  <c r="C21" i="12"/>
  <c r="B21" i="12"/>
  <c r="G21" i="12" s="1"/>
  <c r="G20" i="12"/>
  <c r="C20" i="12"/>
  <c r="B20" i="12"/>
  <c r="G19" i="12"/>
  <c r="C19" i="12"/>
  <c r="B19" i="12"/>
  <c r="C18" i="12"/>
  <c r="B18" i="12"/>
  <c r="G17" i="12"/>
  <c r="C17" i="12"/>
  <c r="B17" i="12"/>
  <c r="G16" i="12"/>
  <c r="C16" i="12"/>
  <c r="B16" i="12"/>
  <c r="G15" i="12"/>
  <c r="C15" i="12"/>
  <c r="B15" i="12"/>
  <c r="C14" i="12"/>
  <c r="B14" i="12"/>
  <c r="G14" i="12" s="1"/>
  <c r="C13" i="12"/>
  <c r="B13" i="12"/>
  <c r="G12" i="12"/>
  <c r="C12" i="12"/>
  <c r="B12" i="12"/>
  <c r="C11" i="12"/>
  <c r="B11" i="12"/>
  <c r="C10" i="12"/>
  <c r="B10" i="12"/>
  <c r="C9" i="12"/>
  <c r="B9" i="12"/>
  <c r="G8" i="12"/>
  <c r="C8" i="12"/>
  <c r="B8" i="12"/>
  <c r="G25" i="12" s="1"/>
  <c r="E47" i="11"/>
  <c r="E51" i="11" s="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G18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G29" i="11" s="1"/>
  <c r="C7" i="11"/>
  <c r="B7" i="11"/>
  <c r="E53" i="10"/>
  <c r="C40" i="10"/>
  <c r="B40" i="10"/>
  <c r="C39" i="10"/>
  <c r="B39" i="10"/>
  <c r="C38" i="10"/>
  <c r="B38" i="10"/>
  <c r="C37" i="10"/>
  <c r="B37" i="10"/>
  <c r="C36" i="10"/>
  <c r="B36" i="10"/>
  <c r="E35" i="10"/>
  <c r="B35" i="10" s="1"/>
  <c r="C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G26" i="10" s="1"/>
  <c r="G25" i="10"/>
  <c r="C25" i="10"/>
  <c r="B25" i="10"/>
  <c r="G24" i="10"/>
  <c r="C24" i="10"/>
  <c r="B24" i="10"/>
  <c r="G23" i="10"/>
  <c r="C23" i="10"/>
  <c r="B23" i="10"/>
  <c r="C22" i="10"/>
  <c r="B22" i="10"/>
  <c r="G22" i="10" s="1"/>
  <c r="C21" i="10"/>
  <c r="B21" i="10"/>
  <c r="G20" i="10"/>
  <c r="C20" i="10"/>
  <c r="B20" i="10"/>
  <c r="C19" i="10"/>
  <c r="B19" i="10"/>
  <c r="C18" i="10"/>
  <c r="B18" i="10"/>
  <c r="C17" i="10"/>
  <c r="B17" i="10"/>
  <c r="G16" i="10"/>
  <c r="C16" i="10"/>
  <c r="B16" i="10"/>
  <c r="C15" i="10"/>
  <c r="B15" i="10"/>
  <c r="G15" i="10" s="1"/>
  <c r="C14" i="10"/>
  <c r="B14" i="10"/>
  <c r="C13" i="10"/>
  <c r="B13" i="10"/>
  <c r="G13" i="10" s="1"/>
  <c r="G12" i="10"/>
  <c r="C12" i="10"/>
  <c r="B12" i="10"/>
  <c r="G11" i="10"/>
  <c r="C11" i="10"/>
  <c r="B11" i="10"/>
  <c r="C10" i="10"/>
  <c r="B10" i="10"/>
  <c r="G10" i="10" s="1"/>
  <c r="G9" i="10"/>
  <c r="C9" i="10"/>
  <c r="B9" i="10"/>
  <c r="G8" i="10"/>
  <c r="C8" i="10"/>
  <c r="B8" i="10"/>
  <c r="G17" i="10" s="1"/>
  <c r="F70" i="7"/>
  <c r="I70" i="7"/>
  <c r="H70" i="7"/>
  <c r="G70" i="7"/>
  <c r="J69" i="7"/>
  <c r="I69" i="7"/>
  <c r="H69" i="7"/>
  <c r="G69" i="7"/>
  <c r="M50" i="7"/>
  <c r="H49" i="7"/>
  <c r="L45" i="7"/>
  <c r="K44" i="7"/>
  <c r="K43" i="7"/>
  <c r="J37" i="7"/>
  <c r="K36" i="7"/>
  <c r="K49" i="7" s="1"/>
  <c r="L35" i="7"/>
  <c r="K35" i="7"/>
  <c r="I35" i="7"/>
  <c r="I49" i="7" s="1"/>
  <c r="F12" i="7"/>
  <c r="H7" i="7"/>
  <c r="I12" i="7" s="1"/>
  <c r="G12" i="7"/>
  <c r="E78" i="6"/>
  <c r="J68" i="6"/>
  <c r="I68" i="6"/>
  <c r="H68" i="6"/>
  <c r="G68" i="6"/>
  <c r="F68" i="6"/>
  <c r="H65" i="6" s="1"/>
  <c r="J67" i="6"/>
  <c r="I67" i="6"/>
  <c r="H67" i="6"/>
  <c r="G67" i="6"/>
  <c r="D55" i="6"/>
  <c r="G8" i="6" s="1"/>
  <c r="J7" i="6" s="1"/>
  <c r="M48" i="6"/>
  <c r="I47" i="6"/>
  <c r="H47" i="6"/>
  <c r="L43" i="6"/>
  <c r="K42" i="6"/>
  <c r="K41" i="6"/>
  <c r="J35" i="6"/>
  <c r="K34" i="6"/>
  <c r="L33" i="6"/>
  <c r="L47" i="6" s="1"/>
  <c r="K33" i="6"/>
  <c r="K47" i="6" s="1"/>
  <c r="M47" i="6" s="1"/>
  <c r="M49" i="6" s="1"/>
  <c r="I33" i="6"/>
  <c r="D28" i="6"/>
  <c r="E9" i="6"/>
  <c r="I12" i="6"/>
  <c r="J6" i="6"/>
  <c r="I5" i="6"/>
  <c r="G12" i="6" s="1"/>
  <c r="H5" i="6"/>
  <c r="H4" i="6"/>
  <c r="G4" i="6"/>
  <c r="E58" i="5"/>
  <c r="D52" i="5"/>
  <c r="G8" i="5" s="1"/>
  <c r="J7" i="5" s="1"/>
  <c r="L44" i="5"/>
  <c r="K44" i="5"/>
  <c r="M44" i="5" s="1"/>
  <c r="M46" i="5" s="1"/>
  <c r="I44" i="5"/>
  <c r="H44" i="5"/>
  <c r="L40" i="5"/>
  <c r="K39" i="5"/>
  <c r="K38" i="5"/>
  <c r="J32" i="5"/>
  <c r="K31" i="5"/>
  <c r="L30" i="5"/>
  <c r="K30" i="5"/>
  <c r="I30" i="5"/>
  <c r="H7" i="5"/>
  <c r="J6" i="5"/>
  <c r="I6" i="5"/>
  <c r="G6" i="5"/>
  <c r="F12" i="5" s="1"/>
  <c r="H5" i="5"/>
  <c r="I5" i="5" s="1"/>
  <c r="H4" i="5"/>
  <c r="G4" i="5"/>
  <c r="I4" i="5" s="1"/>
  <c r="E47" i="4"/>
  <c r="G36" i="4"/>
  <c r="C36" i="4"/>
  <c r="B36" i="4"/>
  <c r="G35" i="4"/>
  <c r="C35" i="4"/>
  <c r="B35" i="4"/>
  <c r="C34" i="4"/>
  <c r="B34" i="4"/>
  <c r="C33" i="4"/>
  <c r="B33" i="4"/>
  <c r="G33" i="4" s="1"/>
  <c r="C32" i="4"/>
  <c r="B32" i="4"/>
  <c r="G32" i="4" s="1"/>
  <c r="G31" i="4"/>
  <c r="C31" i="4"/>
  <c r="B31" i="4"/>
  <c r="C30" i="4"/>
  <c r="B30" i="4"/>
  <c r="G30" i="4" s="1"/>
  <c r="C29" i="4"/>
  <c r="B29" i="4"/>
  <c r="C28" i="4"/>
  <c r="B28" i="4"/>
  <c r="G28" i="4" s="1"/>
  <c r="C27" i="4"/>
  <c r="B27" i="4"/>
  <c r="G27" i="4" s="1"/>
  <c r="G26" i="4"/>
  <c r="C26" i="4"/>
  <c r="B26" i="4"/>
  <c r="C25" i="4"/>
  <c r="B25" i="4"/>
  <c r="G25" i="4" s="1"/>
  <c r="G24" i="4"/>
  <c r="C24" i="4"/>
  <c r="B24" i="4"/>
  <c r="G23" i="4"/>
  <c r="C23" i="4"/>
  <c r="B23" i="4"/>
  <c r="G22" i="4"/>
  <c r="C22" i="4"/>
  <c r="B22" i="4"/>
  <c r="C21" i="4"/>
  <c r="B21" i="4"/>
  <c r="G21" i="4" s="1"/>
  <c r="G20" i="4"/>
  <c r="C20" i="4"/>
  <c r="B20" i="4"/>
  <c r="G19" i="4"/>
  <c r="C19" i="4"/>
  <c r="B19" i="4"/>
  <c r="C18" i="4"/>
  <c r="B18" i="4"/>
  <c r="C17" i="4"/>
  <c r="B17" i="4"/>
  <c r="G17" i="4" s="1"/>
  <c r="C16" i="4"/>
  <c r="B16" i="4"/>
  <c r="G16" i="4" s="1"/>
  <c r="G15" i="4"/>
  <c r="C15" i="4"/>
  <c r="B15" i="4"/>
  <c r="C14" i="4"/>
  <c r="B14" i="4"/>
  <c r="G14" i="4" s="1"/>
  <c r="C13" i="4"/>
  <c r="B13" i="4"/>
  <c r="C12" i="4"/>
  <c r="B12" i="4"/>
  <c r="G12" i="4" s="1"/>
  <c r="C11" i="4"/>
  <c r="B11" i="4"/>
  <c r="G11" i="4" s="1"/>
  <c r="G10" i="4"/>
  <c r="C10" i="4"/>
  <c r="B10" i="4"/>
  <c r="C9" i="4"/>
  <c r="B9" i="4"/>
  <c r="G9" i="4" s="1"/>
  <c r="G8" i="4"/>
  <c r="C8" i="4"/>
  <c r="B8" i="4"/>
  <c r="G29" i="4" s="1"/>
  <c r="C40" i="3"/>
  <c r="K16" i="3"/>
  <c r="K14" i="3"/>
  <c r="K15" i="3" s="1"/>
  <c r="B4" i="3" s="1"/>
  <c r="C13" i="3"/>
  <c r="K48" i="2"/>
  <c r="K47" i="2"/>
  <c r="K46" i="2"/>
  <c r="K45" i="2"/>
  <c r="K44" i="2"/>
  <c r="K43" i="2"/>
  <c r="K42" i="2"/>
  <c r="K41" i="2"/>
  <c r="K40" i="2"/>
  <c r="M39" i="2"/>
  <c r="K39" i="2"/>
  <c r="M38" i="2"/>
  <c r="K38" i="2"/>
  <c r="M37" i="2"/>
  <c r="K37" i="2"/>
  <c r="J36" i="2"/>
  <c r="M36" i="2" s="1"/>
  <c r="M35" i="2"/>
  <c r="K35" i="2"/>
  <c r="J34" i="2"/>
  <c r="M34" i="2" s="1"/>
  <c r="M33" i="2"/>
  <c r="K33" i="2"/>
  <c r="M32" i="2"/>
  <c r="K32" i="2"/>
  <c r="M31" i="2"/>
  <c r="K31" i="2"/>
  <c r="M30" i="2"/>
  <c r="K30" i="2"/>
  <c r="M29" i="2"/>
  <c r="K29" i="2"/>
  <c r="M28" i="2"/>
  <c r="K28" i="2"/>
  <c r="M27" i="2"/>
  <c r="K27" i="2"/>
  <c r="M26" i="2"/>
  <c r="K26" i="2"/>
  <c r="M25" i="2"/>
  <c r="K25" i="2"/>
  <c r="M24" i="2"/>
  <c r="K24" i="2"/>
  <c r="M23" i="2"/>
  <c r="K23" i="2"/>
  <c r="M22" i="2"/>
  <c r="K22" i="2"/>
  <c r="M21" i="2"/>
  <c r="K21" i="2"/>
  <c r="M20" i="2"/>
  <c r="K20" i="2"/>
  <c r="M19" i="2"/>
  <c r="K19" i="2"/>
  <c r="M18" i="2"/>
  <c r="K18" i="2"/>
  <c r="M17" i="2"/>
  <c r="K17" i="2"/>
  <c r="M16" i="2"/>
  <c r="K16" i="2"/>
  <c r="M15" i="2"/>
  <c r="K15" i="2"/>
  <c r="M14" i="2"/>
  <c r="K14" i="2"/>
  <c r="M13" i="2"/>
  <c r="K13" i="2"/>
  <c r="M12" i="2"/>
  <c r="K12" i="2"/>
  <c r="K11" i="2"/>
  <c r="M10" i="2"/>
  <c r="K10" i="2"/>
  <c r="B10" i="2"/>
  <c r="P9" i="2"/>
  <c r="M9" i="2"/>
  <c r="K9" i="2"/>
  <c r="C7" i="2"/>
  <c r="E5" i="2"/>
  <c r="B5" i="2"/>
  <c r="D6" i="2" s="1"/>
  <c r="F4" i="2"/>
  <c r="D4" i="2"/>
  <c r="B4" i="2"/>
  <c r="A10" i="2" s="1"/>
  <c r="D3" i="2"/>
  <c r="F2" i="2"/>
  <c r="D2" i="2"/>
  <c r="B7" i="2" s="1"/>
  <c r="D7" i="2" s="1"/>
  <c r="B2" i="2"/>
  <c r="F74" i="1"/>
  <c r="D74" i="1"/>
  <c r="C74" i="1"/>
  <c r="E73" i="1"/>
  <c r="E72" i="1"/>
  <c r="B72" i="1"/>
  <c r="B74" i="1" s="1"/>
  <c r="E71" i="1"/>
  <c r="E70" i="1"/>
  <c r="E74" i="1" s="1"/>
  <c r="J45" i="1"/>
  <c r="H44" i="1"/>
  <c r="I44" i="1" s="1"/>
  <c r="G44" i="1"/>
  <c r="H43" i="1"/>
  <c r="I43" i="1" s="1"/>
  <c r="G43" i="1"/>
  <c r="H42" i="1"/>
  <c r="I42" i="1" s="1"/>
  <c r="H41" i="1"/>
  <c r="I41" i="1" s="1"/>
  <c r="H40" i="1"/>
  <c r="I40" i="1" s="1"/>
  <c r="G40" i="1"/>
  <c r="H39" i="1"/>
  <c r="I39" i="1" s="1"/>
  <c r="G39" i="1"/>
  <c r="I38" i="1"/>
  <c r="M37" i="1"/>
  <c r="I37" i="1"/>
  <c r="H36" i="1"/>
  <c r="K36" i="1" s="1"/>
  <c r="G36" i="1"/>
  <c r="H35" i="1"/>
  <c r="M46" i="1" s="1"/>
  <c r="E35" i="1"/>
  <c r="M34" i="1"/>
  <c r="H34" i="1"/>
  <c r="I34" i="1" s="1"/>
  <c r="G34" i="1"/>
  <c r="E34" i="1"/>
  <c r="M33" i="1"/>
  <c r="H33" i="1"/>
  <c r="F31" i="1"/>
  <c r="J29" i="1"/>
  <c r="J28" i="1"/>
  <c r="J27" i="1"/>
  <c r="J26" i="1"/>
  <c r="J25" i="1"/>
  <c r="J24" i="1"/>
  <c r="J23" i="1"/>
  <c r="D23" i="1"/>
  <c r="F9" i="1"/>
  <c r="D9" i="1"/>
  <c r="B9" i="1"/>
  <c r="M7" i="1"/>
  <c r="I6" i="1"/>
  <c r="I8" i="1" s="1"/>
  <c r="J5" i="1"/>
  <c r="J4" i="1"/>
  <c r="E17" i="1" l="1"/>
  <c r="E91" i="16"/>
  <c r="E93" i="16"/>
  <c r="G41" i="1"/>
  <c r="G42" i="1"/>
  <c r="E46" i="1"/>
  <c r="G33" i="1"/>
  <c r="H12" i="7"/>
  <c r="L49" i="7"/>
  <c r="M49" i="7" s="1"/>
  <c r="M51" i="7" s="1"/>
  <c r="G7" i="6"/>
  <c r="I8" i="6" s="1"/>
  <c r="N9" i="2" a="1"/>
  <c r="N9" i="2" s="1"/>
  <c r="J6" i="7"/>
  <c r="I6" i="7"/>
  <c r="M35" i="1"/>
  <c r="O9" i="2"/>
  <c r="Q9" i="2" s="1"/>
  <c r="G9" i="5"/>
  <c r="I9" i="5" s="1"/>
  <c r="I7" i="5"/>
  <c r="G10" i="5" s="1"/>
  <c r="E65" i="5" s="1"/>
  <c r="H12" i="5"/>
  <c r="G12" i="5"/>
  <c r="H9" i="5"/>
  <c r="G18" i="10"/>
  <c r="G20" i="11"/>
  <c r="G36" i="11"/>
  <c r="G10" i="12"/>
  <c r="G26" i="12"/>
  <c r="G22" i="14"/>
  <c r="G11" i="15"/>
  <c r="G34" i="11"/>
  <c r="J46" i="1"/>
  <c r="D24" i="1"/>
  <c r="G9" i="6" s="1"/>
  <c r="I35" i="1"/>
  <c r="M44" i="1" s="1"/>
  <c r="G15" i="11"/>
  <c r="G31" i="11"/>
  <c r="G17" i="14"/>
  <c r="G14" i="11"/>
  <c r="G30" i="11"/>
  <c r="G35" i="1"/>
  <c r="C17" i="1"/>
  <c r="G42" i="11"/>
  <c r="G12" i="14"/>
  <c r="G17" i="15"/>
  <c r="K36" i="2"/>
  <c r="G9" i="11"/>
  <c r="G8" i="7"/>
  <c r="J7" i="7" s="1"/>
  <c r="E4" i="2"/>
  <c r="G18" i="4"/>
  <c r="G34" i="4"/>
  <c r="G7" i="5"/>
  <c r="I8" i="5" s="1"/>
  <c r="I4" i="6"/>
  <c r="F12" i="6"/>
  <c r="G19" i="10"/>
  <c r="G21" i="11"/>
  <c r="G37" i="11"/>
  <c r="G11" i="12"/>
  <c r="G27" i="12"/>
  <c r="G23" i="14"/>
  <c r="G28" i="14"/>
  <c r="G12" i="15"/>
  <c r="G13" i="11"/>
  <c r="G25" i="11"/>
  <c r="G41" i="11"/>
  <c r="G10" i="11"/>
  <c r="G26" i="11"/>
  <c r="G13" i="4"/>
  <c r="G14" i="10"/>
  <c r="G16" i="11"/>
  <c r="G32" i="11"/>
  <c r="G22" i="12"/>
  <c r="G38" i="12"/>
  <c r="G18" i="14"/>
  <c r="G18" i="15"/>
  <c r="G8" i="14"/>
  <c r="G24" i="14"/>
  <c r="G13" i="15"/>
  <c r="C10" i="2"/>
  <c r="I36" i="1"/>
  <c r="K34" i="2"/>
  <c r="I6" i="6"/>
  <c r="I7" i="6" s="1"/>
  <c r="G17" i="11"/>
  <c r="G33" i="11"/>
  <c r="G8" i="15"/>
  <c r="I33" i="1"/>
  <c r="D5" i="2"/>
  <c r="B8" i="2" s="1"/>
  <c r="G22" i="11"/>
  <c r="G38" i="11"/>
  <c r="G12" i="11"/>
  <c r="G28" i="11"/>
  <c r="G18" i="12"/>
  <c r="G34" i="12"/>
  <c r="G14" i="14"/>
  <c r="G19" i="15"/>
  <c r="G11" i="11"/>
  <c r="G27" i="11"/>
  <c r="G43" i="11"/>
  <c r="G21" i="10"/>
  <c r="G7" i="11"/>
  <c r="G23" i="11"/>
  <c r="G39" i="11"/>
  <c r="G13" i="12"/>
  <c r="G29" i="12"/>
  <c r="G9" i="14"/>
  <c r="G25" i="14"/>
  <c r="G14" i="15"/>
  <c r="G20" i="14"/>
  <c r="G9" i="15"/>
  <c r="G20" i="15"/>
  <c r="G8" i="11"/>
  <c r="G24" i="11"/>
  <c r="G40" i="11"/>
  <c r="G10" i="14"/>
  <c r="G26" i="14"/>
  <c r="G15" i="15"/>
  <c r="G19" i="11"/>
  <c r="G35" i="11"/>
  <c r="G9" i="12"/>
  <c r="G21" i="14"/>
  <c r="G10" i="15"/>
  <c r="G21" i="15"/>
  <c r="I17" i="1" l="1"/>
  <c r="G45" i="1"/>
  <c r="G46" i="1" s="1"/>
  <c r="I7" i="7"/>
  <c r="H12" i="6"/>
  <c r="J12" i="6" s="1"/>
  <c r="I8" i="7"/>
  <c r="E90" i="7" l="1"/>
  <c r="E92" i="7"/>
  <c r="E88" i="6"/>
  <c r="E90" i="6"/>
  <c r="B25" i="1"/>
  <c r="E24" i="1" l="1"/>
  <c r="F24" i="1" s="1"/>
  <c r="B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4" authorId="0" shapeId="0" xr:uid="{00000000-0006-0000-0000-000003000000}">
      <text>
        <r>
          <rPr>
            <sz val="11"/>
            <color rgb="FF000000"/>
            <rFont val="Calibri"/>
            <scheme val="minor"/>
          </rPr>
          <t>======
ID#AAABKeIhTuc
tc={B56F0592-726B-40EC-80EB-FBBD52356D65}    (2024-04-01 02:19:20)
[Threaded comment]
Your version of Excel allows you to read this threaded comment; however, any edits to it will get removed if the file is opened in a newer version of Excel. Learn more: https://go.microsoft.com/fwlink/?linkid=870924
Comment:
    Exclude qualified div cuz are taxed differently</t>
        </r>
      </text>
    </comment>
    <comment ref="H35" authorId="0" shapeId="0" xr:uid="{00000000-0006-0000-0000-000004000000}">
      <text>
        <r>
          <rPr>
            <sz val="11"/>
            <color rgb="FF000000"/>
            <rFont val="Calibri"/>
            <scheme val="minor"/>
          </rPr>
          <t>======
ID#AAABKeIhTuQ
tc={0A2CC217-EE05-4064-A220-4E2DB97753AC}    (2024-04-01 02:19:20)
[Threaded comment]
Your version of Excel allows you to read this threaded comment; however, any edits to it will get removed if the file is opened in a newer version of Excel. Learn more: https://go.microsoft.com/fwlink/?linkid=870924
Comment:
    230 from cashrewars travel bofa
2400 tax refund2023
2780loan</t>
        </r>
      </text>
    </comment>
    <comment ref="H36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ID#AAABMUYlAa8
tc={25CA163C-95DC-4710-B65E-6FB6EFFDF816}    (2024-04-22 19:05:19)
[Threaded comment]
Your version of Excel allows you to read this threaded comment; however, any edits to it will get removed if the file is opened in a newer version of Excel. Learn more: https://go.microsoft.com/fwlink/?linkid=870924
Comment:
    Studentloan entl 9615.38+2400</t>
        </r>
      </text>
    </comment>
    <comment ref="K36" authorId="0" shapeId="0" xr:uid="{00000000-0006-0000-0000-000002000000}">
      <text>
        <r>
          <rPr>
            <sz val="11"/>
            <color rgb="FF000000"/>
            <rFont val="Calibri"/>
            <scheme val="minor"/>
          </rPr>
          <t>======
ID#AAABMUYlAa4
Frank Diaz Barragan    (2024-04-22 19:05:19)
10K 2023 paid by USACE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NZiTbBAk9ixOsSOjFS+G2bJw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5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ID#AAABGQWLAVQ
    (2021-03-11 12:27:01)
[Threaded comment]
Your version of Excel allows you to read this threaded comment; however, any edits to it will get removed if the file is opened in a newer version of Excel. Learn more: https://go.microsoft.com/fwlink/?linkid=870924
Comment:
    /964.92 price of stock given it was a aprtial sahre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oMMDjBiyGr2qlwjynryREhGoB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400-000001000000}">
      <text>
        <r>
          <rPr>
            <sz val="11"/>
            <color rgb="FF000000"/>
            <rFont val="Calibri"/>
            <scheme val="minor"/>
          </rPr>
          <t>======
ID#AAABKeIhTuY
tc={2F0054DC-A68E-46A0-91EA-0BC19D8EDCF1}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45" authorId="0" shapeId="0" xr:uid="{00000000-0006-0000-0400-000002000000}">
      <text>
        <r>
          <rPr>
            <sz val="11"/>
            <color rgb="FF000000"/>
            <rFont val="Calibri"/>
            <scheme val="minor"/>
          </rPr>
          <t>======
ID#AAABKeIhTuU
tc={01A4C89A-C59F-4FC7-AA61-66EF7C052D96}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moCbGJj62Xl/ffvKZ0qbz+Zpk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500-000003000000}">
      <text>
        <r>
          <rPr>
            <sz val="11"/>
            <color rgb="FF000000"/>
            <rFont val="Calibri"/>
            <scheme val="minor"/>
          </rPr>
          <t>======
ID#AAABNNaKTQ4
tc={2CFC3F56-AA97-45DD-B3C7-2E68AD714154}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2" authorId="0" shapeId="0" xr:uid="{00000000-0006-0000-0500-000004000000}">
      <text>
        <r>
          <rPr>
            <sz val="11"/>
            <color rgb="FF000000"/>
            <rFont val="Calibri"/>
            <scheme val="minor"/>
          </rPr>
          <t>======
ID#AAABNNaKTQ0
tc={DC32E0E3-518A-4CFC-9038-680415B98948}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4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ID#AAABNNaKTRM
Frank Diaz Barragan    (2024-05-15 00:56:46)
Ma savings</t>
        </r>
      </text>
    </comment>
    <comment ref="A48" authorId="0" shapeId="0" xr:uid="{00000000-0006-0000-0500-000002000000}">
      <text>
        <r>
          <rPr>
            <sz val="11"/>
            <color rgb="FF000000"/>
            <rFont val="Calibri"/>
            <scheme val="minor"/>
          </rPr>
          <t>======
ID#AAABNNaKTRE
tc={2ACED084-2874-43AD-917E-550E79B1476F}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7SaCmd1Jv4QEJEVJwVXl8yxin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" authorId="0" shapeId="0" xr:uid="{00000000-0006-0000-0600-000003000000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4" authorId="0" shapeId="0" xr:uid="{00000000-0006-0000-0600-00000200000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6" authorId="0" shapeId="0" xr:uid="{00000000-0006-0000-0600-000001000000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XbJugwpTVS1csdeZqWu8RJxZ8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4031D86A-D327-48BA-99E6-E73C936D484A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5" authorId="0" shapeId="0" xr:uid="{0E88BAC4-204F-4C22-B265-96827988BA6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7" authorId="0" shapeId="0" xr:uid="{87050A01-976D-442A-AD7A-DC0DCCA71728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</comments>
</file>

<file path=xl/sharedStrings.xml><?xml version="1.0" encoding="utf-8"?>
<sst xmlns="http://schemas.openxmlformats.org/spreadsheetml/2006/main" count="1461" uniqueCount="505">
  <si>
    <t>Personal monthly budget</t>
  </si>
  <si>
    <t>Nov 23 to may24</t>
  </si>
  <si>
    <t>may 1 to Nov 1</t>
  </si>
  <si>
    <t>Montly</t>
  </si>
  <si>
    <t xml:space="preserve">Purchases </t>
  </si>
  <si>
    <t xml:space="preserve">Nico </t>
  </si>
  <si>
    <t>Fabi</t>
  </si>
  <si>
    <t xml:space="preserve">Fran </t>
  </si>
  <si>
    <t>el dorado  insurance</t>
  </si>
  <si>
    <t>Food</t>
  </si>
  <si>
    <t>la chula</t>
  </si>
  <si>
    <t>deuda 1</t>
  </si>
  <si>
    <t>deuda 2</t>
  </si>
  <si>
    <t>Nico 5300 + 59 transfer fee (15meses)  1er pago dec 31 2021 termina mar 2023/// pagoooo a paz</t>
  </si>
  <si>
    <t>5y5noseporque</t>
  </si>
  <si>
    <t>total</t>
  </si>
  <si>
    <t>5mil de 10mil pa casa 214 parkwood</t>
  </si>
  <si>
    <t>50*8anos y 4 messes  pagar dueda. Ahora dec-agosto 9meses no renta y asi paga lo faltante</t>
  </si>
  <si>
    <t xml:space="preserve">Nico 1er pago Jul 29 2022 termina Nov 2030 </t>
  </si>
  <si>
    <t>Totalfood Individual</t>
  </si>
  <si>
    <t>Luz</t>
  </si>
  <si>
    <t>Penker</t>
  </si>
  <si>
    <t>Ma</t>
  </si>
  <si>
    <t>Water</t>
  </si>
  <si>
    <t>Twc</t>
  </si>
  <si>
    <t>Gas</t>
  </si>
  <si>
    <t>Youtub Music</t>
  </si>
  <si>
    <t>At&amp;t</t>
  </si>
  <si>
    <t>Total Comida</t>
  </si>
  <si>
    <t xml:space="preserve">Total Gastos Mes </t>
  </si>
  <si>
    <t xml:space="preserve">Total indiviual </t>
  </si>
  <si>
    <t>Diff</t>
  </si>
  <si>
    <t>payouts</t>
  </si>
  <si>
    <t>pay 50 rearch fund Attn: Martha Price 515 Baldy Hall Buffalo, NY 14260</t>
  </si>
  <si>
    <t xml:space="preserve">Remember May and Oct pay trice </t>
  </si>
  <si>
    <t>Personal care</t>
  </si>
  <si>
    <t>Income Net</t>
  </si>
  <si>
    <t xml:space="preserve">Savings </t>
  </si>
  <si>
    <t>Creditcards Notes</t>
  </si>
  <si>
    <t>loan payments</t>
  </si>
  <si>
    <t>Bi</t>
  </si>
  <si>
    <t>3637 Wellsfargo crdit card</t>
  </si>
  <si>
    <t xml:space="preserve">rent </t>
  </si>
  <si>
    <t>Month</t>
  </si>
  <si>
    <t xml:space="preserve">Faby Wells </t>
  </si>
  <si>
    <t>utilities&amp;food</t>
  </si>
  <si>
    <t>Year</t>
  </si>
  <si>
    <t>trips</t>
  </si>
  <si>
    <t xml:space="preserve"> 6674Bofa unlimited cash rewards</t>
  </si>
  <si>
    <t>hair cut</t>
  </si>
  <si>
    <t>ma cali</t>
  </si>
  <si>
    <t>2346Faby Bofa</t>
  </si>
  <si>
    <t>gas</t>
  </si>
  <si>
    <t>col end year</t>
  </si>
  <si>
    <t>Amex cancel or 95</t>
  </si>
  <si>
    <t>loundryandstuff</t>
  </si>
  <si>
    <t>NC nascar coca</t>
  </si>
  <si>
    <t>6934 Bofa Travel</t>
  </si>
  <si>
    <t xml:space="preserve">savings onalgo </t>
  </si>
  <si>
    <t>3779 Wellsfargo reflect crdit card</t>
  </si>
  <si>
    <t>ma wage</t>
  </si>
  <si>
    <t>phones</t>
  </si>
  <si>
    <t>Annual</t>
  </si>
  <si>
    <t>For Taxes</t>
  </si>
  <si>
    <t>pension col</t>
  </si>
  <si>
    <t>pay again in monthly</t>
  </si>
  <si>
    <t>Net Icome</t>
  </si>
  <si>
    <t xml:space="preserve">Net savings </t>
  </si>
  <si>
    <t>Gross</t>
  </si>
  <si>
    <t>Jmm</t>
  </si>
  <si>
    <t>Federal</t>
  </si>
  <si>
    <t>State</t>
  </si>
  <si>
    <t>Loanedu</t>
  </si>
  <si>
    <t>&lt;&lt; 50 a month Research Foundation UB 20 years 240 payments start Oct 23 total12k owed</t>
  </si>
  <si>
    <t>Yearly Totals</t>
  </si>
  <si>
    <t>Int/div/G-L</t>
  </si>
  <si>
    <t>possible investment</t>
  </si>
  <si>
    <t>tax Gross Inc</t>
  </si>
  <si>
    <t xml:space="preserve">otros </t>
  </si>
  <si>
    <t>Difference between me and tax filing</t>
  </si>
  <si>
    <t>Tot Expenses</t>
  </si>
  <si>
    <t>Refund/Due</t>
  </si>
  <si>
    <t>Yearly</t>
  </si>
  <si>
    <t>Total</t>
  </si>
  <si>
    <t>$790tot</t>
  </si>
  <si>
    <t>Avg netMonth Inc</t>
  </si>
  <si>
    <t>Real Icome Infla adjusted</t>
  </si>
  <si>
    <t>LOAN INFORMATION</t>
  </si>
  <si>
    <t>1st Disb</t>
  </si>
  <si>
    <t>Loan</t>
  </si>
  <si>
    <t>Date</t>
  </si>
  <si>
    <t>Beginning</t>
  </si>
  <si>
    <t>Current</t>
  </si>
  <si>
    <t>Accrued</t>
  </si>
  <si>
    <t>Int.</t>
  </si>
  <si>
    <t>Type</t>
  </si>
  <si>
    <t>Principal</t>
  </si>
  <si>
    <t>Interest</t>
  </si>
  <si>
    <t>Total balance</t>
  </si>
  <si>
    <t>Rate</t>
  </si>
  <si>
    <t>DLUNST|O2/10/2022</t>
  </si>
  <si>
    <t>DLUNST |08/22/2022</t>
  </si>
  <si>
    <t>DLUNST|08/31/2022</t>
  </si>
  <si>
    <t>DLSTFD |12/12/2017</t>
  </si>
  <si>
    <t>DLSTFD |06/05/2018</t>
  </si>
  <si>
    <t>DLSTFD |09/11/2018</t>
  </si>
  <si>
    <t>DLUNST 09/11/2018</t>
  </si>
  <si>
    <t>DLUNST 12/04/2018</t>
  </si>
  <si>
    <t>DLSTFD |08/19/2019</t>
  </si>
  <si>
    <t>DLUNST|08/19/2019</t>
  </si>
  <si>
    <t>DLSTFD |08/24/2020</t>
  </si>
  <si>
    <t>DLUNST |08/24/2020</t>
  </si>
  <si>
    <t>DLUNST 06/01/2021</t>
  </si>
  <si>
    <t>DLUNST|08/23/2021</t>
  </si>
  <si>
    <t>DLUNST12/14/2021</t>
  </si>
  <si>
    <t>DLUNST|08/21/2023</t>
  </si>
  <si>
    <t>DLUNST |09/10/2023</t>
  </si>
  <si>
    <t>CullenFund</t>
  </si>
  <si>
    <t>Treach</t>
  </si>
  <si>
    <t>Ny Masters Edu</t>
  </si>
  <si>
    <t>Maters</t>
  </si>
  <si>
    <t>Totals</t>
  </si>
  <si>
    <t>IN SCHOOL</t>
  </si>
  <si>
    <t>IN SCHOOL</t>
  </si>
  <si>
    <t>Available</t>
  </si>
  <si>
    <t>not available(rotht and IRA/long bonds)</t>
  </si>
  <si>
    <t>Stocks/Investmenst</t>
  </si>
  <si>
    <t>Treasuries</t>
  </si>
  <si>
    <t>Cash</t>
  </si>
  <si>
    <t>Tot // Col</t>
  </si>
  <si>
    <t>Debt</t>
  </si>
  <si>
    <t xml:space="preserve">Pay to clear Fico </t>
  </si>
  <si>
    <t>50/50 portfolio</t>
  </si>
  <si>
    <t>Total portfolio</t>
  </si>
  <si>
    <t>Robin hood</t>
  </si>
  <si>
    <t>coments</t>
  </si>
  <si>
    <t>Date of Purchase</t>
  </si>
  <si>
    <t>Stock Price of Purchase</t>
  </si>
  <si>
    <t># shares</t>
  </si>
  <si>
    <t>Total Value of Investment</t>
  </si>
  <si>
    <t>stock value at the date of update</t>
  </si>
  <si>
    <t>D*F equity value today</t>
  </si>
  <si>
    <t xml:space="preserve">Raw Investment </t>
  </si>
  <si>
    <t>Today's value</t>
  </si>
  <si>
    <t>Deposits to accts</t>
  </si>
  <si>
    <t>date of update</t>
  </si>
  <si>
    <t xml:space="preserve">Bonds/Savings </t>
  </si>
  <si>
    <t>Investments/stocks Ira/Roth</t>
  </si>
  <si>
    <t>Disney DIS</t>
  </si>
  <si>
    <t>Bank of Ame BAC</t>
  </si>
  <si>
    <t>fitbiit FIT</t>
  </si>
  <si>
    <t>sold oct 12 2020 at 6.96 per share</t>
  </si>
  <si>
    <t>Jhonson JNJ</t>
  </si>
  <si>
    <t>S&amp;p Global</t>
  </si>
  <si>
    <t>Ametek AME</t>
  </si>
  <si>
    <t>Taiwan semicdr TSM</t>
  </si>
  <si>
    <t xml:space="preserve">why sum of dep = 1577.49 and raw investent is less? Call robinhood  </t>
  </si>
  <si>
    <t>Tencent TCEHY</t>
  </si>
  <si>
    <t>Bancolombia CIB</t>
  </si>
  <si>
    <t>cemex CX</t>
  </si>
  <si>
    <t>Ford Motor F</t>
  </si>
  <si>
    <t>Ecopetorl EC</t>
  </si>
  <si>
    <t>Niu Techngies NIU</t>
  </si>
  <si>
    <t>Tesla TSLA</t>
  </si>
  <si>
    <t>bitcoin BTC</t>
  </si>
  <si>
    <t>Boeing BA</t>
  </si>
  <si>
    <t>Bitcoin Cash BCH</t>
  </si>
  <si>
    <t>SPDR Gold Trust GLD</t>
  </si>
  <si>
    <t>iShares Silver Trust SLV</t>
  </si>
  <si>
    <t>Mondelez MDLZ</t>
  </si>
  <si>
    <t>Alphabet class C GOOG</t>
  </si>
  <si>
    <t>GM</t>
  </si>
  <si>
    <t>JPMorgan U.S.
 Aggregate Bond ETF  JAGG</t>
  </si>
  <si>
    <t>GSIG Goldman Sachs Access Investment  GSIG Grade
 Corporate 1-5 Year Bond ETF</t>
  </si>
  <si>
    <t>Apple AAPL</t>
  </si>
  <si>
    <t>Microsoft  MSFT</t>
  </si>
  <si>
    <t>on september01 need captial one acct 1000</t>
  </si>
  <si>
    <t>Description</t>
  </si>
  <si>
    <t>Summary Amt.</t>
  </si>
  <si>
    <t>Beginning balance as of 01/02/2023</t>
  </si>
  <si>
    <t>Total credits</t>
  </si>
  <si>
    <t>Total debits</t>
  </si>
  <si>
    <t>Ending balance as of 01/27/2023</t>
  </si>
  <si>
    <t>Amount</t>
  </si>
  <si>
    <t>Running Bal.</t>
  </si>
  <si>
    <t>gov</t>
  </si>
  <si>
    <t>shoes merrel</t>
  </si>
  <si>
    <t>bonus wells</t>
  </si>
  <si>
    <t>last pay Jers</t>
  </si>
  <si>
    <t>ajuste income december to be added</t>
  </si>
  <si>
    <t>Beginning balance as of 01/30/2023</t>
  </si>
  <si>
    <t>Ending balance as of 02/24/2023</t>
  </si>
  <si>
    <t>Online Banking payment to CRD 5270 Confirmation# XXXXX30409</t>
  </si>
  <si>
    <t>Online Banking payment to CRD 6674 Confirmation# XXXXX35911</t>
  </si>
  <si>
    <t>Zelle Transfer Conf# h0y2o4jpl; Mami</t>
  </si>
  <si>
    <t>Zelle Transfer Conf# buhw3liob; Nicolas Diaz Hmno</t>
  </si>
  <si>
    <t>CITI CARD ONLINE DES:PAYMENT ID:XXXXXXXXXX52292 INDN:DARIO F DIAZ CO ID:CITICTP WEB</t>
  </si>
  <si>
    <t>Zelle Transfer Conf# bje8ls63k; Dario Francisco Diaz Barragan</t>
  </si>
  <si>
    <t>BKOFAMERICA ATM 01/31 #XXXXX2147 WITHDRWL SUNY-STUDENT UNION WILLIAMSVILLE NY</t>
  </si>
  <si>
    <t>Online Banking payment to CRD 0549 Confirmation# XXXXX41061</t>
  </si>
  <si>
    <t>Zelle Transfer Conf# azwp31j6f; Dario Francisco Diaz Barragan</t>
  </si>
  <si>
    <t>CITI CARD ONLINE DES:PAYMENT ID:XXXXXXXXXX16393 INDN:DARIO F DIAZ CO ID:CITICTP WEB</t>
  </si>
  <si>
    <t>ROBINHOOD DES:Funds ID:XXXXX8271 INDN:Frank Diaz Barragan CO ID:XXXXX64776 WEB</t>
  </si>
  <si>
    <t>WF Credit Card DES:AUTO PAY ID:XXXXXXXXXX3637 INDN:DIAZ BARRAGAN,DARIO F CO ID:50260000 PPD</t>
  </si>
  <si>
    <t>BANK OF AMERICA CREDIT CARD Bill Payment</t>
  </si>
  <si>
    <t>BUFFALO BOARD OF DES:PAYROLL ID:XXXXX0807 INDN:DARIO FRANCISCO DIAZ B CO ID:XXXXX01554 PPD</t>
  </si>
  <si>
    <t>Zelle Transfer Conf# ikxe1zt7b; Dario Francisco Diaz Barragan</t>
  </si>
  <si>
    <t>Online Banking payment to CRD 3747 Confirmation# XXXXX04424</t>
  </si>
  <si>
    <t>Bank of America Credit Card Bill Payment</t>
  </si>
  <si>
    <t>JOURNEY'S END RE DES:DIRECT DEP ID:XXXXX42278839BM INDN:DIAZ BARRAGAN,DARIO CO ID:XXXXX11101 PPD</t>
  </si>
  <si>
    <t>Zelle Transfer Conf# io9eqroef; DARIO</t>
  </si>
  <si>
    <t>Zelle Transfer Conf# YKAIQWS9A; Dario Barragan</t>
  </si>
  <si>
    <t>BKOFAMERICA MOBILE 02/18 XXXXX01432 DEPOSIT *MOBILE NY</t>
  </si>
  <si>
    <t>Zelle Transfer Conf# ow1l1apyt; Mami</t>
  </si>
  <si>
    <t>Zelle Transfer Conf# o92sjpiuy; Mami</t>
  </si>
  <si>
    <t>Online Banking payment to CRD 6674 Confirmation# XXXXX52318</t>
  </si>
  <si>
    <t>WF Credit Card DES:AUTO PAY ID:XXXXXXXXXX0163 INDN:DIAZBARRAGAN,DARIO F CO ID:50260000 PPD</t>
  </si>
  <si>
    <t>Marcus Invest (H DES:ACH ID:XXXXXXXXXX8154 INDN:DARIO DIAZ BARRAGAN CO ID:XXXXX73990 WEB</t>
  </si>
  <si>
    <t>my moms well fargo bonus</t>
  </si>
  <si>
    <t>from wellsfargo 350</t>
  </si>
  <si>
    <t>Net Worth Summary as of date 03/30/2024</t>
  </si>
  <si>
    <t>All Accounts</t>
  </si>
  <si>
    <t xml:space="preserve"> ASSETS</t>
  </si>
  <si>
    <t>Last Updated</t>
  </si>
  <si>
    <t>Currency</t>
  </si>
  <si>
    <t xml:space="preserve">Balance </t>
  </si>
  <si>
    <t xml:space="preserve">			Investments</t>
  </si>
  <si>
    <t>short Treasuries</t>
  </si>
  <si>
    <t>Robinhood-Robinhood Brokerage-brokerageCash-x-8271</t>
  </si>
  <si>
    <t>03/30/2024 11:55 am ET</t>
  </si>
  <si>
    <t>$</t>
  </si>
  <si>
    <t xml:space="preserve">			Cash TOTAL</t>
  </si>
  <si>
    <t>Merrill Lynch Merrill Edge-CMA-Edgex2085-CMA-x-2085</t>
  </si>
  <si>
    <t>03/30/2024 11:54 am ET</t>
  </si>
  <si>
    <t>Chase-Self-Directed-individual-x-3098</t>
  </si>
  <si>
    <t xml:space="preserve">			Cards TOTAL</t>
  </si>
  <si>
    <t>Robinhood-Robinhood Crypto-other-x-2356</t>
  </si>
  <si>
    <t>Treasury Direct-SAVINGS BONDS-OTHER</t>
  </si>
  <si>
    <t>03/30/2024 12:06 pm ET</t>
  </si>
  <si>
    <t>Marcus by Goldman Sachs-Traditional IRA-ira-x-0460</t>
  </si>
  <si>
    <t>03/22/2024 05:51 pm ET</t>
  </si>
  <si>
    <t>Marcus by Goldman Sachs-Roth IRA-ira-x-6917</t>
  </si>
  <si>
    <t>BANCOLOMBIA(pOSSIBLE INVEST IN PESOS NOW IN BONDS)-OTHER</t>
  </si>
  <si>
    <t>03/30/2024 12:16 pm ET</t>
  </si>
  <si>
    <t xml:space="preserve">			Investments TOTAL</t>
  </si>
  <si>
    <t xml:space="preserve"> </t>
  </si>
  <si>
    <t xml:space="preserve">			Cash</t>
  </si>
  <si>
    <t>Bank of America-checking 4283-x-5084</t>
  </si>
  <si>
    <t>03/30/2024 11:40 am ET</t>
  </si>
  <si>
    <t>Capital One-360 Checking-x-8776</t>
  </si>
  <si>
    <t>Capital One-360 Checking-x-8364</t>
  </si>
  <si>
    <t>Wells Fargo-EVERYDAY CHECKING xxx3269-x-3269</t>
  </si>
  <si>
    <t>Bank of America-ADVANTAGE SAVINGS-x-7937-Closed</t>
  </si>
  <si>
    <t>02/20/2023 03:59 am ET</t>
  </si>
  <si>
    <t>Capital One-360 Performance Savings-x-8339</t>
  </si>
  <si>
    <t>Marcus by Goldman Sachs-Online Savings-x-2145</t>
  </si>
  <si>
    <t>03/30/2024 11:42 am ET</t>
  </si>
  <si>
    <t>Wells Fargo-WAY2SAVE SAVINGS xxx6118-x-6118</t>
  </si>
  <si>
    <t xml:space="preserve">			Other Assets</t>
  </si>
  <si>
    <t>Chevy Cruze 2014</t>
  </si>
  <si>
    <t>03/30/2024 12:27 pm ET</t>
  </si>
  <si>
    <t xml:space="preserve">			Other Assets TOTAL</t>
  </si>
  <si>
    <t>Stocks sold aprl22 2024</t>
  </si>
  <si>
    <t xml:space="preserve"> Total Assets</t>
  </si>
  <si>
    <t>amzn</t>
  </si>
  <si>
    <t>BAC</t>
  </si>
  <si>
    <t xml:space="preserve"> LIABILITIES</t>
  </si>
  <si>
    <t>cib</t>
  </si>
  <si>
    <t>goog</t>
  </si>
  <si>
    <t xml:space="preserve">			Cards</t>
  </si>
  <si>
    <t>MU</t>
  </si>
  <si>
    <t>American Express Cards-Blue Cash Preferred-x-1009</t>
  </si>
  <si>
    <t>NVDA</t>
  </si>
  <si>
    <t>American Express Cards-Blue Cash Everyday-x-1007</t>
  </si>
  <si>
    <t>SPY</t>
  </si>
  <si>
    <t>Bank of America-Travel Rewards Visa Signature-x-6934</t>
  </si>
  <si>
    <t>nvo</t>
  </si>
  <si>
    <t>Bank of America-Unlimited Cash Rewards Visa Signature-x-6674</t>
  </si>
  <si>
    <t>msft</t>
  </si>
  <si>
    <t>Bank of America-BankAmericard Platinum Plus Mastercard-x-5270-Closed</t>
  </si>
  <si>
    <t>07/30/2023 02:04 pm ET</t>
  </si>
  <si>
    <t>voo</t>
  </si>
  <si>
    <t>Bank of America-Pasearblue6817-x-6817-Closed</t>
  </si>
  <si>
    <t>02/19/2023 05:36 pm ET</t>
  </si>
  <si>
    <t>Dis</t>
  </si>
  <si>
    <t>Bank of America-Cashrewards red0549-x-0549</t>
  </si>
  <si>
    <t>spy</t>
  </si>
  <si>
    <t>Bank of America-Premium Rewards Visa Signature-x-9785-Closed</t>
  </si>
  <si>
    <t>10/25/2022 11:14 pm ET</t>
  </si>
  <si>
    <t>EC</t>
  </si>
  <si>
    <t>Bank of America-gray1punto5-x-3747-Closed</t>
  </si>
  <si>
    <t>Capital One-Quicksilver-x-8071</t>
  </si>
  <si>
    <t>Chase-CREDIT CARD-x-8247</t>
  </si>
  <si>
    <t>cash&gt;&gt;</t>
  </si>
  <si>
    <t>&lt;&lt;&lt; need to pay cc</t>
  </si>
  <si>
    <t>Chase-CREDIT CARD-x-2219</t>
  </si>
  <si>
    <t>Wells Fargo-WELLS FARGO ACTIVE CASH VISA CARD xxx0163-x-0163</t>
  </si>
  <si>
    <t>03/30/2024 11:56 am ET</t>
  </si>
  <si>
    <t>Wells Fargo-WELLS FARGO AUTOGRAPH VISA CARD xxx3637-x-3637</t>
  </si>
  <si>
    <t>Wells Fargo-WELLS FARGO REFLECT VISA CARD xxx3305-x-3305</t>
  </si>
  <si>
    <t xml:space="preserve">			Loans</t>
  </si>
  <si>
    <t>Loan BPS Collen Fund-Personal</t>
  </si>
  <si>
    <t>03/30/2024 12:25 pm ET</t>
  </si>
  <si>
    <t>NYS Loan Masters Edu-Personal</t>
  </si>
  <si>
    <t>03/30/2024 12:24 pm ET</t>
  </si>
  <si>
    <t>Stu Loan MS Econ Finance-Personal</t>
  </si>
  <si>
    <t>03/30/2024 12:22 pm ET</t>
  </si>
  <si>
    <t>Stu Loans undergrad-Personal</t>
  </si>
  <si>
    <t>03/30/2024 12:21 pm ET</t>
  </si>
  <si>
    <t>TEACh Grant-Personal</t>
  </si>
  <si>
    <t>03/30/2024 12:26 pm ET</t>
  </si>
  <si>
    <t xml:space="preserve">			Loans TOTAL</t>
  </si>
  <si>
    <t xml:space="preserve">			Other Liabilities</t>
  </si>
  <si>
    <t xml:space="preserve">Ma trust </t>
  </si>
  <si>
    <t xml:space="preserve">			Other Liabilities TOTAL</t>
  </si>
  <si>
    <t xml:space="preserve"> Total Liabilities</t>
  </si>
  <si>
    <t xml:space="preserve"> NETWORTH</t>
  </si>
  <si>
    <t>04/26/2024 10:22 pm ET</t>
  </si>
  <si>
    <t>Debt to income ratio</t>
  </si>
  <si>
    <t>Total portfolio/colpesosinv</t>
  </si>
  <si>
    <t>04/26/2024 10:31 pm ET</t>
  </si>
  <si>
    <t xml:space="preserve">Bonds/MoneyMArketSavings </t>
  </si>
  <si>
    <t>Pesos Invest</t>
  </si>
  <si>
    <t>Capital One-360 Performance Savings-x-6414</t>
  </si>
  <si>
    <t>Capital One-360 Performance Savings-x-0946</t>
  </si>
  <si>
    <t>04/26/2024 10:33 pm ET</t>
  </si>
  <si>
    <t>for real&gt;&gt;</t>
  </si>
  <si>
    <t>04/26/2024 10:23 pm ET</t>
  </si>
  <si>
    <t>MOHELA-DL Stafford Unsubsidized-15-Student-x-1246</t>
  </si>
  <si>
    <t>04/26/2024 10:27 pm ET</t>
  </si>
  <si>
    <t>MOHELA-DL Stafford Unsubsidized-19-Student-x-1246</t>
  </si>
  <si>
    <t>MOHELA-DL Stafford Unsubsidized-1-Student-x-1246</t>
  </si>
  <si>
    <t>MOHELA-DL Stafford Unsubsidized-2-Student-x-1246</t>
  </si>
  <si>
    <t>MOHELA-DL Stafford Unsubsidized-4-Student-x-1246</t>
  </si>
  <si>
    <t>MOHELA-DL Stafford Subsidized-5-Student-x-1246</t>
  </si>
  <si>
    <t>04/06/2024 11:00 pm ET</t>
  </si>
  <si>
    <t>MOHELA-DL Stafford Subsidized-7-Student-x-1246</t>
  </si>
  <si>
    <t>MOHELA-DL Stafford Unsubsidized-8-Student-x-1246</t>
  </si>
  <si>
    <t>Total Debt</t>
  </si>
  <si>
    <t>MOHELA-DL Stafford Unsubsidized-9-Student-x-1246</t>
  </si>
  <si>
    <t>MOHELA-DL Stafford Subsidized-10-Student-x-1246</t>
  </si>
  <si>
    <t>Mohela</t>
  </si>
  <si>
    <t>MOHELA-DL Stafford Unsubsidized-11-Student-x-1246</t>
  </si>
  <si>
    <t>MOHELA-DL Stafford Subsidized-12-Student-x-1246</t>
  </si>
  <si>
    <t>MOHELA-DL Stafford Unsubsidized-13-Student-x-1246</t>
  </si>
  <si>
    <t>MOHELA-DL Stafford Unsubsidized-14-Student-x-1246</t>
  </si>
  <si>
    <t>MOHELA-DL Stafford Unsubsidized-16-Student-x-1246</t>
  </si>
  <si>
    <t>MOHELA-DL Stafford Unsubsidized-17-Student-x-1246</t>
  </si>
  <si>
    <t>MOHELA-DL Stafford Subsidized-6-Student-x-1246</t>
  </si>
  <si>
    <t>&lt;&lt;Real Net Worth</t>
  </si>
  <si>
    <t>Beginning balance as of 05/29/2023</t>
  </si>
  <si>
    <t>Ending balance as of 06/23/2023</t>
  </si>
  <si>
    <t>Beginning balance as of 06/30/2023</t>
  </si>
  <si>
    <t>Zelle Transfer Conf# 2ICQ2D3OE; Dario Barragan</t>
  </si>
  <si>
    <t>Zelle Transfer Conf# mz953yq0y; Mami</t>
  </si>
  <si>
    <t>Zelle payment to Nicolas Diaz Hmno for Ctas Jun renta 500"; Conf# p818izuqr"</t>
  </si>
  <si>
    <t>Online Banking payment to CRD 6674 Confirmation# XXXXX61107</t>
  </si>
  <si>
    <t>Zelle Transfer Conf# TQCFPK8NN; Dario Barragan</t>
  </si>
  <si>
    <t>Online Banking payment to CRD 6674 Confirmation# XXXXX30424</t>
  </si>
  <si>
    <t>NAT'L FUEL GAS DES:UTILITY ID:3258959 INDN:DARIO FRANCISCO DIAZ * CO ID:XXXXX63576 TEL</t>
  </si>
  <si>
    <t>Zelle Transfer Conf# YRBQPZ6ZM; Dario Barragan</t>
  </si>
  <si>
    <t>Zelle Transfer Conf# CWQ88D8OB; Dario Barragan</t>
  </si>
  <si>
    <t>TOWN OF T - 4806 DES:RECTRAC AD ID:XXXXX074249 INDN:DARIO F BARRAGAN CO ID:XXXXX02385 PPD</t>
  </si>
  <si>
    <t>JOURNEY'S END RE DES:DIRECT DEP ID:XXXXX94754059BM INDN:DIAZ BARRAGAN,DARIO CO ID:XXXXX11101 PPD</t>
  </si>
  <si>
    <t>Zelle Transfer Conf# J816A1EAO; Fabiola Barragan</t>
  </si>
  <si>
    <t>Zelle payment from NICOLAS DIAZ BARRAGAN for Paseo michigan"; Conf# ajnv2vd32"</t>
  </si>
  <si>
    <t>Bank of America DES:CASHREWARD ID:BARRAGAN INDN:XXXXX0062XXXXX91XXXXX0 CO ID:XXXXX90310 PPD</t>
  </si>
  <si>
    <t>Zelle payment to Nicolas Diaz Hmno for 2032 lithium-Ion batteries"; Conf# lqzmq98ao"</t>
  </si>
  <si>
    <t>CITIZENSBANK NA DES:PAYMENT ID:XXXXXXXXXX15979 INDN:DARIO F DIAZ BARRAGAN CO ID:XXXXX93818 WEB</t>
  </si>
  <si>
    <t>Zelle Transfer Conf# aby3i2cu1; Dario Francisco Diaz Barragan</t>
  </si>
  <si>
    <t>Zelle payment to Mami for Planchaa"; Conf# et3sfafni"</t>
  </si>
  <si>
    <t>Zelle payment to Mami for Dana"; Conf# fn1ev0xd9"</t>
  </si>
  <si>
    <t>JOURNEY'S END RE DES:DIRECT DEP ID:XXXXX44453889BM INDN:DIAZ BARRAGAN,DARIO CO ID:XXXXX11101 PPD</t>
  </si>
  <si>
    <t>Zelle Transfer Conf# ext07m955; Dario Francisco Diaz Barragan</t>
  </si>
  <si>
    <t>BKOFAMERICA MOBILE 07/24 XXXXX55905 DEPOSIT *MOBILE NY</t>
  </si>
  <si>
    <t>Online Banking payment to CRD 0549 Confirmation# XXXXX88684</t>
  </si>
  <si>
    <t>FUNDS TRANSFER CREDIT FDES NFL 0026219 367242</t>
  </si>
  <si>
    <t>Beginning balance as of 07/29/2023</t>
  </si>
  <si>
    <t>ROBINHOOD DES:Funds ID:XXXXX8271 INDN:Frank Diaz Barragan CO ID:XXXXX64776 PPD</t>
  </si>
  <si>
    <t>Zelle Transfer Conf# i4w95hhti; Dario Francisco Diaz Barragan</t>
  </si>
  <si>
    <t>NAT'L FUEL GAS DES:UTILITY ID:1214901 INDN:DARIO FRANCISCO DIAZ * CO ID:XXXXX63576 TEL</t>
  </si>
  <si>
    <t>Zelle payment from NICOLAS DIAZ BARRAGAN for Energon"; Conf# pjpnma3qt"</t>
  </si>
  <si>
    <t>JOURNEY'S END RE DES:DIRECT DEP ID:XXXXX73396459BM INDN:DIAZ BARRAGAN,DARIO CO ID:XXXXX11101 PPD</t>
  </si>
  <si>
    <t>Online Banking payment to CRD 6674 Confirmation# XXXXX48855</t>
  </si>
  <si>
    <t>BKOFAMERICA ATM 08/05 #XXXXX9926 WITHDRWL DELAWARE SHERIDAN KENMORE NY</t>
  </si>
  <si>
    <t>Online Banking payment to CRD 6674 Confirmation# XXXXX41453</t>
  </si>
  <si>
    <t>CITIZENSBANK NA DES:PAYMENT ID:XXXXXXXXXX32666 INDN:DARIO F DIAZ BARRAGAN CO ID:XXXXX93818 WEB</t>
  </si>
  <si>
    <t>Online Banking payment to CRD 6674 Confirmation# XXXXX28213</t>
  </si>
  <si>
    <t>BKOFAMERICA ATM 08/16 #XXXXX3768 WITHDRWL ELMWOOD BUFFALO NY</t>
  </si>
  <si>
    <t>Zelle Transfer Conf# 84KE30464; Dario Barragan</t>
  </si>
  <si>
    <t>Zelle Transfer Conf# FEFFE2ZHW; Fabiola Barragan</t>
  </si>
  <si>
    <t>JOURNEY'S END RE DES:DIRECT DEP ID:XXXXX94761969BM INDN:DIAZ BARRAGAN,DARIO CO ID:XXXXX11101 PPD</t>
  </si>
  <si>
    <t>Zelle payment to Mami Conf# dgkyeas7o</t>
  </si>
  <si>
    <t>CITIZENSBANK NA DES:PAYMENT ID:XXXXXXXXXX12762 INDN:DARIO F DIAZ BARRAGAN CO ID:XXXXX93818 TEL</t>
  </si>
  <si>
    <t>CITIZENSBANK NA DES:PAYMENT ID:XXXXXXXXXX12763 INDN:DARIO F DIAZ BARRAGAN CO ID:XXXXX93818 WEB</t>
  </si>
  <si>
    <t>T-MOBILE DES:PCS SVC ID:7051029 INDN:DARIO DIAZ BARRAGA CO ID:XXXXX50304 WEB</t>
  </si>
  <si>
    <t>VENMO DES:PAYMENT ID:XXXXX98697494 INDN:DARIO FRANCISCO DIAZ B CO ID:XXXXX81992 WEB</t>
  </si>
  <si>
    <t>University at Bu DES:NBS REFUND ID:8654711 INDN:Dario Francisco Diaz B CO ID:XXXXX51402 PPD</t>
  </si>
  <si>
    <t>Zelle Transfer Conf# l2z4rq2zw; Dario Francisco Diaz Barragan</t>
  </si>
  <si>
    <t>Zelle Transfer Conf# l7pldnovs; Dario Francisco Diaz Barragan</t>
  </si>
  <si>
    <t>Zelle Transfer Conf# rt1pgul2c; Dario Francisco Diaz Barragan</t>
  </si>
  <si>
    <t>Zelle payment from DARIO BARRAGAN Conf# 99a1emtse</t>
  </si>
  <si>
    <t>Zelle payment from Dario Barragan Conf# VGY6KKYRZ</t>
  </si>
  <si>
    <t>Zelle Transfer Conf# dxhyahlw0; Mami</t>
  </si>
  <si>
    <t>Zelle payment to Nicolas Diaz Hmno for Rent august"; Conf# do741yg3e"</t>
  </si>
  <si>
    <t>Zelle Transfer Conf# bor4obi5k; Dario Francisco Diaz Barragan</t>
  </si>
  <si>
    <t>NAT'L FUEL GAS DES:UTILITY ID:9645705 INDN:DARIO FRANCISCO DIAZ * CO ID:XXXXX63576 TEL</t>
  </si>
  <si>
    <t>JOURNEY'S END RE DES:DIRECT DEP ID:XXXXX49475529BM INDN:DIAZ BARRAGAN,DARIO CO ID:XXXXX11101 PPD</t>
  </si>
  <si>
    <t>correction for reinbusrments</t>
  </si>
  <si>
    <t>Beginning balance as of 09/01/2023</t>
  </si>
  <si>
    <t>BKOFAMERICA ATM 09/01 #XXXXX7304 WITHDRWL NORTH PARK BUFFALO NY</t>
  </si>
  <si>
    <t>Online Banking payment to CRD 6674 Confirmation# XXXXX16859</t>
  </si>
  <si>
    <t>University at Bu DES:NBS REFUND ID:8738602 INDN:Dario Francisco Diaz B CO ID:XXXXX51402 PPD</t>
  </si>
  <si>
    <t>Zelle Transfer Conf# g21h1akej; Dario Francisco Diaz Barragan</t>
  </si>
  <si>
    <t>Zelle payment from Dario Barragan Conf# HUSVHHX04</t>
  </si>
  <si>
    <t>BKOFAMERICA ATM 09/07 #XXXXX4399 WITHDRWL SUNY-STUDENT UNION WILLIAMSVILLE NY</t>
  </si>
  <si>
    <t>Zelle payment from Dario Barragan Conf# SSA0DIARW</t>
  </si>
  <si>
    <t>University at Bu DES:NBS REFUND ID:8799017 INDN:Dario Francisco Diaz B CO ID:XXXXX51402 PPD</t>
  </si>
  <si>
    <t>University at Bu DES:NBS REFUND ID:8799364 INDN:Dario Francisco Diaz B CO ID:XXXXX51402 PPD</t>
  </si>
  <si>
    <t>Zelle payment to Dario Francisco Diaz Barragan Conf# eywihw7r6</t>
  </si>
  <si>
    <t>Zelle payment to Dario Francisco Diaz Barragan Conf# i6pj6r1ft</t>
  </si>
  <si>
    <t>JOURNEY'S END RE DES:DIRECT DEP ID:XXXXX64210729BM INDN:DIAZ BARRAGAN,DARIO CO ID:XXXXX11101 PPD</t>
  </si>
  <si>
    <t>Zelle payment to Dario Francisco Diaz Barragan Conf# d3askg2yq</t>
  </si>
  <si>
    <t>Zelle payment to Dario Francisco Diaz Barragan Conf# i6h96juty</t>
  </si>
  <si>
    <t>Zelle payment to Dario Francisco Diaz Barragan Conf# lpczb01u4</t>
  </si>
  <si>
    <t>Zelle payment from Dario Barragan Conf# SAD6BLCV1</t>
  </si>
  <si>
    <t>JPMS LLC DES:RECEIPT ID:75753098 INDN:DARIO F DIAZ BARRAGAN CO ID:XXXXX04093 PPD</t>
  </si>
  <si>
    <t>Online Banking payment to CRD 0549 Confirmation# XXXXX16260</t>
  </si>
  <si>
    <t>Zelle payment from NICOLAS DIAZ BARRAGAN for Gym y ctas"; Conf# rwasj7lzh"</t>
  </si>
  <si>
    <t>Beginning balance as of 09/30/2022</t>
  </si>
  <si>
    <t>Ending balance as of 10/28/2022</t>
  </si>
  <si>
    <t>Beginning balance as of 09/29/2023</t>
  </si>
  <si>
    <t>JOURNEY'S END RE DES:DIRECT DEP ID:XXXXX23215329BM INDN:DIAZ BARRAGAN,DARIO CO ID:XXXXX11101 PPD</t>
  </si>
  <si>
    <t>Online Banking payment to CRD 0549 Confirmation# XXXXX56982</t>
  </si>
  <si>
    <t>Zelle payment to Nicolas Diaz Hmno for Rent and ctas sep"; Conf# cevysdcfc"</t>
  </si>
  <si>
    <t>Zelle payment to Mami for Salary sep.. Muaaak"; Conf# fc0fvma1o"</t>
  </si>
  <si>
    <t>NAT'L FUEL GAS DES:UTILITY ID:8291535 INDN:DARIO FRANCISCO DIAZ * CO ID:XXXXX63576 TEL</t>
  </si>
  <si>
    <t>Zelle payment from Dario Barragan Conf# 2WNYSHUUF</t>
  </si>
  <si>
    <t>Zelle payment from Dario Barragan Conf# 5N29P9AJJ</t>
  </si>
  <si>
    <t>Online Banking payment to CRD 0549 Confirmation# XXXXX61630</t>
  </si>
  <si>
    <t>Online Banking payment to CRD 6674 Confirmation# XXXXX65965</t>
  </si>
  <si>
    <t>JOURNEY'S END RE DES:DIRECT DEP ID:XXXXX21824149BM INDN:DIAZ BARRAGAN,DARIO CO ID:XXXXX11101 PPD</t>
  </si>
  <si>
    <t>Zelle payment from Dario Barragan Conf# 7MVR1SV81</t>
  </si>
  <si>
    <t>Online Banking payment to CRD 6674 Confirmation# XXXXX81835</t>
  </si>
  <si>
    <t>JOURNEY'S END RE DES:DIRECT DEP ID:XXXXX91024469BM INDN:DIAZ BARRAGAN,DARIO CO ID:XXXXX11101 PPD</t>
  </si>
  <si>
    <t>Beginning balance as of 10/27/2023</t>
  </si>
  <si>
    <t>Ending balance as of 11/24/2023</t>
  </si>
  <si>
    <t>Zelle payment from Dario Barragan Conf# AX6G4LNAC</t>
  </si>
  <si>
    <t>BKOFAMERICA ATM 10/29 #XXXXX7561 WITHDRWL DELAWARE SHERIDAN KENMORE NY</t>
  </si>
  <si>
    <t>Zelle payment to Nicolas Diaz Hmno for Recibo At&amp;t"; Conf# rt7jjx6uy"</t>
  </si>
  <si>
    <t>Zelle payment to Nicolas Diaz Hmno for Oct rent and ctas"; Conf# nm398m63l"</t>
  </si>
  <si>
    <t>Zelle payment to Mami for Ctas y sueldo"; Conf# otprtxwzu"</t>
  </si>
  <si>
    <t>Online Banking payment to CRD 0549 Confirmation# XXXXX29094</t>
  </si>
  <si>
    <t>NAT'L FUEL GAS DES:UTILITY ID:6744997 INDN:DARIO FRANCISCO DIAZ * CO ID:XXXXX63576 TEL</t>
  </si>
  <si>
    <t>Zelle payment from Dario Barragan Conf# OM7QNLOG6</t>
  </si>
  <si>
    <t>Zelle payment from NICOLAS DIAZ BARRAGAN for compras amazon tarjeta fran diferencia"; Conf# jjekz624x"</t>
  </si>
  <si>
    <t>JOURNEY'S END RE DES:DIRECT DEP ID:XXXXX08471119BM INDN:DIAZ BARRAGAN,DARIO CO ID:XXXXX11101 PPD</t>
  </si>
  <si>
    <t>Bank of America DES:CASHREWARD ID:DIAZ BARRAGAN INDN:XXXXX0060XXXXX21XXXXX0 CO ID:XXXXX90310 PPD</t>
  </si>
  <si>
    <t>Zelle payment from NICOLAS DIAZ BARRAGAN for Gym membership"; Conf# lm6pkaqnk"</t>
  </si>
  <si>
    <t>JOURNEY'S END RE DES:DIRECT DEP ID:XXXXX81801479BM INDN:DIAZ BARRAGAN,DARIO CO ID:XXXXX11101 PPD</t>
  </si>
  <si>
    <t>Beginning balance as of 11/24/2023</t>
  </si>
  <si>
    <t>Ending balance as of 12/22/2023</t>
  </si>
  <si>
    <t>Zelle payment to Nicolas Diaz Hmno for Ctas nov 23 att48"; Conf# io8jhkqak"</t>
  </si>
  <si>
    <t>WELLS FARGO CARD DES:CCPYMT ID:XXXXXXXXXX3305 INDN:DIAZBARRAGAN DARIO CO ID:XXXXX50794 WEB</t>
  </si>
  <si>
    <t>Zelle payment to Mami for Nogymmomida"; Conf# ekh68rd6s"</t>
  </si>
  <si>
    <t>Zelle payment from Dario Barragan Conf# 3VQI5Q38T</t>
  </si>
  <si>
    <t>JOURNEY'S END RE DES:DIRECT DEP ID:XXXXX08235659BM INDN:DIAZ BARRAGAN,DARIO CO ID:XXXXX11101 PPD</t>
  </si>
  <si>
    <t>JOURNEY'S END RE DES:DIRECT DEP ID:XXXXX69317989BM INDN:DIAZ BARRAGAN,DARIO CO ID:XXXXX11101 PPD</t>
  </si>
  <si>
    <t>Check 120</t>
  </si>
  <si>
    <t>JOURNEY'S END RE DES:DIRECT DEP ID:XXXXX07040829BM INDN:DIAZ BARRAGAN,DARIO CO ID:XXXXX11101 PPD</t>
  </si>
  <si>
    <t>Net Worth Summary as of date 05/31/2024</t>
  </si>
  <si>
    <t>Robinhood-Robinhood Roth IRA-ira-x-3101</t>
  </si>
  <si>
    <t>05/31/2024 10:56 pm ET</t>
  </si>
  <si>
    <t>Robinhood-Robinhood Traditional IRA-ira-x-1149</t>
  </si>
  <si>
    <t>Robinhood-Robinhood Crypto-other-x-1565</t>
  </si>
  <si>
    <t>05/15/2024 09:56 pm ET</t>
  </si>
  <si>
    <t>05/15/2024 09:53 pm ET</t>
  </si>
  <si>
    <t>American Express Cards-Blue Cash Preferred (xx1009)-x-1009</t>
  </si>
  <si>
    <t>American Express Cards-Blue Cash Everyday (xx1007)-x-1007</t>
  </si>
  <si>
    <t>Bank of America-Travel Rewards Visa Signature-x-1383</t>
  </si>
  <si>
    <t>05/31/2024 10:57 pm ET</t>
  </si>
  <si>
    <r>
      <t>Loan BPS Collen Fund-Personal/</t>
    </r>
    <r>
      <rPr>
        <sz val="11"/>
        <color rgb="FFFF0000"/>
        <rFont val="Calibri"/>
        <family val="2"/>
        <scheme val="minor"/>
      </rPr>
      <t>Nopay till further noitice</t>
    </r>
  </si>
  <si>
    <t>Real&gt;&gt;^^</t>
  </si>
  <si>
    <t xml:space="preserve">CC Debt </t>
  </si>
  <si>
    <t>Amazon/other</t>
  </si>
  <si>
    <t>Col</t>
  </si>
  <si>
    <t>Total partial</t>
  </si>
  <si>
    <t>Liquid</t>
  </si>
  <si>
    <t>Less Liquid(rotht and IRA/long bonds)</t>
  </si>
  <si>
    <t>Total(Liquid/LessLiq)</t>
  </si>
  <si>
    <t>Net Worth Summary as of date 06/29/2024</t>
  </si>
  <si>
    <t>06/29/2024 01:48 pm ET</t>
  </si>
  <si>
    <t>06/29/2024 01:22 am ET</t>
  </si>
  <si>
    <t>06/09/2024 03:22 pm ET</t>
  </si>
  <si>
    <t>TreasuryShortyTerm(Bondy)-OTHER</t>
  </si>
  <si>
    <t>06/07/2024 08:08 pm ET</t>
  </si>
  <si>
    <t>06/29/2024 01:50 pm ET</t>
  </si>
  <si>
    <t>06/29/2024 01:43 pm ET</t>
  </si>
  <si>
    <t>06/29/2024 02:07 pm ET</t>
  </si>
  <si>
    <t>/Nopay till further noitice</t>
  </si>
  <si>
    <t>Loan BPS Collen Fund-Personal/Nopay till further noitice</t>
  </si>
  <si>
    <t>Total Portfolio</t>
  </si>
  <si>
    <t>=E17-I18</t>
  </si>
  <si>
    <t>DIV BY2 :(</t>
  </si>
  <si>
    <t>600 rent start Jul2024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</si>
</sst>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Red]#&quot; Days Overdue&quot;;[Blue]#&quot; Days Remaining&quot;;[Color10]#&quot; Today&quot;"/>
    <numFmt numFmtId="166" formatCode="[$-409]mmmm\-yy"/>
    <numFmt numFmtId="167" formatCode="[$$-409]#,##0.00"/>
    <numFmt numFmtId="168" formatCode="[$-F800]dddd\,\ mmmm\ dd\,\ yyyy"/>
    <numFmt numFmtId="169" formatCode="#,##0.0000000"/>
  </numFmts>
  <fonts count="41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40"/>
      <color theme="4"/>
      <name val="Calibri"/>
    </font>
    <font>
      <sz val="11"/>
      <name val="Calibri"/>
    </font>
    <font>
      <b/>
      <sz val="36"/>
      <color rgb="FF244061"/>
      <name val="Calibri"/>
    </font>
    <font>
      <b/>
      <sz val="20"/>
      <color theme="4"/>
      <name val="Calibri"/>
    </font>
    <font>
      <b/>
      <sz val="20"/>
      <color rgb="FF00B050"/>
      <name val="Calibri"/>
    </font>
    <font>
      <b/>
      <sz val="20"/>
      <color rgb="FF7030A0"/>
      <name val="Calibri"/>
    </font>
    <font>
      <b/>
      <sz val="20"/>
      <color rgb="FF0070C0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2"/>
      <color theme="1"/>
      <name val="Comic Sans MS"/>
    </font>
    <font>
      <sz val="12"/>
      <color theme="1"/>
      <name val="Calibri"/>
    </font>
    <font>
      <sz val="24"/>
      <color rgb="FFFF0000"/>
      <name val="Calibri"/>
    </font>
    <font>
      <sz val="12"/>
      <color rgb="FFFF0000"/>
      <name val="Calibri"/>
    </font>
    <font>
      <sz val="12"/>
      <color rgb="FFFF0000"/>
      <name val="Comic Sans MS"/>
    </font>
    <font>
      <sz val="12"/>
      <color rgb="FF0070C0"/>
      <name val="Comic Sans MS"/>
    </font>
    <font>
      <sz val="10"/>
      <color rgb="FFFF0000"/>
      <name val="Calibri"/>
    </font>
    <font>
      <sz val="10"/>
      <color rgb="FF000000"/>
      <name val="Calibri"/>
    </font>
    <font>
      <b/>
      <sz val="8"/>
      <color theme="1"/>
      <name val="Comic Sans MS"/>
    </font>
    <font>
      <sz val="11"/>
      <color rgb="FFFF0000"/>
      <name val="Comic Sans MS"/>
    </font>
    <font>
      <b/>
      <sz val="12"/>
      <color rgb="FF000000"/>
      <name val="Calibri"/>
    </font>
    <font>
      <b/>
      <sz val="9"/>
      <color rgb="FF000000"/>
      <name val="Calibri"/>
    </font>
    <font>
      <sz val="12"/>
      <color rgb="FFFF00FF"/>
      <name val="Comic Sans MS"/>
    </font>
    <font>
      <sz val="12"/>
      <color rgb="FF000000"/>
      <name val="Comic Sans MS"/>
    </font>
    <font>
      <sz val="10"/>
      <color theme="1"/>
      <name val="Calibri"/>
    </font>
    <font>
      <b/>
      <sz val="11"/>
      <color rgb="FFFF0000"/>
      <name val="Calibri"/>
    </font>
    <font>
      <b/>
      <sz val="11"/>
      <color rgb="FF00B0F0"/>
      <name val="Calibri"/>
    </font>
    <font>
      <sz val="11"/>
      <color theme="1"/>
      <name val="Calibri"/>
      <scheme val="minor"/>
    </font>
    <font>
      <sz val="12"/>
      <color theme="1"/>
      <name val="Arial"/>
    </font>
    <font>
      <b/>
      <sz val="11"/>
      <color theme="1"/>
      <name val="Calibri"/>
    </font>
    <font>
      <b/>
      <sz val="11"/>
      <color rgb="FF0070C0"/>
      <name val="Calibri"/>
    </font>
    <font>
      <sz val="7"/>
      <color rgb="FF000000"/>
      <name val="Roboto"/>
    </font>
    <font>
      <b/>
      <sz val="12"/>
      <color rgb="FFFF0000"/>
      <name val="Calibri"/>
    </font>
    <font>
      <b/>
      <sz val="14"/>
      <color rgb="FFFF0000"/>
      <name val="Calibri"/>
    </font>
    <font>
      <sz val="11"/>
      <color rgb="FFFF0000"/>
      <name val="Calibri"/>
      <family val="2"/>
      <scheme val="minor"/>
    </font>
    <font>
      <b/>
      <sz val="14"/>
      <color rgb="FF0070C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B6DDE8"/>
        <bgColor rgb="FFB6DDE8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E5DFEC"/>
        <bgColor rgb="FFE5DFEC"/>
      </patternFill>
    </fill>
    <fill>
      <patternFill patternType="solid">
        <fgColor rgb="FF00B0F0"/>
        <bgColor rgb="FF00B0F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theme="1"/>
      </bottom>
      <diagonal/>
    </border>
    <border>
      <left style="thin">
        <color rgb="FFFFFFFF"/>
      </left>
      <right/>
      <top style="thin">
        <color rgb="FFFFFFFF"/>
      </top>
      <bottom style="medium">
        <color theme="1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10" fillId="3" borderId="7" xfId="0" applyFont="1" applyFill="1" applyBorder="1"/>
    <xf numFmtId="44" fontId="2" fillId="3" borderId="7" xfId="0" applyNumberFormat="1" applyFont="1" applyFill="1" applyBorder="1"/>
    <xf numFmtId="44" fontId="2" fillId="2" borderId="1" xfId="0" applyNumberFormat="1" applyFont="1" applyFill="1" applyBorder="1"/>
    <xf numFmtId="0" fontId="2" fillId="4" borderId="7" xfId="0" applyFont="1" applyFill="1" applyBorder="1" applyAlignment="1">
      <alignment horizontal="center"/>
    </xf>
    <xf numFmtId="44" fontId="2" fillId="5" borderId="7" xfId="0" applyNumberFormat="1" applyFont="1" applyFill="1" applyBorder="1"/>
    <xf numFmtId="44" fontId="2" fillId="6" borderId="7" xfId="0" applyNumberFormat="1" applyFont="1" applyFill="1" applyBorder="1"/>
    <xf numFmtId="44" fontId="2" fillId="7" borderId="7" xfId="0" applyNumberFormat="1" applyFont="1" applyFill="1" applyBorder="1"/>
    <xf numFmtId="44" fontId="2" fillId="7" borderId="8" xfId="0" applyNumberFormat="1" applyFont="1" applyFill="1" applyBorder="1"/>
    <xf numFmtId="0" fontId="11" fillId="8" borderId="1" xfId="0" applyFont="1" applyFill="1" applyBorder="1"/>
    <xf numFmtId="44" fontId="10" fillId="2" borderId="1" xfId="0" applyNumberFormat="1" applyFont="1" applyFill="1" applyBorder="1"/>
    <xf numFmtId="0" fontId="12" fillId="2" borderId="1" xfId="0" applyFont="1" applyFill="1" applyBorder="1"/>
    <xf numFmtId="164" fontId="11" fillId="2" borderId="1" xfId="0" applyNumberFormat="1" applyFont="1" applyFill="1" applyBorder="1"/>
    <xf numFmtId="0" fontId="2" fillId="3" borderId="7" xfId="0" applyFont="1" applyFill="1" applyBorder="1"/>
    <xf numFmtId="164" fontId="2" fillId="2" borderId="1" xfId="0" applyNumberFormat="1" applyFont="1" applyFill="1" applyBorder="1"/>
    <xf numFmtId="14" fontId="11" fillId="2" borderId="1" xfId="0" applyNumberFormat="1" applyFont="1" applyFill="1" applyBorder="1"/>
    <xf numFmtId="44" fontId="11" fillId="2" borderId="1" xfId="0" applyNumberFormat="1" applyFont="1" applyFill="1" applyBorder="1"/>
    <xf numFmtId="44" fontId="13" fillId="3" borderId="7" xfId="0" applyNumberFormat="1" applyFont="1" applyFill="1" applyBorder="1"/>
    <xf numFmtId="44" fontId="2" fillId="2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/>
    <xf numFmtId="44" fontId="14" fillId="8" borderId="1" xfId="0" applyNumberFormat="1" applyFont="1" applyFill="1" applyBorder="1" applyAlignment="1">
      <alignment horizontal="center"/>
    </xf>
    <xf numFmtId="44" fontId="15" fillId="8" borderId="1" xfId="0" applyNumberFormat="1" applyFont="1" applyFill="1" applyBorder="1"/>
    <xf numFmtId="0" fontId="2" fillId="4" borderId="11" xfId="0" applyFont="1" applyFill="1" applyBorder="1" applyAlignment="1">
      <alignment horizontal="center"/>
    </xf>
    <xf numFmtId="44" fontId="2" fillId="5" borderId="11" xfId="0" applyNumberFormat="1" applyFont="1" applyFill="1" applyBorder="1"/>
    <xf numFmtId="44" fontId="2" fillId="6" borderId="11" xfId="0" applyNumberFormat="1" applyFont="1" applyFill="1" applyBorder="1"/>
    <xf numFmtId="44" fontId="2" fillId="7" borderId="11" xfId="0" applyNumberFormat="1" applyFont="1" applyFill="1" applyBorder="1"/>
    <xf numFmtId="44" fontId="2" fillId="7" borderId="12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44" fontId="2" fillId="5" borderId="13" xfId="0" applyNumberFormat="1" applyFont="1" applyFill="1" applyBorder="1"/>
    <xf numFmtId="0" fontId="2" fillId="6" borderId="1" xfId="0" applyFont="1" applyFill="1" applyBorder="1"/>
    <xf numFmtId="44" fontId="2" fillId="6" borderId="13" xfId="0" applyNumberFormat="1" applyFont="1" applyFill="1" applyBorder="1"/>
    <xf numFmtId="0" fontId="2" fillId="7" borderId="1" xfId="0" applyFont="1" applyFill="1" applyBorder="1"/>
    <xf numFmtId="44" fontId="2" fillId="7" borderId="13" xfId="0" applyNumberFormat="1" applyFont="1" applyFill="1" applyBorder="1"/>
    <xf numFmtId="0" fontId="2" fillId="3" borderId="1" xfId="0" applyFont="1" applyFill="1" applyBorder="1"/>
    <xf numFmtId="44" fontId="12" fillId="3" borderId="7" xfId="0" applyNumberFormat="1" applyFont="1" applyFill="1" applyBorder="1"/>
    <xf numFmtId="0" fontId="2" fillId="10" borderId="1" xfId="0" applyFont="1" applyFill="1" applyBorder="1"/>
    <xf numFmtId="44" fontId="2" fillId="10" borderId="1" xfId="0" applyNumberFormat="1" applyFont="1" applyFill="1" applyBorder="1"/>
    <xf numFmtId="44" fontId="12" fillId="10" borderId="1" xfId="0" applyNumberFormat="1" applyFont="1" applyFill="1" applyBorder="1"/>
    <xf numFmtId="44" fontId="15" fillId="10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44" fontId="12" fillId="2" borderId="1" xfId="0" applyNumberFormat="1" applyFont="1" applyFill="1" applyBorder="1"/>
    <xf numFmtId="44" fontId="15" fillId="2" borderId="1" xfId="0" applyNumberFormat="1" applyFont="1" applyFill="1" applyBorder="1"/>
    <xf numFmtId="0" fontId="16" fillId="2" borderId="14" xfId="0" applyFont="1" applyFill="1" applyBorder="1" applyAlignment="1">
      <alignment vertical="center"/>
    </xf>
    <xf numFmtId="44" fontId="2" fillId="8" borderId="1" xfId="0" applyNumberFormat="1" applyFont="1" applyFill="1" applyBorder="1"/>
    <xf numFmtId="44" fontId="12" fillId="8" borderId="1" xfId="0" applyNumberFormat="1" applyFont="1" applyFill="1" applyBorder="1"/>
    <xf numFmtId="0" fontId="10" fillId="2" borderId="1" xfId="0" applyFont="1" applyFill="1" applyBorder="1"/>
    <xf numFmtId="0" fontId="11" fillId="11" borderId="7" xfId="0" applyFont="1" applyFill="1" applyBorder="1" applyAlignment="1">
      <alignment horizontal="center"/>
    </xf>
    <xf numFmtId="44" fontId="17" fillId="11" borderId="8" xfId="0" applyNumberFormat="1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44" fontId="12" fillId="12" borderId="17" xfId="0" applyNumberFormat="1" applyFont="1" applyFill="1" applyBorder="1" applyAlignment="1">
      <alignment horizontal="center"/>
    </xf>
    <xf numFmtId="0" fontId="12" fillId="12" borderId="17" xfId="0" applyFont="1" applyFill="1" applyBorder="1"/>
    <xf numFmtId="14" fontId="18" fillId="9" borderId="17" xfId="0" applyNumberFormat="1" applyFont="1" applyFill="1" applyBorder="1"/>
    <xf numFmtId="44" fontId="12" fillId="12" borderId="17" xfId="0" applyNumberFormat="1" applyFont="1" applyFill="1" applyBorder="1"/>
    <xf numFmtId="44" fontId="20" fillId="12" borderId="17" xfId="0" applyNumberFormat="1" applyFont="1" applyFill="1" applyBorder="1" applyAlignment="1">
      <alignment vertical="center"/>
    </xf>
    <xf numFmtId="44" fontId="21" fillId="2" borderId="1" xfId="0" applyNumberFormat="1" applyFont="1" applyFill="1" applyBorder="1"/>
    <xf numFmtId="14" fontId="18" fillId="9" borderId="17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21" xfId="0" applyFont="1" applyFill="1" applyBorder="1"/>
    <xf numFmtId="44" fontId="22" fillId="2" borderId="17" xfId="0" applyNumberFormat="1" applyFont="1" applyFill="1" applyBorder="1"/>
    <xf numFmtId="14" fontId="23" fillId="9" borderId="17" xfId="0" applyNumberFormat="1" applyFont="1" applyFill="1" applyBorder="1"/>
    <xf numFmtId="44" fontId="17" fillId="11" borderId="7" xfId="0" applyNumberFormat="1" applyFont="1" applyFill="1" applyBorder="1" applyAlignment="1">
      <alignment horizontal="center"/>
    </xf>
    <xf numFmtId="14" fontId="24" fillId="8" borderId="1" xfId="0" applyNumberFormat="1" applyFont="1" applyFill="1" applyBorder="1" applyAlignment="1">
      <alignment horizontal="center"/>
    </xf>
    <xf numFmtId="0" fontId="2" fillId="8" borderId="17" xfId="0" applyFont="1" applyFill="1" applyBorder="1"/>
    <xf numFmtId="0" fontId="2" fillId="2" borderId="22" xfId="0" applyFont="1" applyFill="1" applyBorder="1"/>
    <xf numFmtId="44" fontId="25" fillId="8" borderId="17" xfId="0" applyNumberFormat="1" applyFont="1" applyFill="1" applyBorder="1" applyAlignment="1">
      <alignment horizontal="center"/>
    </xf>
    <xf numFmtId="44" fontId="15" fillId="8" borderId="23" xfId="0" applyNumberFormat="1" applyFont="1" applyFill="1" applyBorder="1"/>
    <xf numFmtId="14" fontId="24" fillId="8" borderId="17" xfId="0" applyNumberFormat="1" applyFont="1" applyFill="1" applyBorder="1" applyAlignment="1">
      <alignment horizontal="center"/>
    </xf>
    <xf numFmtId="44" fontId="10" fillId="8" borderId="23" xfId="0" applyNumberFormat="1" applyFont="1" applyFill="1" applyBorder="1"/>
    <xf numFmtId="14" fontId="26" fillId="8" borderId="17" xfId="0" applyNumberFormat="1" applyFont="1" applyFill="1" applyBorder="1"/>
    <xf numFmtId="0" fontId="26" fillId="2" borderId="17" xfId="0" applyFont="1" applyFill="1" applyBorder="1"/>
    <xf numFmtId="44" fontId="15" fillId="8" borderId="17" xfId="0" applyNumberFormat="1" applyFont="1" applyFill="1" applyBorder="1"/>
    <xf numFmtId="44" fontId="15" fillId="8" borderId="22" xfId="0" applyNumberFormat="1" applyFont="1" applyFill="1" applyBorder="1"/>
    <xf numFmtId="44" fontId="11" fillId="8" borderId="1" xfId="0" applyNumberFormat="1" applyFont="1" applyFill="1" applyBorder="1"/>
    <xf numFmtId="0" fontId="10" fillId="8" borderId="1" xfId="0" applyFont="1" applyFill="1" applyBorder="1"/>
    <xf numFmtId="44" fontId="10" fillId="8" borderId="21" xfId="0" applyNumberFormat="1" applyFont="1" applyFill="1" applyBorder="1"/>
    <xf numFmtId="44" fontId="15" fillId="8" borderId="21" xfId="0" applyNumberFormat="1" applyFont="1" applyFill="1" applyBorder="1"/>
    <xf numFmtId="0" fontId="15" fillId="8" borderId="1" xfId="0" applyFont="1" applyFill="1" applyBorder="1"/>
    <xf numFmtId="0" fontId="18" fillId="8" borderId="23" xfId="0" applyFont="1" applyFill="1" applyBorder="1"/>
    <xf numFmtId="0" fontId="2" fillId="13" borderId="24" xfId="0" applyFont="1" applyFill="1" applyBorder="1" applyAlignment="1">
      <alignment horizontal="center"/>
    </xf>
    <xf numFmtId="0" fontId="2" fillId="13" borderId="25" xfId="0" applyFont="1" applyFill="1" applyBorder="1" applyAlignment="1">
      <alignment horizontal="center"/>
    </xf>
    <xf numFmtId="44" fontId="11" fillId="13" borderId="25" xfId="0" applyNumberFormat="1" applyFont="1" applyFill="1" applyBorder="1" applyAlignment="1">
      <alignment horizontal="center"/>
    </xf>
    <xf numFmtId="44" fontId="11" fillId="13" borderId="26" xfId="0" applyNumberFormat="1" applyFont="1" applyFill="1" applyBorder="1" applyAlignment="1">
      <alignment horizontal="center"/>
    </xf>
    <xf numFmtId="44" fontId="11" fillId="13" borderId="24" xfId="0" applyNumberFormat="1" applyFont="1" applyFill="1" applyBorder="1" applyAlignment="1">
      <alignment horizontal="center"/>
    </xf>
    <xf numFmtId="0" fontId="17" fillId="8" borderId="23" xfId="0" applyFont="1" applyFill="1" applyBorder="1"/>
    <xf numFmtId="166" fontId="11" fillId="14" borderId="22" xfId="0" applyNumberFormat="1" applyFont="1" applyFill="1" applyBorder="1" applyAlignment="1">
      <alignment horizontal="center"/>
    </xf>
    <xf numFmtId="44" fontId="2" fillId="5" borderId="22" xfId="0" applyNumberFormat="1" applyFont="1" applyFill="1" applyBorder="1"/>
    <xf numFmtId="44" fontId="2" fillId="5" borderId="27" xfId="0" applyNumberFormat="1" applyFont="1" applyFill="1" applyBorder="1"/>
    <xf numFmtId="44" fontId="11" fillId="5" borderId="27" xfId="0" applyNumberFormat="1" applyFont="1" applyFill="1" applyBorder="1"/>
    <xf numFmtId="44" fontId="15" fillId="15" borderId="22" xfId="0" applyNumberFormat="1" applyFont="1" applyFill="1" applyBorder="1"/>
    <xf numFmtId="166" fontId="11" fillId="15" borderId="28" xfId="0" applyNumberFormat="1" applyFont="1" applyFill="1" applyBorder="1"/>
    <xf numFmtId="44" fontId="2" fillId="5" borderId="17" xfId="0" applyNumberFormat="1" applyFont="1" applyFill="1" applyBorder="1"/>
    <xf numFmtId="44" fontId="2" fillId="5" borderId="29" xfId="0" applyNumberFormat="1" applyFont="1" applyFill="1" applyBorder="1"/>
    <xf numFmtId="0" fontId="27" fillId="8" borderId="23" xfId="0" applyFont="1" applyFill="1" applyBorder="1"/>
    <xf numFmtId="166" fontId="11" fillId="14" borderId="17" xfId="0" applyNumberFormat="1" applyFont="1" applyFill="1" applyBorder="1" applyAlignment="1">
      <alignment horizontal="center"/>
    </xf>
    <xf numFmtId="44" fontId="10" fillId="5" borderId="23" xfId="0" applyNumberFormat="1" applyFont="1" applyFill="1" applyBorder="1"/>
    <xf numFmtId="44" fontId="15" fillId="15" borderId="1" xfId="0" applyNumberFormat="1" applyFont="1" applyFill="1" applyBorder="1"/>
    <xf numFmtId="44" fontId="28" fillId="8" borderId="1" xfId="0" applyNumberFormat="1" applyFont="1" applyFill="1" applyBorder="1"/>
    <xf numFmtId="0" fontId="11" fillId="11" borderId="30" xfId="0" applyFont="1" applyFill="1" applyBorder="1" applyAlignment="1">
      <alignment horizontal="center"/>
    </xf>
    <xf numFmtId="44" fontId="17" fillId="11" borderId="31" xfId="0" applyNumberFormat="1" applyFont="1" applyFill="1" applyBorder="1" applyAlignment="1">
      <alignment horizontal="center"/>
    </xf>
    <xf numFmtId="44" fontId="2" fillId="8" borderId="23" xfId="0" applyNumberFormat="1" applyFont="1" applyFill="1" applyBorder="1"/>
    <xf numFmtId="44" fontId="21" fillId="8" borderId="1" xfId="0" applyNumberFormat="1" applyFont="1" applyFill="1" applyBorder="1"/>
    <xf numFmtId="44" fontId="2" fillId="11" borderId="32" xfId="0" applyNumberFormat="1" applyFont="1" applyFill="1" applyBorder="1" applyAlignment="1">
      <alignment horizontal="center"/>
    </xf>
    <xf numFmtId="44" fontId="29" fillId="11" borderId="32" xfId="0" applyNumberFormat="1" applyFont="1" applyFill="1" applyBorder="1" applyAlignment="1">
      <alignment horizontal="center"/>
    </xf>
    <xf numFmtId="44" fontId="2" fillId="5" borderId="23" xfId="0" applyNumberFormat="1" applyFont="1" applyFill="1" applyBorder="1"/>
    <xf numFmtId="44" fontId="24" fillId="15" borderId="1" xfId="0" applyNumberFormat="1" applyFont="1" applyFill="1" applyBorder="1"/>
    <xf numFmtId="44" fontId="2" fillId="15" borderId="1" xfId="0" applyNumberFormat="1" applyFont="1" applyFill="1" applyBorder="1"/>
    <xf numFmtId="44" fontId="30" fillId="8" borderId="1" xfId="0" applyNumberFormat="1" applyFont="1" applyFill="1" applyBorder="1"/>
    <xf numFmtId="0" fontId="2" fillId="15" borderId="1" xfId="0" applyFont="1" applyFill="1" applyBorder="1"/>
    <xf numFmtId="166" fontId="2" fillId="14" borderId="17" xfId="0" applyNumberFormat="1" applyFont="1" applyFill="1" applyBorder="1" applyAlignment="1">
      <alignment horizontal="center"/>
    </xf>
    <xf numFmtId="166" fontId="11" fillId="15" borderId="33" xfId="0" applyNumberFormat="1" applyFont="1" applyFill="1" applyBorder="1"/>
    <xf numFmtId="44" fontId="2" fillId="5" borderId="34" xfId="0" applyNumberFormat="1" applyFont="1" applyFill="1" applyBorder="1"/>
    <xf numFmtId="44" fontId="2" fillId="5" borderId="35" xfId="0" applyNumberFormat="1" applyFont="1" applyFill="1" applyBorder="1"/>
    <xf numFmtId="10" fontId="2" fillId="2" borderId="1" xfId="0" applyNumberFormat="1" applyFont="1" applyFill="1" applyBorder="1"/>
    <xf numFmtId="164" fontId="11" fillId="2" borderId="1" xfId="0" quotePrefix="1" applyNumberFormat="1" applyFont="1" applyFill="1" applyBorder="1"/>
    <xf numFmtId="164" fontId="11" fillId="8" borderId="1" xfId="0" applyNumberFormat="1" applyFont="1" applyFill="1" applyBorder="1"/>
    <xf numFmtId="166" fontId="11" fillId="15" borderId="17" xfId="0" applyNumberFormat="1" applyFont="1" applyFill="1" applyBorder="1"/>
    <xf numFmtId="164" fontId="2" fillId="15" borderId="17" xfId="0" applyNumberFormat="1" applyFont="1" applyFill="1" applyBorder="1"/>
    <xf numFmtId="44" fontId="21" fillId="15" borderId="23" xfId="0" applyNumberFormat="1" applyFont="1" applyFill="1" applyBorder="1"/>
    <xf numFmtId="44" fontId="11" fillId="15" borderId="23" xfId="0" applyNumberFormat="1" applyFont="1" applyFill="1" applyBorder="1"/>
    <xf numFmtId="164" fontId="11" fillId="15" borderId="1" xfId="0" applyNumberFormat="1" applyFont="1" applyFill="1" applyBorder="1"/>
    <xf numFmtId="0" fontId="11" fillId="2" borderId="1" xfId="0" applyFont="1" applyFill="1" applyBorder="1"/>
    <xf numFmtId="0" fontId="6" fillId="2" borderId="17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center" vertical="center"/>
    </xf>
    <xf numFmtId="0" fontId="11" fillId="2" borderId="17" xfId="0" applyFont="1" applyFill="1" applyBorder="1"/>
    <xf numFmtId="14" fontId="11" fillId="2" borderId="17" xfId="0" applyNumberFormat="1" applyFont="1" applyFill="1" applyBorder="1"/>
    <xf numFmtId="44" fontId="11" fillId="2" borderId="17" xfId="0" applyNumberFormat="1" applyFont="1" applyFill="1" applyBorder="1"/>
    <xf numFmtId="44" fontId="24" fillId="2" borderId="17" xfId="0" applyNumberFormat="1" applyFont="1" applyFill="1" applyBorder="1"/>
    <xf numFmtId="44" fontId="24" fillId="2" borderId="1" xfId="0" applyNumberFormat="1" applyFont="1" applyFill="1" applyBorder="1"/>
    <xf numFmtId="0" fontId="2" fillId="15" borderId="17" xfId="0" applyFont="1" applyFill="1" applyBorder="1" applyAlignment="1">
      <alignment horizontal="center"/>
    </xf>
    <xf numFmtId="0" fontId="11" fillId="15" borderId="17" xfId="0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/>
    </xf>
    <xf numFmtId="0" fontId="2" fillId="14" borderId="17" xfId="0" applyFont="1" applyFill="1" applyBorder="1" applyAlignment="1">
      <alignment horizontal="left" vertical="center"/>
    </xf>
    <xf numFmtId="8" fontId="11" fillId="16" borderId="17" xfId="0" applyNumberFormat="1" applyFont="1" applyFill="1" applyBorder="1" applyAlignment="1">
      <alignment horizontal="center" vertical="center"/>
    </xf>
    <xf numFmtId="8" fontId="11" fillId="16" borderId="17" xfId="0" applyNumberFormat="1" applyFont="1" applyFill="1" applyBorder="1" applyAlignment="1">
      <alignment horizontal="center"/>
    </xf>
    <xf numFmtId="8" fontId="2" fillId="16" borderId="17" xfId="0" applyNumberFormat="1" applyFont="1" applyFill="1" applyBorder="1" applyAlignment="1">
      <alignment horizontal="center"/>
    </xf>
    <xf numFmtId="10" fontId="12" fillId="16" borderId="17" xfId="0" applyNumberFormat="1" applyFont="1" applyFill="1" applyBorder="1"/>
    <xf numFmtId="0" fontId="11" fillId="14" borderId="17" xfId="0" applyFont="1" applyFill="1" applyBorder="1" applyAlignment="1">
      <alignment horizontal="left" vertical="center"/>
    </xf>
    <xf numFmtId="8" fontId="11" fillId="2" borderId="17" xfId="0" applyNumberFormat="1" applyFont="1" applyFill="1" applyBorder="1"/>
    <xf numFmtId="8" fontId="12" fillId="16" borderId="17" xfId="0" applyNumberFormat="1" applyFont="1" applyFill="1" applyBorder="1" applyAlignment="1">
      <alignment horizontal="center" vertical="center"/>
    </xf>
    <xf numFmtId="8" fontId="17" fillId="16" borderId="17" xfId="0" applyNumberFormat="1" applyFont="1" applyFill="1" applyBorder="1" applyAlignment="1">
      <alignment horizontal="center" vertical="center"/>
    </xf>
    <xf numFmtId="8" fontId="20" fillId="16" borderId="17" xfId="0" applyNumberFormat="1" applyFont="1" applyFill="1" applyBorder="1" applyAlignment="1">
      <alignment horizontal="center" vertical="center"/>
    </xf>
    <xf numFmtId="10" fontId="17" fillId="16" borderId="17" xfId="0" applyNumberFormat="1" applyFont="1" applyFill="1" applyBorder="1" applyAlignment="1">
      <alignment horizontal="center" vertical="center"/>
    </xf>
    <xf numFmtId="44" fontId="11" fillId="2" borderId="17" xfId="0" applyNumberFormat="1" applyFont="1" applyFill="1" applyBorder="1" applyAlignment="1">
      <alignment horizontal="center" vertical="center"/>
    </xf>
    <xf numFmtId="167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/>
    </xf>
    <xf numFmtId="44" fontId="11" fillId="2" borderId="1" xfId="0" applyNumberFormat="1" applyFont="1" applyFill="1" applyBorder="1" applyAlignment="1">
      <alignment horizontal="center"/>
    </xf>
    <xf numFmtId="167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1" fillId="0" borderId="0" xfId="0" applyFont="1"/>
    <xf numFmtId="44" fontId="2" fillId="0" borderId="0" xfId="0" applyNumberFormat="1" applyFont="1"/>
    <xf numFmtId="0" fontId="2" fillId="0" borderId="0" xfId="0" applyFont="1"/>
    <xf numFmtId="0" fontId="12" fillId="0" borderId="0" xfId="0" applyFont="1"/>
    <xf numFmtId="44" fontId="12" fillId="0" borderId="0" xfId="0" applyNumberFormat="1" applyFont="1"/>
    <xf numFmtId="0" fontId="11" fillId="17" borderId="36" xfId="0" applyFont="1" applyFill="1" applyBorder="1" applyAlignment="1">
      <alignment horizontal="center" vertical="center" wrapText="1"/>
    </xf>
    <xf numFmtId="168" fontId="11" fillId="17" borderId="36" xfId="0" applyNumberFormat="1" applyFont="1" applyFill="1" applyBorder="1" applyAlignment="1">
      <alignment horizontal="center" vertical="center" wrapText="1"/>
    </xf>
    <xf numFmtId="0" fontId="2" fillId="17" borderId="36" xfId="0" applyFont="1" applyFill="1" applyBorder="1" applyAlignment="1">
      <alignment horizontal="center" vertical="center" wrapText="1"/>
    </xf>
    <xf numFmtId="164" fontId="2" fillId="17" borderId="37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4" fontId="2" fillId="17" borderId="1" xfId="0" applyNumberFormat="1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168" fontId="11" fillId="0" borderId="36" xfId="0" applyNumberFormat="1" applyFont="1" applyBorder="1" applyAlignment="1">
      <alignment horizontal="center" vertical="center"/>
    </xf>
    <xf numFmtId="44" fontId="11" fillId="0" borderId="36" xfId="0" applyNumberFormat="1" applyFont="1" applyBorder="1" applyAlignment="1">
      <alignment horizontal="center" vertical="center"/>
    </xf>
    <xf numFmtId="169" fontId="2" fillId="0" borderId="36" xfId="0" applyNumberFormat="1" applyFont="1" applyBorder="1" applyAlignment="1">
      <alignment horizontal="center" vertical="center"/>
    </xf>
    <xf numFmtId="167" fontId="2" fillId="0" borderId="38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7" fontId="2" fillId="0" borderId="40" xfId="0" applyNumberFormat="1" applyFont="1" applyBorder="1" applyAlignment="1">
      <alignment horizontal="center"/>
    </xf>
    <xf numFmtId="167" fontId="2" fillId="0" borderId="36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9" fontId="11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 vertical="center"/>
    </xf>
    <xf numFmtId="169" fontId="24" fillId="0" borderId="36" xfId="0" applyNumberFormat="1" applyFont="1" applyBorder="1" applyAlignment="1">
      <alignment horizontal="center" vertical="center"/>
    </xf>
    <xf numFmtId="168" fontId="2" fillId="0" borderId="36" xfId="0" applyNumberFormat="1" applyFont="1" applyBorder="1" applyAlignment="1">
      <alignment horizontal="center"/>
    </xf>
    <xf numFmtId="44" fontId="2" fillId="0" borderId="36" xfId="0" applyNumberFormat="1" applyFont="1" applyBorder="1" applyAlignment="1">
      <alignment horizontal="center"/>
    </xf>
    <xf numFmtId="0" fontId="32" fillId="0" borderId="0" xfId="0" applyFont="1" applyAlignment="1">
      <alignment horizontal="center" vertical="center" wrapText="1"/>
    </xf>
    <xf numFmtId="168" fontId="11" fillId="0" borderId="36" xfId="0" applyNumberFormat="1" applyFont="1" applyBorder="1" applyAlignment="1">
      <alignment horizontal="center"/>
    </xf>
    <xf numFmtId="169" fontId="11" fillId="0" borderId="0" xfId="0" applyNumberFormat="1" applyFont="1" applyAlignment="1">
      <alignment horizontal="center"/>
    </xf>
    <xf numFmtId="0" fontId="11" fillId="0" borderId="36" xfId="0" applyFont="1" applyBorder="1" applyAlignment="1">
      <alignment horizontal="center"/>
    </xf>
    <xf numFmtId="169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4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11" fillId="0" borderId="0" xfId="0" applyNumberFormat="1" applyFont="1"/>
    <xf numFmtId="0" fontId="10" fillId="0" borderId="0" xfId="0" applyFont="1"/>
    <xf numFmtId="4" fontId="2" fillId="0" borderId="0" xfId="0" applyNumberFormat="1" applyFont="1" applyAlignment="1">
      <alignment horizontal="center"/>
    </xf>
    <xf numFmtId="4" fontId="2" fillId="0" borderId="0" xfId="0" applyNumberFormat="1" applyFont="1"/>
    <xf numFmtId="14" fontId="2" fillId="0" borderId="0" xfId="0" applyNumberFormat="1" applyFont="1"/>
    <xf numFmtId="0" fontId="13" fillId="0" borderId="0" xfId="0" applyFont="1" applyAlignment="1">
      <alignment horizontal="center"/>
    </xf>
    <xf numFmtId="4" fontId="1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3" fillId="0" borderId="0" xfId="0" applyFont="1"/>
    <xf numFmtId="15" fontId="2" fillId="0" borderId="0" xfId="0" applyNumberFormat="1" applyFont="1"/>
    <xf numFmtId="8" fontId="2" fillId="0" borderId="0" xfId="0" applyNumberFormat="1" applyFont="1"/>
    <xf numFmtId="0" fontId="34" fillId="0" borderId="0" xfId="0" applyFont="1"/>
    <xf numFmtId="44" fontId="34" fillId="0" borderId="0" xfId="0" applyNumberFormat="1" applyFont="1"/>
    <xf numFmtId="0" fontId="2" fillId="0" borderId="0" xfId="0" applyFont="1" applyAlignment="1">
      <alignment wrapText="1"/>
    </xf>
    <xf numFmtId="8" fontId="35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0" fontId="36" fillId="0" borderId="0" xfId="0" applyFont="1"/>
    <xf numFmtId="0" fontId="37" fillId="0" borderId="0" xfId="0" applyFont="1"/>
    <xf numFmtId="4" fontId="37" fillId="0" borderId="0" xfId="0" applyNumberFormat="1" applyFont="1"/>
    <xf numFmtId="4" fontId="21" fillId="0" borderId="0" xfId="0" applyNumberFormat="1" applyFont="1"/>
    <xf numFmtId="44" fontId="36" fillId="0" borderId="0" xfId="0" applyNumberFormat="1" applyFont="1"/>
    <xf numFmtId="0" fontId="13" fillId="0" borderId="0" xfId="0" applyFont="1"/>
    <xf numFmtId="0" fontId="10" fillId="0" borderId="0" xfId="0" applyFont="1" applyAlignment="1">
      <alignment horizontal="center"/>
    </xf>
    <xf numFmtId="4" fontId="0" fillId="0" borderId="0" xfId="0" applyNumberFormat="1"/>
    <xf numFmtId="0" fontId="39" fillId="0" borderId="0" xfId="0" applyFont="1"/>
    <xf numFmtId="44" fontId="39" fillId="0" borderId="0" xfId="0" applyNumberFormat="1" applyFont="1"/>
    <xf numFmtId="0" fontId="1" fillId="0" borderId="0" xfId="0" applyFont="1"/>
    <xf numFmtId="0" fontId="40" fillId="2" borderId="1" xfId="0" applyFont="1" applyFill="1" applyBorder="1"/>
    <xf numFmtId="0" fontId="40" fillId="13" borderId="25" xfId="0" applyFont="1" applyFill="1" applyBorder="1" applyAlignment="1">
      <alignment horizontal="center"/>
    </xf>
    <xf numFmtId="44" fontId="0" fillId="0" borderId="0" xfId="0" applyNumberFormat="1"/>
    <xf numFmtId="165" fontId="19" fillId="9" borderId="18" xfId="0" applyNumberFormat="1" applyFont="1" applyFill="1" applyBorder="1" applyAlignment="1">
      <alignment horizontal="center"/>
    </xf>
    <xf numFmtId="0" fontId="4" fillId="0" borderId="19" xfId="0" applyFont="1" applyBorder="1"/>
    <xf numFmtId="0" fontId="19" fillId="9" borderId="18" xfId="0" applyFont="1" applyFill="1" applyBorder="1" applyAlignment="1">
      <alignment horizontal="center"/>
    </xf>
    <xf numFmtId="0" fontId="4" fillId="0" borderId="20" xfId="0" applyFont="1" applyBorder="1"/>
    <xf numFmtId="0" fontId="6" fillId="2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8" fillId="9" borderId="18" xfId="0" applyFont="1" applyFill="1" applyBorder="1" applyAlignment="1">
      <alignment horizontal="center"/>
    </xf>
    <xf numFmtId="44" fontId="2" fillId="5" borderId="9" xfId="0" applyNumberFormat="1" applyFont="1" applyFill="1" applyBorder="1"/>
    <xf numFmtId="0" fontId="4" fillId="0" borderId="10" xfId="0" applyFont="1" applyBorder="1"/>
    <xf numFmtId="44" fontId="2" fillId="6" borderId="9" xfId="0" applyNumberFormat="1" applyFont="1" applyFill="1" applyBorder="1"/>
    <xf numFmtId="44" fontId="2" fillId="7" borderId="9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/>
    <xf numFmtId="17" fontId="5" fillId="2" borderId="2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4" fontId="2" fillId="3" borderId="7" xfId="0" quotePrefix="1" applyNumberFormat="1" applyFont="1" applyFill="1" applyBorder="1"/>
  </cellXfs>
  <cellStyles count="1">
    <cellStyle name="Normal" xfId="0" builtinId="0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US" sz="18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AC8-4873-B9CF-BA9CDDF4102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AC8-4873-B9CF-BA9CDDF41029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AC8-4873-B9CF-BA9CDDF41029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AC8-4873-B9CF-BA9CDDF410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C8-4873-B9CF-BA9CDDF41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603-4E34-A2AF-7C5DF42668A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603-4E34-A2AF-7C5DF42668A0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603-4E34-A2AF-7C5DF42668A0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603-4E34-A2AF-7C5DF42668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03-4E34-A2AF-7C5DF426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827-4F4B-86D2-47880973A1BF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827-4F4B-86D2-47880973A1BF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9827-4F4B-86D2-47880973A1BF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827-4F4B-86D2-47880973A1BF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9827-4F4B-86D2-47880973A1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APR!$F$12:$I$12</c:f>
              <c:numCache>
                <c:formatCode>_("$"* #,##0.00_);_("$"* \(#,##0.00\);_("$"* "-"??_);_(@_)</c:formatCode>
                <c:ptCount val="4"/>
                <c:pt idx="0">
                  <c:v>19668.510000000002</c:v>
                </c:pt>
                <c:pt idx="1">
                  <c:v>25636</c:v>
                </c:pt>
                <c:pt idx="2">
                  <c:v>41444.449999999997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27-4F4B-86D2-47880973A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 of debt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B28-42E2-95AA-AFA634F7F5EB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B28-42E2-95AA-AFA634F7F5EB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B28-42E2-95AA-AFA634F7F5EB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B28-42E2-95AA-AFA634F7F5EB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B28-42E2-95AA-AFA634F7F5EB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BACC6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B28-42E2-95AA-AFA634F7F5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APR!$F$67:$J$67</c:f>
              <c:strCache>
                <c:ptCount val="5"/>
                <c:pt idx="0">
                  <c:v>Mohela</c:v>
                </c:pt>
                <c:pt idx="1">
                  <c:v>Loan BPS Collen Fund-Personal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APR!$F$68:$J$68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18153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28-42E2-95AA-AFA634F7F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3BE-4C60-A67C-2D3EA76666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A3BE-4C60-A67C-2D3EA766666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3BE-4C60-A67C-2D3EA766666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A3BE-4C60-A67C-2D3EA76666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MAY!$F$12:$I$12</c:f>
              <c:numCache>
                <c:formatCode>_("$"* #,##0.00_);_("$"* \(#,##0.00\);_("$"* "-"??_);_(@_)</c:formatCode>
                <c:ptCount val="4"/>
                <c:pt idx="0">
                  <c:v>17673.280000000002</c:v>
                </c:pt>
                <c:pt idx="1">
                  <c:v>35836</c:v>
                </c:pt>
                <c:pt idx="2">
                  <c:v>44178.31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BE-4C60-A67C-2D3EA7666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BEB-45AC-9DC5-E8C1138A6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BEB-45AC-9DC5-E8C1138A6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BEB-45AC-9DC5-E8C1138A6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3BEB-45AC-9DC5-E8C1138A6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BEB-45AC-9DC5-E8C1138A6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MAY!$F$69:$J$69</c:f>
              <c:strCache>
                <c:ptCount val="5"/>
                <c:pt idx="0">
                  <c:v>Mohela</c:v>
                </c:pt>
                <c:pt idx="1">
                  <c:v>Loan BPS Collen Fund-Personal/Nopay till further noitice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MAY!$F$70:$J$70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17896.489999999998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EB-45AC-9DC5-E8C1138A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539-4CCC-97AB-B5899EC1C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539-4CCC-97AB-B5899EC1C3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539-4CCC-97AB-B5899EC1C3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539-4CCC-97AB-B5899EC1C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JUN!$F$12:$I$12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JUN!$F$13:$I$13</c:f>
              <c:numCache>
                <c:formatCode>_("$"* #,##0.00_);_("$"* \(#,##0.00\);_("$"* "-"??_);_(@_)</c:formatCode>
                <c:ptCount val="4"/>
                <c:pt idx="0">
                  <c:v>3646.71</c:v>
                </c:pt>
                <c:pt idx="1">
                  <c:v>51936</c:v>
                </c:pt>
                <c:pt idx="2">
                  <c:v>46233.89</c:v>
                </c:pt>
                <c:pt idx="3">
                  <c:v>15839.68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39-4CCC-97AB-B5899EC1C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3F8-43F2-806E-49BBAF25BB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3F8-43F2-806E-49BBAF25BB5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3F8-43F2-806E-49BBAF25BB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3F8-43F2-806E-49BBAF25BB5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3F8-43F2-806E-49BBAF25BB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JUN!$F$70:$J$70</c:f>
              <c:strCache>
                <c:ptCount val="5"/>
                <c:pt idx="0">
                  <c:v>Mohela</c:v>
                </c:pt>
                <c:pt idx="1">
                  <c:v>Loan BPS Collen Fund-Personal/Nopay till further noitice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JUN!$F$71:$J$71</c:f>
              <c:numCache>
                <c:formatCode>#,##0.00</c:formatCode>
                <c:ptCount val="5"/>
                <c:pt idx="0">
                  <c:v>87599.55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19730.21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8-43F2-806E-49BBAF25B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</xdr:row>
      <xdr:rowOff>514350</xdr:rowOff>
    </xdr:from>
    <xdr:ext cx="685800" cy="685800"/>
    <xdr:pic>
      <xdr:nvPicPr>
        <xdr:cNvPr id="2" name="image1.png" descr="Mone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704850"/>
          <a:ext cx="6858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10</xdr:row>
      <xdr:rowOff>38100</xdr:rowOff>
    </xdr:from>
    <xdr:ext cx="4552950" cy="2695575"/>
    <xdr:graphicFrame macro="">
      <xdr:nvGraphicFramePr>
        <xdr:cNvPr id="1097045069" name="Chart 1">
          <a:extLst>
            <a:ext uri="{FF2B5EF4-FFF2-40B4-BE49-F238E27FC236}">
              <a16:creationId xmlns:a16="http://schemas.microsoft.com/office/drawing/2014/main" id="{00000000-0008-0000-0100-00004D946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12</xdr:row>
      <xdr:rowOff>38100</xdr:rowOff>
    </xdr:from>
    <xdr:ext cx="5791200" cy="2657475"/>
    <xdr:graphicFrame macro="">
      <xdr:nvGraphicFramePr>
        <xdr:cNvPr id="1614990749" name="Chart 2">
          <a:extLst>
            <a:ext uri="{FF2B5EF4-FFF2-40B4-BE49-F238E27FC236}">
              <a16:creationId xmlns:a16="http://schemas.microsoft.com/office/drawing/2014/main" id="{00000000-0008-0000-0400-00009DCD4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6457950" cy="3200400"/>
    <xdr:graphicFrame macro="">
      <xdr:nvGraphicFramePr>
        <xdr:cNvPr id="1478116470" name="Chart 3">
          <a:extLst>
            <a:ext uri="{FF2B5EF4-FFF2-40B4-BE49-F238E27FC236}">
              <a16:creationId xmlns:a16="http://schemas.microsoft.com/office/drawing/2014/main" id="{00000000-0008-0000-0500-000076441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68</xdr:row>
      <xdr:rowOff>171450</xdr:rowOff>
    </xdr:from>
    <xdr:ext cx="7305675" cy="3514725"/>
    <xdr:graphicFrame macro="">
      <xdr:nvGraphicFramePr>
        <xdr:cNvPr id="1059306772" name="Chart 4">
          <a:extLst>
            <a:ext uri="{FF2B5EF4-FFF2-40B4-BE49-F238E27FC236}">
              <a16:creationId xmlns:a16="http://schemas.microsoft.com/office/drawing/2014/main" id="{00000000-0008-0000-0500-000014BD2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539956503" name="Chart 5">
          <a:extLst>
            <a:ext uri="{FF2B5EF4-FFF2-40B4-BE49-F238E27FC236}">
              <a16:creationId xmlns:a16="http://schemas.microsoft.com/office/drawing/2014/main" id="{00000000-0008-0000-0600-000017152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70</xdr:row>
      <xdr:rowOff>171450</xdr:rowOff>
    </xdr:from>
    <xdr:ext cx="7305675" cy="3514725"/>
    <xdr:graphicFrame macro="">
      <xdr:nvGraphicFramePr>
        <xdr:cNvPr id="1249906954" name="Chart 6">
          <a:extLst>
            <a:ext uri="{FF2B5EF4-FFF2-40B4-BE49-F238E27FC236}">
              <a16:creationId xmlns:a16="http://schemas.microsoft.com/office/drawing/2014/main" id="{00000000-0008-0000-0600-00000A118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F5100935-8E4F-4DA2-984E-15CF4A4FC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71</xdr:row>
      <xdr:rowOff>171450</xdr:rowOff>
    </xdr:from>
    <xdr:ext cx="7305675" cy="3514725"/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2C8AED5B-A124-46BA-B6EC-3706633EC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tabSelected="1" topLeftCell="A6" workbookViewId="0">
      <selection activeCell="G23" sqref="G23"/>
    </sheetView>
  </sheetViews>
  <sheetFormatPr defaultColWidth="14.42578125" defaultRowHeight="15" customHeight="1" x14ac:dyDescent="0.25"/>
  <cols>
    <col min="1" max="1" width="18.140625" customWidth="1"/>
    <col min="2" max="2" width="16" customWidth="1"/>
    <col min="3" max="3" width="13.5703125" customWidth="1"/>
    <col min="4" max="4" width="14" customWidth="1"/>
    <col min="5" max="5" width="11.28515625" customWidth="1"/>
    <col min="6" max="6" width="12.42578125" customWidth="1"/>
    <col min="7" max="7" width="12.140625" customWidth="1"/>
    <col min="8" max="8" width="14.7109375" customWidth="1"/>
    <col min="9" max="9" width="14.42578125" customWidth="1"/>
    <col min="10" max="10" width="11.5703125" customWidth="1"/>
    <col min="11" max="11" width="14.5703125" customWidth="1"/>
    <col min="12" max="12" width="13.140625" customWidth="1"/>
    <col min="13" max="13" width="12.85546875" customWidth="1"/>
    <col min="14" max="14" width="18.42578125" customWidth="1"/>
    <col min="15" max="26" width="14.42578125" customWidth="1"/>
  </cols>
  <sheetData>
    <row r="1" spans="1:2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5.25" customHeight="1" x14ac:dyDescent="0.7">
      <c r="A2" s="238" t="s">
        <v>0</v>
      </c>
      <c r="B2" s="239"/>
      <c r="C2" s="239"/>
      <c r="D2" s="239"/>
      <c r="E2" s="239"/>
      <c r="F2" s="239"/>
      <c r="G2" s="229"/>
      <c r="H2" s="240">
        <v>45474</v>
      </c>
      <c r="I2" s="239"/>
      <c r="J2" s="22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/>
      <c r="B3" s="1"/>
      <c r="C3" s="1"/>
      <c r="D3" s="1"/>
      <c r="E3" s="1"/>
      <c r="F3" s="1"/>
      <c r="G3" s="1"/>
      <c r="H3" s="1" t="s">
        <v>1</v>
      </c>
      <c r="I3" s="1" t="s">
        <v>2</v>
      </c>
      <c r="J3" s="2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4</v>
      </c>
      <c r="B4" s="241" t="s">
        <v>5</v>
      </c>
      <c r="C4" s="242"/>
      <c r="D4" s="243" t="s">
        <v>6</v>
      </c>
      <c r="E4" s="242"/>
      <c r="F4" s="244" t="s">
        <v>7</v>
      </c>
      <c r="G4" s="242"/>
      <c r="H4" s="4" t="s">
        <v>8</v>
      </c>
      <c r="I4" s="5">
        <v>503.2</v>
      </c>
      <c r="J4" s="6">
        <f t="shared" ref="J4:J5" si="0">I4/6</f>
        <v>83.86666666666666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7" t="s">
        <v>9</v>
      </c>
      <c r="B5" s="8">
        <v>31.6</v>
      </c>
      <c r="C5" s="8">
        <v>8.16</v>
      </c>
      <c r="D5" s="9">
        <v>129.91</v>
      </c>
      <c r="E5" s="9"/>
      <c r="F5" s="10">
        <v>53.27</v>
      </c>
      <c r="G5" s="11">
        <v>107.92</v>
      </c>
      <c r="H5" s="4" t="s">
        <v>10</v>
      </c>
      <c r="I5" s="5">
        <v>618.20000000000005</v>
      </c>
      <c r="J5" s="6">
        <f t="shared" si="0"/>
        <v>103.03333333333335</v>
      </c>
      <c r="K5" s="12" t="s">
        <v>11</v>
      </c>
      <c r="L5" s="13">
        <v>2500</v>
      </c>
      <c r="M5" s="13"/>
      <c r="N5" s="6"/>
      <c r="O5" s="14"/>
      <c r="P5" s="14"/>
      <c r="Q5" s="6"/>
      <c r="R5" s="6"/>
      <c r="S5" s="6"/>
      <c r="T5" s="15"/>
      <c r="U5" s="1"/>
      <c r="V5" s="1"/>
      <c r="W5" s="1"/>
      <c r="X5" s="1"/>
      <c r="Y5" s="1"/>
      <c r="Z5" s="1"/>
    </row>
    <row r="6" spans="1:26" ht="15" customHeight="1" x14ac:dyDescent="0.25">
      <c r="A6" s="7" t="s">
        <v>9</v>
      </c>
      <c r="B6" s="8">
        <v>18.78</v>
      </c>
      <c r="C6" s="8">
        <v>21.98</v>
      </c>
      <c r="D6" s="9">
        <v>195.25</v>
      </c>
      <c r="E6" s="9"/>
      <c r="F6" s="10">
        <v>15.19</v>
      </c>
      <c r="G6" s="11">
        <v>166.62</v>
      </c>
      <c r="H6" s="16"/>
      <c r="I6" s="5">
        <f>SUM(I4:I5)</f>
        <v>1121.4000000000001</v>
      </c>
      <c r="J6" s="1"/>
      <c r="K6" s="12" t="s">
        <v>12</v>
      </c>
      <c r="L6" s="15">
        <v>5359</v>
      </c>
      <c r="M6" s="17"/>
      <c r="N6" s="18"/>
      <c r="O6" s="15" t="s">
        <v>13</v>
      </c>
      <c r="P6" s="15"/>
      <c r="Q6" s="15"/>
      <c r="R6" s="19"/>
      <c r="S6" s="1"/>
      <c r="T6" s="1"/>
      <c r="U6" s="15"/>
      <c r="V6" s="1"/>
      <c r="W6" s="1"/>
      <c r="X6" s="1"/>
      <c r="Y6" s="1"/>
      <c r="Z6" s="1"/>
    </row>
    <row r="7" spans="1:26" ht="15" customHeight="1" x14ac:dyDescent="0.25">
      <c r="A7" s="7" t="s">
        <v>9</v>
      </c>
      <c r="B7" s="8">
        <v>27</v>
      </c>
      <c r="C7" s="8"/>
      <c r="D7" s="9"/>
      <c r="E7" s="9"/>
      <c r="F7" s="10">
        <v>237</v>
      </c>
      <c r="G7" s="11">
        <v>105.79</v>
      </c>
      <c r="H7" s="16" t="s">
        <v>14</v>
      </c>
      <c r="I7" s="5"/>
      <c r="J7" s="1"/>
      <c r="K7" s="12"/>
      <c r="L7" s="2" t="s">
        <v>15</v>
      </c>
      <c r="M7" s="17">
        <f>N5+L6</f>
        <v>5359</v>
      </c>
      <c r="N7" s="19"/>
      <c r="O7" s="15"/>
      <c r="P7" s="15"/>
      <c r="Q7" s="15"/>
      <c r="R7" s="19"/>
      <c r="S7" s="15"/>
      <c r="T7" s="15"/>
      <c r="U7" s="15"/>
      <c r="V7" s="1"/>
      <c r="W7" s="1"/>
      <c r="X7" s="1"/>
      <c r="Y7" s="1"/>
      <c r="Z7" s="1"/>
    </row>
    <row r="8" spans="1:26" ht="15" customHeight="1" x14ac:dyDescent="0.25">
      <c r="A8" s="7" t="s">
        <v>9</v>
      </c>
      <c r="B8" s="8">
        <v>7.97</v>
      </c>
      <c r="C8" s="8"/>
      <c r="D8" s="9"/>
      <c r="E8" s="9"/>
      <c r="F8" s="10">
        <v>22.77</v>
      </c>
      <c r="G8" s="11">
        <v>94.66</v>
      </c>
      <c r="H8" s="16"/>
      <c r="I8" s="20">
        <f>SUM(I6:I7)</f>
        <v>1121.4000000000001</v>
      </c>
      <c r="J8" s="1"/>
      <c r="K8" s="12" t="s">
        <v>16</v>
      </c>
      <c r="L8" s="21">
        <v>5000</v>
      </c>
      <c r="M8" s="17" t="s">
        <v>17</v>
      </c>
      <c r="N8" s="19">
        <v>50</v>
      </c>
      <c r="O8" s="15" t="s">
        <v>18</v>
      </c>
      <c r="P8" s="15"/>
      <c r="Q8" s="15"/>
      <c r="R8" s="19"/>
      <c r="S8" s="15"/>
      <c r="T8" s="15"/>
      <c r="U8" s="15"/>
      <c r="V8" s="1"/>
      <c r="W8" s="1"/>
      <c r="X8" s="1"/>
      <c r="Y8" s="1"/>
      <c r="Z8" s="1"/>
    </row>
    <row r="9" spans="1:26" ht="15" customHeight="1" x14ac:dyDescent="0.25">
      <c r="A9" s="7" t="s">
        <v>19</v>
      </c>
      <c r="B9" s="231">
        <f>SUM(B5:C8)</f>
        <v>115.49000000000001</v>
      </c>
      <c r="C9" s="232"/>
      <c r="D9" s="233">
        <f>SUM(D5:E8)</f>
        <v>325.15999999999997</v>
      </c>
      <c r="E9" s="232"/>
      <c r="F9" s="234">
        <f>SUM(F5:G8)</f>
        <v>803.21999999999991</v>
      </c>
      <c r="G9" s="23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 t="s">
        <v>20</v>
      </c>
      <c r="B10" s="8">
        <v>53.6</v>
      </c>
      <c r="C10" s="8"/>
      <c r="D10" s="9"/>
      <c r="E10" s="9"/>
      <c r="F10" s="10"/>
      <c r="G10" s="10"/>
      <c r="H10" s="22" t="s">
        <v>21</v>
      </c>
      <c r="I10" s="22" t="s">
        <v>22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7" t="s">
        <v>23</v>
      </c>
      <c r="B11" s="8">
        <v>154.30000000000001</v>
      </c>
      <c r="C11" s="8"/>
      <c r="D11" s="9"/>
      <c r="E11" s="9"/>
      <c r="F11" s="10"/>
      <c r="G11" s="10"/>
      <c r="H11" s="6" t="s">
        <v>504</v>
      </c>
      <c r="I11" s="1"/>
      <c r="J11" s="1"/>
      <c r="K11" s="1"/>
      <c r="L11" s="1"/>
      <c r="M11" s="1"/>
      <c r="N11" s="1"/>
      <c r="O11" s="23"/>
      <c r="P11" s="23"/>
      <c r="Q11" s="23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7" t="s">
        <v>484</v>
      </c>
      <c r="B12" s="8"/>
      <c r="C12" s="8">
        <v>52.2</v>
      </c>
      <c r="D12" s="9"/>
      <c r="E12" s="9"/>
      <c r="F12" s="10"/>
      <c r="G12" s="10"/>
      <c r="H12" s="1"/>
      <c r="I12" s="1"/>
      <c r="J12" s="1"/>
      <c r="K12" s="1"/>
      <c r="L12" s="1"/>
      <c r="M12" s="1"/>
      <c r="N12" s="1"/>
      <c r="O12" s="23"/>
      <c r="P12" s="23"/>
      <c r="Q12" s="23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7" t="s">
        <v>24</v>
      </c>
      <c r="B13" s="8"/>
      <c r="C13" s="8"/>
      <c r="D13" s="9"/>
      <c r="E13" s="9"/>
      <c r="F13" s="10">
        <v>24.99</v>
      </c>
      <c r="G13" s="10"/>
      <c r="H13" s="1"/>
      <c r="I13" s="1"/>
      <c r="J13" s="1"/>
      <c r="K13" s="1"/>
      <c r="L13" s="1"/>
      <c r="M13" s="1"/>
      <c r="N13" s="1"/>
      <c r="O13" s="23"/>
      <c r="P13" s="23"/>
      <c r="Q13" s="23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4">
      <c r="A14" s="7" t="s">
        <v>25</v>
      </c>
      <c r="B14" s="8"/>
      <c r="C14" s="8"/>
      <c r="D14" s="9"/>
      <c r="E14" s="9"/>
      <c r="F14" s="10">
        <v>70</v>
      </c>
      <c r="G14" s="10"/>
      <c r="H14" s="1"/>
      <c r="I14" s="1"/>
      <c r="J14" s="1"/>
      <c r="K14" s="1"/>
      <c r="L14" s="1"/>
      <c r="M14" s="1"/>
      <c r="N14" s="1"/>
      <c r="O14" s="23"/>
      <c r="P14" s="24"/>
      <c r="Q14" s="23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7" t="s">
        <v>26</v>
      </c>
      <c r="B15" s="8"/>
      <c r="C15" s="8"/>
      <c r="D15" s="9"/>
      <c r="E15" s="9"/>
      <c r="F15" s="10">
        <v>22.99</v>
      </c>
      <c r="G15" s="11"/>
      <c r="H15" s="1"/>
      <c r="I15" s="1"/>
      <c r="J15" s="1"/>
      <c r="K15" s="1"/>
      <c r="L15" s="1"/>
      <c r="M15" s="1"/>
      <c r="N15" s="1"/>
      <c r="O15" s="23"/>
      <c r="P15" s="25"/>
      <c r="Q15" s="23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26" t="s">
        <v>27</v>
      </c>
      <c r="B16" s="27"/>
      <c r="C16" s="27"/>
      <c r="D16" s="28"/>
      <c r="E16" s="28"/>
      <c r="F16" s="29">
        <v>183.46</v>
      </c>
      <c r="G16" s="30"/>
      <c r="H16" s="31" t="s">
        <v>28</v>
      </c>
      <c r="I16" s="235" t="s">
        <v>29</v>
      </c>
      <c r="J16" s="229"/>
      <c r="K16" s="1"/>
      <c r="L16" s="1"/>
      <c r="M16" s="1"/>
      <c r="N16" s="1"/>
      <c r="O16" s="23"/>
      <c r="P16" s="25"/>
      <c r="Q16" s="23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32" t="s">
        <v>30</v>
      </c>
      <c r="B17" s="33"/>
      <c r="C17" s="34">
        <f>SUM(B10:C16,B9)</f>
        <v>375.59000000000003</v>
      </c>
      <c r="D17" s="35"/>
      <c r="E17" s="36">
        <f>SUM(D10:E16,D9)</f>
        <v>325.15999999999997</v>
      </c>
      <c r="F17" s="37"/>
      <c r="G17" s="38">
        <f>SUM(F10:G15,F9)</f>
        <v>921.19999999999993</v>
      </c>
      <c r="H17" s="5">
        <f>SUM(B9:G9)</f>
        <v>1243.8699999999999</v>
      </c>
      <c r="I17" s="5">
        <f>C17+E17+G17</f>
        <v>1621.9499999999998</v>
      </c>
      <c r="J17" s="16"/>
      <c r="K17" s="1"/>
      <c r="L17" s="1"/>
      <c r="M17" s="1"/>
      <c r="N17" s="1"/>
      <c r="O17" s="23"/>
      <c r="P17" s="25"/>
      <c r="Q17" s="23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x14ac:dyDescent="0.25">
      <c r="A18" s="39"/>
      <c r="B18" s="16" t="s">
        <v>31</v>
      </c>
      <c r="C18" s="5">
        <f>C17-I18</f>
        <v>-435.38499999999988</v>
      </c>
      <c r="D18" s="16"/>
      <c r="E18" s="245" t="s">
        <v>502</v>
      </c>
      <c r="F18" s="16"/>
      <c r="G18" s="5">
        <f>G17-I18</f>
        <v>110.22500000000002</v>
      </c>
      <c r="H18" s="40">
        <f>H17/2</f>
        <v>621.93499999999995</v>
      </c>
      <c r="I18" s="40">
        <f>I17/2</f>
        <v>810.97499999999991</v>
      </c>
      <c r="J18" s="16" t="s">
        <v>503</v>
      </c>
      <c r="K18" s="1"/>
      <c r="L18" s="1"/>
      <c r="M18" s="1"/>
      <c r="N18" s="1"/>
      <c r="O18" s="23"/>
      <c r="P18" s="25"/>
      <c r="Q18" s="23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x14ac:dyDescent="0.25">
      <c r="A19" s="41"/>
      <c r="B19" s="41"/>
      <c r="C19" s="42">
        <f>-57.07-G18+600</f>
        <v>432.70499999999998</v>
      </c>
      <c r="D19" s="41" t="str">
        <f ca="1">_xlfn.FORMULATEXT(C19)</f>
        <v>=-57.07-G18+600</v>
      </c>
      <c r="E19" s="42">
        <f>-250+66.02</f>
        <v>-183.98000000000002</v>
      </c>
      <c r="F19" s="41" t="str">
        <f ca="1">_xlfn.FORMULATEXT(E19)</f>
        <v>=-250+66.02</v>
      </c>
      <c r="G19" s="42"/>
      <c r="H19" s="43"/>
      <c r="I19" s="43"/>
      <c r="J19" s="41"/>
      <c r="K19" s="41"/>
      <c r="L19" s="41"/>
      <c r="M19" s="41"/>
      <c r="N19" s="41"/>
      <c r="O19" s="41"/>
      <c r="P19" s="44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20.25" customHeight="1" x14ac:dyDescent="0.25">
      <c r="A20" s="1" t="s">
        <v>32</v>
      </c>
      <c r="B20" s="45" t="s">
        <v>33</v>
      </c>
      <c r="C20" s="6"/>
      <c r="D20" s="1"/>
      <c r="E20" s="6"/>
      <c r="F20" s="1"/>
      <c r="G20" s="6"/>
      <c r="H20" s="46"/>
      <c r="I20" s="46"/>
      <c r="J20" s="1"/>
      <c r="K20" s="1"/>
      <c r="L20" s="1"/>
      <c r="M20" s="1"/>
      <c r="N20" s="1"/>
      <c r="O20" s="1"/>
      <c r="P20" s="47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2.25" customHeight="1" x14ac:dyDescent="0.25">
      <c r="A21" s="1"/>
      <c r="B21" s="1"/>
      <c r="C21" s="48" t="s">
        <v>34</v>
      </c>
      <c r="D21" s="6">
        <f>2400*2</f>
        <v>4800</v>
      </c>
      <c r="E21" s="49"/>
      <c r="F21" s="23"/>
      <c r="G21" s="49"/>
      <c r="H21" s="50"/>
      <c r="I21" s="50"/>
      <c r="J21" s="23"/>
      <c r="K21" s="23"/>
      <c r="L21" s="1"/>
      <c r="M21" s="1"/>
      <c r="N21" s="1"/>
      <c r="O21" s="23"/>
      <c r="P21" s="25"/>
      <c r="Q21" s="23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28" t="s">
        <v>35</v>
      </c>
      <c r="B22" s="229"/>
      <c r="C22" s="236" t="s">
        <v>36</v>
      </c>
      <c r="D22" s="237"/>
      <c r="E22" s="3" t="s">
        <v>37</v>
      </c>
      <c r="F22" s="1"/>
      <c r="G22" s="1"/>
      <c r="H22" s="1"/>
      <c r="I22" s="3" t="s">
        <v>38</v>
      </c>
      <c r="J22" s="3"/>
      <c r="K22" s="23"/>
      <c r="L22" s="23"/>
      <c r="M22" s="23"/>
      <c r="N22" s="1"/>
      <c r="O22" s="1"/>
      <c r="P22" s="1"/>
      <c r="Q22" s="1"/>
      <c r="R22" s="5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">
      <c r="A23" s="52" t="s">
        <v>39</v>
      </c>
      <c r="B23" s="53">
        <v>-200</v>
      </c>
      <c r="C23" s="54" t="s">
        <v>40</v>
      </c>
      <c r="D23" s="55">
        <f>1150+437.67</f>
        <v>1587.67</v>
      </c>
      <c r="E23" s="56"/>
      <c r="F23" s="1"/>
      <c r="G23" s="1"/>
      <c r="H23" s="1"/>
      <c r="I23" s="57">
        <v>45352</v>
      </c>
      <c r="J23" s="224">
        <f t="shared" ref="J23:J29" ca="1" si="1">TODAY()-I23</f>
        <v>148</v>
      </c>
      <c r="K23" s="225"/>
      <c r="L23" s="226" t="s">
        <v>41</v>
      </c>
      <c r="M23" s="227"/>
      <c r="N23" s="22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">
      <c r="A24" s="52" t="s">
        <v>42</v>
      </c>
      <c r="B24" s="53">
        <v>-600</v>
      </c>
      <c r="C24" s="54" t="s">
        <v>43</v>
      </c>
      <c r="D24" s="55">
        <f>D23*2.17</f>
        <v>3445.2438999999999</v>
      </c>
      <c r="E24" s="58">
        <f t="shared" ref="E24" si="2">D24+B36</f>
        <v>689.75223333333315</v>
      </c>
      <c r="F24" s="6">
        <f>E24*0.9*12+(600*6)+(200*4)</f>
        <v>11849.324119999999</v>
      </c>
      <c r="G24" s="1"/>
      <c r="H24" s="1"/>
      <c r="I24" s="57">
        <v>45358</v>
      </c>
      <c r="J24" s="224">
        <f t="shared" ca="1" si="1"/>
        <v>142</v>
      </c>
      <c r="K24" s="225"/>
      <c r="L24" s="230" t="s">
        <v>44</v>
      </c>
      <c r="M24" s="227"/>
      <c r="N24" s="22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">
      <c r="A25" s="52" t="s">
        <v>45</v>
      </c>
      <c r="B25" s="53">
        <f>-I18</f>
        <v>-810.97499999999991</v>
      </c>
      <c r="C25" s="54" t="s">
        <v>46</v>
      </c>
      <c r="D25" s="55">
        <f>D23*26</f>
        <v>41279.42</v>
      </c>
      <c r="E25" s="59">
        <f>D25+B37</f>
        <v>8213.5199999999968</v>
      </c>
      <c r="F25" s="60">
        <f>E25*0.9+(600*6)+(200*6)</f>
        <v>12192.167999999998</v>
      </c>
      <c r="G25" s="2" t="s">
        <v>47</v>
      </c>
      <c r="H25" s="221" t="s">
        <v>482</v>
      </c>
      <c r="I25" s="61">
        <v>45413</v>
      </c>
      <c r="J25" s="224">
        <f t="shared" ca="1" si="1"/>
        <v>87</v>
      </c>
      <c r="K25" s="225"/>
      <c r="L25" s="226" t="s">
        <v>48</v>
      </c>
      <c r="M25" s="227"/>
      <c r="N25" s="22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52" t="s">
        <v>49</v>
      </c>
      <c r="B26" s="53">
        <v>-36</v>
      </c>
      <c r="C26" s="62"/>
      <c r="D26" s="63"/>
      <c r="E26" s="64"/>
      <c r="F26" s="60" t="s">
        <v>50</v>
      </c>
      <c r="G26" s="1">
        <v>1500</v>
      </c>
      <c r="H26" s="1">
        <v>942</v>
      </c>
      <c r="I26" s="65">
        <v>45497</v>
      </c>
      <c r="J26" s="224">
        <f t="shared" ca="1" si="1"/>
        <v>3</v>
      </c>
      <c r="K26" s="225"/>
      <c r="L26" s="230" t="s">
        <v>51</v>
      </c>
      <c r="M26" s="227"/>
      <c r="N26" s="22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x14ac:dyDescent="0.4">
      <c r="A27" s="52" t="s">
        <v>52</v>
      </c>
      <c r="B27" s="66">
        <f>-(J4+70)</f>
        <v>-153.86666666666667</v>
      </c>
      <c r="C27" s="23"/>
      <c r="D27" s="1"/>
      <c r="E27" s="67"/>
      <c r="F27" s="25" t="s">
        <v>53</v>
      </c>
      <c r="G27" s="1">
        <v>2000</v>
      </c>
      <c r="H27" s="1"/>
      <c r="I27" s="57">
        <v>45505</v>
      </c>
      <c r="J27" s="224">
        <f t="shared" ca="1" si="1"/>
        <v>-5</v>
      </c>
      <c r="K27" s="225"/>
      <c r="L27" s="226" t="s">
        <v>54</v>
      </c>
      <c r="M27" s="227"/>
      <c r="N27" s="22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">
      <c r="A28" s="52" t="s">
        <v>55</v>
      </c>
      <c r="B28" s="53">
        <f>-2.17*2400*0.1</f>
        <v>-520.80000000000007</v>
      </c>
      <c r="C28" s="68"/>
      <c r="D28" s="69"/>
      <c r="E28" s="70"/>
      <c r="F28" s="71" t="s">
        <v>56</v>
      </c>
      <c r="G28" s="1">
        <v>1000</v>
      </c>
      <c r="H28" s="1">
        <v>795</v>
      </c>
      <c r="I28" s="57">
        <v>45778</v>
      </c>
      <c r="J28" s="224">
        <f t="shared" ca="1" si="1"/>
        <v>-278</v>
      </c>
      <c r="K28" s="225"/>
      <c r="L28" s="226" t="s">
        <v>57</v>
      </c>
      <c r="M28" s="227"/>
      <c r="N28" s="22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">
      <c r="A29" s="52" t="s">
        <v>58</v>
      </c>
      <c r="B29" s="53">
        <v>-20</v>
      </c>
      <c r="C29" s="68"/>
      <c r="D29" s="62"/>
      <c r="E29" s="72"/>
      <c r="F29" s="73"/>
      <c r="G29" s="1">
        <v>500</v>
      </c>
      <c r="H29" s="1"/>
      <c r="I29" s="57">
        <v>45839</v>
      </c>
      <c r="J29" s="224">
        <f t="shared" ca="1" si="1"/>
        <v>-339</v>
      </c>
      <c r="K29" s="225"/>
      <c r="L29" s="226" t="s">
        <v>59</v>
      </c>
      <c r="M29" s="227"/>
      <c r="N29" s="22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">
      <c r="A30" s="52" t="s">
        <v>60</v>
      </c>
      <c r="B30" s="53">
        <v>-250</v>
      </c>
      <c r="C30" s="74"/>
      <c r="D30" s="75"/>
      <c r="E30" s="72"/>
      <c r="F30" s="76"/>
      <c r="G30" s="77">
        <f>SUM(G26:G29)</f>
        <v>5000</v>
      </c>
      <c r="H30" s="77"/>
      <c r="I30" s="25"/>
      <c r="J30" s="25"/>
      <c r="K30" s="25"/>
      <c r="L30" s="78"/>
      <c r="M30" s="78"/>
      <c r="N30" s="23"/>
      <c r="O30" s="23"/>
      <c r="P30" s="23"/>
      <c r="Q30" s="79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">
      <c r="A31" s="52" t="s">
        <v>61</v>
      </c>
      <c r="B31" s="53">
        <v>-61</v>
      </c>
      <c r="C31" s="74"/>
      <c r="D31" s="228" t="s">
        <v>62</v>
      </c>
      <c r="E31" s="229"/>
      <c r="F31" s="80">
        <f>10300.96+7796.14+2086.76+664.65+21.59+10</f>
        <v>20880.100000000002</v>
      </c>
      <c r="G31" s="1"/>
      <c r="H31" s="81"/>
      <c r="I31" s="81"/>
      <c r="J31" s="25"/>
      <c r="K31" s="25"/>
      <c r="L31" s="82" t="s">
        <v>63</v>
      </c>
      <c r="M31" s="78"/>
      <c r="N31" s="12"/>
      <c r="O31" s="49"/>
      <c r="P31" s="23"/>
      <c r="Q31" s="23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">
      <c r="A32" s="52" t="s">
        <v>64</v>
      </c>
      <c r="B32" s="53">
        <v>-52.85</v>
      </c>
      <c r="C32" s="83" t="s">
        <v>65</v>
      </c>
      <c r="D32" s="84" t="s">
        <v>43</v>
      </c>
      <c r="E32" s="85" t="s">
        <v>66</v>
      </c>
      <c r="F32" s="222" t="s">
        <v>483</v>
      </c>
      <c r="G32" s="85" t="s">
        <v>67</v>
      </c>
      <c r="H32" s="85" t="s">
        <v>68</v>
      </c>
      <c r="I32" s="86" t="s">
        <v>69</v>
      </c>
      <c r="J32" s="87"/>
      <c r="K32" s="25"/>
      <c r="L32" s="88"/>
      <c r="M32" s="87" t="s">
        <v>70</v>
      </c>
      <c r="N32" s="87" t="s">
        <v>71</v>
      </c>
      <c r="O32" s="23"/>
      <c r="P32" s="23"/>
      <c r="Q32" s="23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2" t="s">
        <v>72</v>
      </c>
      <c r="B33" s="53">
        <f>-50-0</f>
        <v>-50</v>
      </c>
      <c r="C33" s="89" t="s">
        <v>73</v>
      </c>
      <c r="D33" s="90">
        <v>45292</v>
      </c>
      <c r="E33" s="91">
        <v>3840.1</v>
      </c>
      <c r="F33" s="92">
        <f>10352.96+7796.14+2086.76+664.65+21.59+10</f>
        <v>20932.100000000002</v>
      </c>
      <c r="G33" s="92">
        <f>IF(F33-F31 &gt; 0, E33-(F33-F31), E33)</f>
        <v>3788.1</v>
      </c>
      <c r="H33" s="93">
        <f t="shared" ref="H33:H34" si="3">2400*2</f>
        <v>4800</v>
      </c>
      <c r="I33" s="93">
        <f t="shared" ref="I33:I44" si="4">H33*0.1</f>
        <v>480</v>
      </c>
      <c r="J33" s="94" t="s">
        <v>74</v>
      </c>
      <c r="K33" s="25"/>
      <c r="L33" s="95" t="s">
        <v>75</v>
      </c>
      <c r="M33" s="96">
        <f>2647   +   185   +   46</f>
        <v>2878</v>
      </c>
      <c r="N33" s="97"/>
      <c r="O33" s="79"/>
      <c r="P33" s="23"/>
      <c r="Q33" s="23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4">
      <c r="A34" s="52" t="s">
        <v>76</v>
      </c>
      <c r="B34" s="53">
        <v>0</v>
      </c>
      <c r="C34" s="98"/>
      <c r="D34" s="99">
        <v>45323</v>
      </c>
      <c r="E34" s="96">
        <f>1150+440.3+429.91+1150</f>
        <v>3170.21</v>
      </c>
      <c r="F34" s="100">
        <f>10398.96+7796.14+2086.76+664.65+21.59+10</f>
        <v>20978.100000000002</v>
      </c>
      <c r="G34" s="92">
        <f t="shared" ref="G34:G44" si="5">IF(F34-F33 &gt; 0, E34-(F34-F33), E34)</f>
        <v>3124.21</v>
      </c>
      <c r="H34" s="93">
        <f t="shared" si="3"/>
        <v>4800</v>
      </c>
      <c r="I34" s="93">
        <f t="shared" si="4"/>
        <v>480</v>
      </c>
      <c r="J34" s="101"/>
      <c r="K34" s="102"/>
      <c r="L34" s="95" t="s">
        <v>77</v>
      </c>
      <c r="M34" s="96">
        <f>24720+M33</f>
        <v>27598</v>
      </c>
      <c r="N34" s="97">
        <v>26122</v>
      </c>
      <c r="O34" s="49"/>
      <c r="P34" s="23"/>
      <c r="Q34" s="23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03" t="s">
        <v>78</v>
      </c>
      <c r="B35" s="104">
        <v>0</v>
      </c>
      <c r="C35" s="105"/>
      <c r="D35" s="99">
        <v>45352</v>
      </c>
      <c r="E35" s="96">
        <f>399.89+1150+292.67+1150</f>
        <v>2992.56</v>
      </c>
      <c r="F35" s="100">
        <v>21553.15</v>
      </c>
      <c r="G35" s="92">
        <f t="shared" si="5"/>
        <v>2417.5100000000007</v>
      </c>
      <c r="H35" s="93">
        <f>2400+2784.62+250</f>
        <v>5434.62</v>
      </c>
      <c r="I35" s="93">
        <f t="shared" si="4"/>
        <v>543.46199999999999</v>
      </c>
      <c r="J35" s="101"/>
      <c r="K35" s="106"/>
      <c r="L35" s="95" t="s">
        <v>79</v>
      </c>
      <c r="M35" s="96">
        <f>H45-M34</f>
        <v>45052</v>
      </c>
      <c r="N35" s="97"/>
      <c r="O35" s="23"/>
      <c r="P35" s="23"/>
      <c r="Q35" s="23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07" t="s">
        <v>80</v>
      </c>
      <c r="B36" s="108">
        <f>SUM(B23:B35)</f>
        <v>-2755.4916666666668</v>
      </c>
      <c r="C36" s="78"/>
      <c r="D36" s="99">
        <v>45383</v>
      </c>
      <c r="E36" s="96">
        <f>399.89+1150+437.32+1150</f>
        <v>3137.21</v>
      </c>
      <c r="F36" s="109">
        <v>18153</v>
      </c>
      <c r="G36" s="92">
        <f t="shared" si="5"/>
        <v>3137.21</v>
      </c>
      <c r="H36" s="92">
        <f>12015.38+2400</f>
        <v>14415.38</v>
      </c>
      <c r="I36" s="93">
        <f t="shared" si="4"/>
        <v>1441.538</v>
      </c>
      <c r="J36" s="110"/>
      <c r="K36" s="78">
        <f>H36+H35-2400*4-250</f>
        <v>10000</v>
      </c>
      <c r="L36" s="95" t="s">
        <v>81</v>
      </c>
      <c r="M36" s="96">
        <v>1872</v>
      </c>
      <c r="N36" s="97">
        <v>528</v>
      </c>
      <c r="O36" s="23"/>
      <c r="P36" s="23"/>
      <c r="Q36" s="23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07" t="s">
        <v>82</v>
      </c>
      <c r="B37" s="108">
        <f>B36*12</f>
        <v>-33065.9</v>
      </c>
      <c r="C37" s="78"/>
      <c r="D37" s="99">
        <v>45413</v>
      </c>
      <c r="E37" s="96">
        <f>437.32*3+1150*3</f>
        <v>4761.96</v>
      </c>
      <c r="F37" s="109">
        <v>17896.490000000002</v>
      </c>
      <c r="G37" s="92">
        <f>IF(F37-F36 &gt; 0, E37-(F37-F36), E37)</f>
        <v>4761.96</v>
      </c>
      <c r="H37" s="93">
        <f>2400*3</f>
        <v>7200</v>
      </c>
      <c r="I37" s="93">
        <f t="shared" si="4"/>
        <v>720</v>
      </c>
      <c r="J37" s="111"/>
      <c r="K37" s="23"/>
      <c r="L37" s="95" t="s">
        <v>83</v>
      </c>
      <c r="M37" s="96">
        <f>M36+N36</f>
        <v>2400</v>
      </c>
      <c r="N37" s="97"/>
      <c r="O37" s="62"/>
      <c r="P37" s="62"/>
      <c r="Q37" s="62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12"/>
      <c r="B38" s="49"/>
      <c r="C38" s="78"/>
      <c r="D38" s="99">
        <v>45444</v>
      </c>
      <c r="E38" s="96">
        <f>437.31*2+1150*2</f>
        <v>3174.62</v>
      </c>
      <c r="F38" s="109">
        <v>19730.21</v>
      </c>
      <c r="G38" s="92">
        <f>IF(F38-F37 &gt; 0, E38-(F38-F37), E38)</f>
        <v>1340.9000000000024</v>
      </c>
      <c r="H38" s="93">
        <f>2400*2</f>
        <v>4800</v>
      </c>
      <c r="I38" s="93">
        <f t="shared" si="4"/>
        <v>480</v>
      </c>
      <c r="J38" s="110"/>
      <c r="K38" s="6"/>
      <c r="L38" s="95"/>
      <c r="M38" s="96"/>
      <c r="N38" s="97"/>
      <c r="O38" s="62"/>
      <c r="P38" s="62"/>
      <c r="Q38" s="62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49"/>
      <c r="B39" s="1"/>
      <c r="C39" s="1"/>
      <c r="D39" s="99">
        <v>45474</v>
      </c>
      <c r="E39" s="96">
        <f>437.31*2+1150*2</f>
        <v>3174.62</v>
      </c>
      <c r="F39" s="109"/>
      <c r="G39" s="92">
        <f t="shared" si="5"/>
        <v>3174.62</v>
      </c>
      <c r="H39" s="93">
        <f t="shared" ref="H39:H41" si="6">2400*2</f>
        <v>4800</v>
      </c>
      <c r="I39" s="93">
        <f t="shared" si="4"/>
        <v>480</v>
      </c>
      <c r="J39" s="113"/>
      <c r="K39" s="1"/>
      <c r="L39" s="95"/>
      <c r="M39" s="96"/>
      <c r="N39" s="97"/>
      <c r="O39" s="62"/>
      <c r="P39" s="62"/>
      <c r="Q39" s="62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2"/>
      <c r="B40" s="78"/>
      <c r="C40" s="1"/>
      <c r="D40" s="99">
        <v>45505</v>
      </c>
      <c r="E40" s="96"/>
      <c r="F40" s="109"/>
      <c r="G40" s="92">
        <f t="shared" si="5"/>
        <v>0</v>
      </c>
      <c r="H40" s="93">
        <f t="shared" si="6"/>
        <v>4800</v>
      </c>
      <c r="I40" s="93">
        <f t="shared" si="4"/>
        <v>480</v>
      </c>
      <c r="J40" s="113"/>
      <c r="K40" s="1"/>
      <c r="L40" s="95"/>
      <c r="M40" s="96"/>
      <c r="N40" s="97"/>
      <c r="O40" s="62"/>
      <c r="P40" s="62"/>
      <c r="Q40" s="62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2"/>
      <c r="B41" s="78"/>
      <c r="C41" s="1"/>
      <c r="D41" s="114">
        <v>45536</v>
      </c>
      <c r="E41" s="96"/>
      <c r="F41" s="109"/>
      <c r="G41" s="92">
        <f t="shared" si="5"/>
        <v>0</v>
      </c>
      <c r="H41" s="93">
        <f t="shared" si="6"/>
        <v>4800</v>
      </c>
      <c r="I41" s="93">
        <f t="shared" si="4"/>
        <v>480</v>
      </c>
      <c r="J41" s="113"/>
      <c r="K41" s="1"/>
      <c r="L41" s="115"/>
      <c r="M41" s="116"/>
      <c r="N41" s="117"/>
      <c r="O41" s="62"/>
      <c r="P41" s="62"/>
      <c r="Q41" s="62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2"/>
      <c r="B42" s="78"/>
      <c r="C42" s="1"/>
      <c r="D42" s="99">
        <v>45566</v>
      </c>
      <c r="E42" s="96"/>
      <c r="F42" s="109"/>
      <c r="G42" s="92">
        <f t="shared" si="5"/>
        <v>0</v>
      </c>
      <c r="H42" s="93">
        <f>2400*3</f>
        <v>7200</v>
      </c>
      <c r="I42" s="93">
        <f t="shared" si="4"/>
        <v>720</v>
      </c>
      <c r="J42" s="1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2"/>
      <c r="B43" s="78"/>
      <c r="C43" s="12"/>
      <c r="D43" s="99">
        <v>45597</v>
      </c>
      <c r="E43" s="96"/>
      <c r="F43" s="109"/>
      <c r="G43" s="92">
        <f t="shared" si="5"/>
        <v>0</v>
      </c>
      <c r="H43" s="93">
        <f t="shared" ref="H43:H44" si="7">2400*2</f>
        <v>4800</v>
      </c>
      <c r="I43" s="93">
        <f t="shared" si="4"/>
        <v>480</v>
      </c>
      <c r="J43" s="113"/>
      <c r="K43" s="19"/>
      <c r="L43" s="15"/>
      <c r="M43" s="15"/>
      <c r="N43" s="15"/>
      <c r="O43" s="11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2"/>
      <c r="B44" s="78"/>
      <c r="C44" s="12"/>
      <c r="D44" s="99">
        <v>45627</v>
      </c>
      <c r="E44" s="96"/>
      <c r="F44" s="109"/>
      <c r="G44" s="92">
        <f t="shared" si="5"/>
        <v>0</v>
      </c>
      <c r="H44" s="93">
        <f t="shared" si="7"/>
        <v>4800</v>
      </c>
      <c r="I44" s="93">
        <f t="shared" si="4"/>
        <v>480</v>
      </c>
      <c r="J44" s="113"/>
      <c r="K44" s="19"/>
      <c r="L44" s="15"/>
      <c r="M44" s="15">
        <f>I35+M37*0.1</f>
        <v>783.46199999999999</v>
      </c>
      <c r="N44" s="119" t="s">
        <v>84</v>
      </c>
      <c r="O44" s="11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2"/>
      <c r="B45" s="120">
        <f>J45+B37</f>
        <v>-8814.6200000000063</v>
      </c>
      <c r="C45" s="12"/>
      <c r="D45" s="121" t="s">
        <v>85</v>
      </c>
      <c r="E45" s="122">
        <f>AVERAGE(E33:E44)</f>
        <v>3464.4685714285706</v>
      </c>
      <c r="F45" s="122">
        <f>AVERAGE(F33:F44)</f>
        <v>19873.841666666671</v>
      </c>
      <c r="G45" s="122">
        <f t="shared" ref="G45" si="8">AVERAGE(G33:G44)</f>
        <v>1812.0424999999998</v>
      </c>
      <c r="H45" s="123">
        <f>SUM(H33:H44)</f>
        <v>72650</v>
      </c>
      <c r="I45" s="124">
        <f>H45*0.1</f>
        <v>7265</v>
      </c>
      <c r="J45" s="125">
        <f>SUM(E33:E44)</f>
        <v>24251.279999999995</v>
      </c>
      <c r="K45" s="19"/>
      <c r="L45" s="15"/>
      <c r="M45" s="15"/>
      <c r="N45" s="15"/>
      <c r="O45" s="11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21" t="s">
        <v>86</v>
      </c>
      <c r="E46" s="122">
        <f t="shared" ref="E46:G46" si="9">E45/(1+0.037)</f>
        <v>3340.8568673370983</v>
      </c>
      <c r="F46" s="122">
        <f t="shared" si="9"/>
        <v>19164.746062359376</v>
      </c>
      <c r="G46" s="122">
        <f t="shared" si="9"/>
        <v>1747.3891031822563</v>
      </c>
      <c r="H46" s="122">
        <f>H45/(1+0.037)</f>
        <v>70057.859209257484</v>
      </c>
      <c r="I46" s="124">
        <f>H46*0.1</f>
        <v>7005.7859209257485</v>
      </c>
      <c r="J46" s="122">
        <f>J45/(1+0.037)</f>
        <v>23385.998071359689</v>
      </c>
      <c r="K46" s="19"/>
      <c r="L46" s="126"/>
      <c r="M46" s="19">
        <f>H35-384.62</f>
        <v>5050</v>
      </c>
      <c r="N46" s="12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26"/>
      <c r="F47" s="18"/>
      <c r="G47" s="19"/>
      <c r="H47" s="19"/>
      <c r="I47" s="19"/>
      <c r="J47" s="19"/>
      <c r="K47" s="126"/>
      <c r="L47" s="126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27" t="s">
        <v>87</v>
      </c>
      <c r="B48" s="128"/>
      <c r="C48" s="62"/>
      <c r="D48" s="62"/>
      <c r="E48" s="129"/>
      <c r="F48" s="130"/>
      <c r="G48" s="131"/>
      <c r="H48" s="19"/>
      <c r="I48" s="19"/>
      <c r="J48" s="19"/>
      <c r="K48" s="126"/>
      <c r="L48" s="126"/>
      <c r="M48" s="12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62" t="s">
        <v>88</v>
      </c>
      <c r="B49" s="62"/>
      <c r="C49" s="62"/>
      <c r="D49" s="62"/>
      <c r="E49" s="129"/>
      <c r="F49" s="130"/>
      <c r="G49" s="131"/>
      <c r="H49" s="19"/>
      <c r="I49" s="19"/>
      <c r="J49" s="19"/>
      <c r="K49" s="126"/>
      <c r="L49" s="126"/>
      <c r="M49" s="12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2" t="s">
        <v>89</v>
      </c>
      <c r="B50" s="62"/>
      <c r="C50" s="62"/>
      <c r="D50" s="62"/>
      <c r="E50" s="129"/>
      <c r="F50" s="62"/>
      <c r="G50" s="132"/>
      <c r="H50" s="133">
        <v>246.41</v>
      </c>
      <c r="I50" s="19"/>
      <c r="J50" s="19"/>
      <c r="K50" s="126"/>
      <c r="L50" s="126"/>
      <c r="M50" s="12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34" t="s">
        <v>90</v>
      </c>
      <c r="B51" s="135" t="s">
        <v>91</v>
      </c>
      <c r="C51" s="136" t="s">
        <v>92</v>
      </c>
      <c r="D51" s="136" t="s">
        <v>93</v>
      </c>
      <c r="E51" s="136"/>
      <c r="F51" s="134" t="s">
        <v>94</v>
      </c>
      <c r="G51" s="131"/>
      <c r="H51" s="19"/>
      <c r="I51" s="19"/>
      <c r="J51" s="19"/>
      <c r="K51" s="126"/>
      <c r="L51" s="126"/>
      <c r="M51" s="12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34" t="s">
        <v>95</v>
      </c>
      <c r="B52" s="135" t="s">
        <v>96</v>
      </c>
      <c r="C52" s="136" t="s">
        <v>96</v>
      </c>
      <c r="D52" s="136" t="s">
        <v>97</v>
      </c>
      <c r="E52" s="134" t="s">
        <v>98</v>
      </c>
      <c r="F52" s="134" t="s">
        <v>99</v>
      </c>
      <c r="G52" s="131"/>
      <c r="H52" s="19"/>
      <c r="I52" s="19"/>
      <c r="J52" s="19"/>
      <c r="K52" s="126"/>
      <c r="L52" s="126"/>
      <c r="M52" s="12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37" t="s">
        <v>100</v>
      </c>
      <c r="B53" s="138">
        <v>8589</v>
      </c>
      <c r="C53" s="139">
        <v>8589</v>
      </c>
      <c r="D53" s="139">
        <v>88.2</v>
      </c>
      <c r="E53" s="140">
        <v>8677.2000000000007</v>
      </c>
      <c r="F53" s="141">
        <v>5.28E-2</v>
      </c>
      <c r="G53" s="131"/>
      <c r="H53" s="19"/>
      <c r="I53" s="19"/>
      <c r="J53" s="19"/>
      <c r="K53" s="126"/>
      <c r="L53" s="126"/>
      <c r="M53" s="12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37" t="s">
        <v>101</v>
      </c>
      <c r="B54" s="139">
        <v>11843</v>
      </c>
      <c r="C54" s="139">
        <v>11843</v>
      </c>
      <c r="D54" s="139">
        <v>150.66</v>
      </c>
      <c r="E54" s="140">
        <v>11993.66</v>
      </c>
      <c r="F54" s="141">
        <v>6.54E-2</v>
      </c>
      <c r="G54" s="131"/>
      <c r="H54" s="19"/>
      <c r="I54" s="19"/>
      <c r="J54" s="19"/>
      <c r="K54" s="126"/>
      <c r="L54" s="126"/>
      <c r="M54" s="12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37" t="s">
        <v>102</v>
      </c>
      <c r="B55" s="139">
        <v>8657</v>
      </c>
      <c r="C55" s="139">
        <v>8657</v>
      </c>
      <c r="D55" s="139">
        <v>110.12</v>
      </c>
      <c r="E55" s="140">
        <v>8767.1200000000008</v>
      </c>
      <c r="F55" s="141">
        <v>6.54E-2</v>
      </c>
      <c r="G55" s="131"/>
      <c r="H55" s="19"/>
      <c r="I55" s="19"/>
      <c r="J55" s="19"/>
      <c r="K55" s="126"/>
      <c r="L55" s="126"/>
      <c r="M55" s="12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37" t="s">
        <v>103</v>
      </c>
      <c r="B56" s="139">
        <v>531</v>
      </c>
      <c r="C56" s="139">
        <v>531</v>
      </c>
      <c r="D56" s="140">
        <v>0</v>
      </c>
      <c r="E56" s="140">
        <v>531</v>
      </c>
      <c r="F56" s="141">
        <v>4.4499999999999998E-2</v>
      </c>
      <c r="G56" s="131"/>
      <c r="H56" s="19"/>
      <c r="I56" s="19"/>
      <c r="J56" s="19"/>
      <c r="K56" s="126"/>
      <c r="L56" s="126"/>
      <c r="M56" s="12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37" t="s">
        <v>104</v>
      </c>
      <c r="B57" s="139">
        <v>2113</v>
      </c>
      <c r="C57" s="139">
        <v>2113</v>
      </c>
      <c r="D57" s="140">
        <v>0</v>
      </c>
      <c r="E57" s="140">
        <v>2113</v>
      </c>
      <c r="F57" s="141">
        <v>4.4499999999999998E-2</v>
      </c>
      <c r="G57" s="131"/>
      <c r="H57" s="19"/>
      <c r="I57" s="19"/>
      <c r="J57" s="19"/>
      <c r="K57" s="126"/>
      <c r="L57" s="126"/>
      <c r="M57" s="12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37" t="s">
        <v>105</v>
      </c>
      <c r="B58" s="139">
        <v>4500</v>
      </c>
      <c r="C58" s="139">
        <v>4500</v>
      </c>
      <c r="D58" s="140">
        <v>0</v>
      </c>
      <c r="E58" s="140">
        <v>4500</v>
      </c>
      <c r="F58" s="141">
        <v>5.0500000000000003E-2</v>
      </c>
      <c r="G58" s="131"/>
      <c r="H58" s="19"/>
      <c r="I58" s="19"/>
      <c r="J58" s="19"/>
      <c r="K58" s="126"/>
      <c r="L58" s="126"/>
      <c r="M58" s="12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37" t="s">
        <v>106</v>
      </c>
      <c r="B59" s="139">
        <v>930</v>
      </c>
      <c r="C59" s="139">
        <v>907.59</v>
      </c>
      <c r="D59" s="140">
        <v>8.9</v>
      </c>
      <c r="E59" s="140">
        <v>916.49</v>
      </c>
      <c r="F59" s="141">
        <v>5.0500000000000003E-2</v>
      </c>
      <c r="G59" s="131"/>
      <c r="H59" s="19"/>
      <c r="I59" s="19"/>
      <c r="J59" s="19"/>
      <c r="K59" s="126"/>
      <c r="L59" s="126"/>
      <c r="M59" s="12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37" t="s">
        <v>107</v>
      </c>
      <c r="B60" s="139">
        <v>654</v>
      </c>
      <c r="C60" s="139">
        <v>636.20000000000005</v>
      </c>
      <c r="D60" s="140">
        <v>6.24</v>
      </c>
      <c r="E60" s="140">
        <v>642.44000000000005</v>
      </c>
      <c r="F60" s="141">
        <v>5.0500000000000003E-2</v>
      </c>
      <c r="G60" s="131"/>
      <c r="H60" s="19"/>
      <c r="I60" s="19"/>
      <c r="J60" s="19"/>
      <c r="K60" s="126"/>
      <c r="L60" s="126"/>
      <c r="M60" s="12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42" t="s">
        <v>108</v>
      </c>
      <c r="B61" s="139">
        <v>4500</v>
      </c>
      <c r="C61" s="139">
        <v>4500</v>
      </c>
      <c r="D61" s="140">
        <v>0</v>
      </c>
      <c r="E61" s="140">
        <v>4500</v>
      </c>
      <c r="F61" s="141">
        <v>4.53E-2</v>
      </c>
      <c r="G61" s="131"/>
      <c r="H61" s="19"/>
      <c r="I61" s="19"/>
      <c r="J61" s="19"/>
      <c r="K61" s="126"/>
      <c r="L61" s="126"/>
      <c r="M61" s="12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42" t="s">
        <v>109</v>
      </c>
      <c r="B62" s="139">
        <v>5899</v>
      </c>
      <c r="C62" s="139">
        <v>5896.67</v>
      </c>
      <c r="D62" s="140">
        <v>51.94</v>
      </c>
      <c r="E62" s="140">
        <v>5948.61</v>
      </c>
      <c r="F62" s="141">
        <v>4.53E-2</v>
      </c>
      <c r="G62" s="131"/>
      <c r="H62" s="19"/>
      <c r="I62" s="19"/>
      <c r="J62" s="19"/>
      <c r="K62" s="126"/>
      <c r="L62" s="126"/>
      <c r="M62" s="12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42" t="s">
        <v>110</v>
      </c>
      <c r="B63" s="139">
        <v>5500</v>
      </c>
      <c r="C63" s="139">
        <v>5500</v>
      </c>
      <c r="D63" s="140">
        <v>0</v>
      </c>
      <c r="E63" s="140">
        <v>5500</v>
      </c>
      <c r="F63" s="141">
        <v>2.75E-2</v>
      </c>
      <c r="G63" s="131"/>
      <c r="H63" s="19"/>
      <c r="I63" s="19"/>
      <c r="J63" s="19"/>
      <c r="K63" s="126"/>
      <c r="L63" s="126"/>
      <c r="M63" s="12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42" t="s">
        <v>111</v>
      </c>
      <c r="B64" s="139">
        <v>6615</v>
      </c>
      <c r="C64" s="139">
        <v>6613.65</v>
      </c>
      <c r="D64" s="140">
        <v>35.36</v>
      </c>
      <c r="E64" s="140">
        <v>6649.01</v>
      </c>
      <c r="F64" s="141">
        <v>2.75E-2</v>
      </c>
      <c r="G64" s="131"/>
      <c r="H64" s="19"/>
      <c r="I64" s="19"/>
      <c r="J64" s="19"/>
      <c r="K64" s="126"/>
      <c r="L64" s="126"/>
      <c r="M64" s="12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42" t="s">
        <v>112</v>
      </c>
      <c r="B65" s="139">
        <v>6429</v>
      </c>
      <c r="C65" s="139">
        <v>6429</v>
      </c>
      <c r="D65" s="140">
        <v>53.76</v>
      </c>
      <c r="E65" s="140">
        <v>6482.76</v>
      </c>
      <c r="F65" s="141">
        <v>4.2999999999999997E-2</v>
      </c>
      <c r="G65" s="131"/>
      <c r="H65" s="19"/>
      <c r="I65" s="19"/>
      <c r="J65" s="19"/>
      <c r="K65" s="126"/>
      <c r="L65" s="126"/>
      <c r="M65" s="12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42" t="s">
        <v>113</v>
      </c>
      <c r="B66" s="139">
        <v>2000</v>
      </c>
      <c r="C66" s="139">
        <v>2000</v>
      </c>
      <c r="D66" s="140">
        <v>20.52</v>
      </c>
      <c r="E66" s="140">
        <v>2020.52</v>
      </c>
      <c r="F66" s="141">
        <v>5.28E-2</v>
      </c>
      <c r="G66" s="131"/>
      <c r="H66" s="19"/>
      <c r="I66" s="19"/>
      <c r="J66" s="19"/>
      <c r="K66" s="126"/>
      <c r="L66" s="126"/>
      <c r="M66" s="12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42" t="s">
        <v>114</v>
      </c>
      <c r="B67" s="139">
        <v>1400</v>
      </c>
      <c r="C67" s="139">
        <v>1400</v>
      </c>
      <c r="D67" s="140">
        <v>14.36</v>
      </c>
      <c r="E67" s="140">
        <v>1414.36</v>
      </c>
      <c r="F67" s="141">
        <v>5.28E-2</v>
      </c>
      <c r="G67" s="131"/>
      <c r="H67" s="19"/>
      <c r="I67" s="19"/>
      <c r="J67" s="19"/>
      <c r="K67" s="126"/>
      <c r="L67" s="126"/>
      <c r="M67" s="12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42" t="s">
        <v>115</v>
      </c>
      <c r="B68" s="139">
        <v>5957</v>
      </c>
      <c r="C68" s="139">
        <v>5957</v>
      </c>
      <c r="D68" s="140">
        <v>81.67</v>
      </c>
      <c r="E68" s="140">
        <v>6038.67</v>
      </c>
      <c r="F68" s="141">
        <v>7.0499999999999993E-2</v>
      </c>
      <c r="G68" s="131"/>
      <c r="H68" s="19"/>
      <c r="I68" s="19"/>
      <c r="J68" s="19"/>
      <c r="K68" s="126"/>
      <c r="L68" s="126"/>
      <c r="M68" s="12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42" t="s">
        <v>116</v>
      </c>
      <c r="B69" s="139">
        <v>5957</v>
      </c>
      <c r="C69" s="139">
        <v>5957</v>
      </c>
      <c r="D69" s="140">
        <v>71.319999999999993</v>
      </c>
      <c r="E69" s="140">
        <v>6028.32</v>
      </c>
      <c r="F69" s="141">
        <v>7.0499999999999993E-2</v>
      </c>
      <c r="G69" s="143">
        <f>SUM(B53:B69)</f>
        <v>82074</v>
      </c>
      <c r="H69" s="19"/>
      <c r="I69" s="19"/>
      <c r="J69" s="19"/>
      <c r="K69" s="126"/>
      <c r="L69" s="126"/>
      <c r="M69" s="12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42" t="s">
        <v>117</v>
      </c>
      <c r="B70" s="139">
        <v>12000</v>
      </c>
      <c r="C70" s="139">
        <v>12000</v>
      </c>
      <c r="D70" s="140">
        <v>0</v>
      </c>
      <c r="E70" s="140">
        <f t="shared" ref="E70:E73" si="10">C70+D70</f>
        <v>12000</v>
      </c>
      <c r="F70" s="141">
        <v>0</v>
      </c>
      <c r="G70" s="131"/>
      <c r="H70" s="19"/>
      <c r="I70" s="19"/>
      <c r="J70" s="19"/>
      <c r="K70" s="126"/>
      <c r="L70" s="126"/>
      <c r="M70" s="12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42" t="s">
        <v>118</v>
      </c>
      <c r="B71" s="139">
        <v>5658</v>
      </c>
      <c r="C71" s="139">
        <v>5658</v>
      </c>
      <c r="D71" s="140">
        <v>25</v>
      </c>
      <c r="E71" s="140">
        <f t="shared" si="10"/>
        <v>5683</v>
      </c>
      <c r="F71" s="141">
        <v>5.0500000000000003E-2</v>
      </c>
      <c r="G71" s="131"/>
      <c r="H71" s="19"/>
      <c r="I71" s="19"/>
      <c r="J71" s="19"/>
      <c r="K71" s="126"/>
      <c r="L71" s="126"/>
      <c r="M71" s="12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42" t="s">
        <v>119</v>
      </c>
      <c r="B72" s="139">
        <f>5655+2827.5+5435</f>
        <v>13917.5</v>
      </c>
      <c r="C72" s="139">
        <v>19022.5</v>
      </c>
      <c r="D72" s="140">
        <v>30</v>
      </c>
      <c r="E72" s="140">
        <f t="shared" si="10"/>
        <v>19052.5</v>
      </c>
      <c r="F72" s="141">
        <v>4.53E-2</v>
      </c>
      <c r="G72" s="131"/>
      <c r="H72" s="19"/>
      <c r="I72" s="19"/>
      <c r="J72" s="19"/>
      <c r="K72" s="126"/>
      <c r="L72" s="126"/>
      <c r="M72" s="12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42" t="s">
        <v>120</v>
      </c>
      <c r="B73" s="139">
        <v>5000</v>
      </c>
      <c r="C73" s="139">
        <v>5000</v>
      </c>
      <c r="D73" s="140">
        <v>56</v>
      </c>
      <c r="E73" s="140">
        <f t="shared" si="10"/>
        <v>5056</v>
      </c>
      <c r="F73" s="141">
        <v>7.0499999999999993E-2</v>
      </c>
      <c r="G73" s="131"/>
      <c r="H73" s="19"/>
      <c r="I73" s="19"/>
      <c r="J73" s="19"/>
      <c r="K73" s="126"/>
      <c r="L73" s="126"/>
      <c r="M73" s="12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35" t="s">
        <v>121</v>
      </c>
      <c r="B74" s="144">
        <f t="shared" ref="B74:E74" si="11">SUM(B53:B73)</f>
        <v>118649.5</v>
      </c>
      <c r="C74" s="145">
        <f t="shared" si="11"/>
        <v>123710.60999999999</v>
      </c>
      <c r="D74" s="145">
        <f t="shared" si="11"/>
        <v>804.05</v>
      </c>
      <c r="E74" s="146">
        <f t="shared" si="11"/>
        <v>124514.66</v>
      </c>
      <c r="F74" s="147">
        <f>AVERAGE(F53:F73)</f>
        <v>4.8838095238095229E-2</v>
      </c>
      <c r="G74" s="131"/>
      <c r="H74" s="19"/>
      <c r="I74" s="19"/>
      <c r="J74" s="19"/>
      <c r="K74" s="126"/>
      <c r="L74" s="126"/>
      <c r="M74" s="12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2"/>
      <c r="B75" s="148"/>
      <c r="C75" s="149"/>
      <c r="D75" s="150"/>
      <c r="E75" s="129"/>
      <c r="F75" s="130"/>
      <c r="G75" s="131"/>
      <c r="H75" s="19"/>
      <c r="I75" s="19"/>
      <c r="J75" s="19"/>
      <c r="K75" s="126"/>
      <c r="L75" s="126"/>
      <c r="M75" s="12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2"/>
      <c r="B76" s="148"/>
      <c r="C76" s="149"/>
      <c r="D76" s="151"/>
      <c r="E76" s="129"/>
      <c r="F76" s="130"/>
      <c r="G76" s="131"/>
      <c r="H76" s="19"/>
      <c r="I76" s="19"/>
      <c r="J76" s="19"/>
      <c r="K76" s="126"/>
      <c r="L76" s="126"/>
      <c r="M76" s="12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52"/>
      <c r="C77" s="153"/>
      <c r="D77" s="154"/>
      <c r="E77" s="126"/>
      <c r="F77" s="18"/>
      <c r="G77" s="19"/>
      <c r="H77" s="19"/>
      <c r="I77" s="19"/>
      <c r="J77" s="19"/>
      <c r="K77" s="126"/>
      <c r="L77" s="126"/>
      <c r="M77" s="12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52"/>
      <c r="C78" s="153"/>
      <c r="D78" s="154"/>
      <c r="E78" s="126"/>
      <c r="F78" s="18"/>
      <c r="G78" s="19"/>
      <c r="H78" s="19"/>
      <c r="I78" s="19"/>
      <c r="J78" s="19"/>
      <c r="K78" s="126"/>
      <c r="L78" s="126"/>
      <c r="M78" s="12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52"/>
      <c r="C79" s="153"/>
      <c r="D79" s="154"/>
      <c r="E79" s="126"/>
      <c r="F79" s="18"/>
      <c r="G79" s="19"/>
      <c r="H79" s="19"/>
      <c r="I79" s="19"/>
      <c r="J79" s="19"/>
      <c r="K79" s="126"/>
      <c r="L79" s="126"/>
      <c r="M79" s="12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52"/>
      <c r="C80" s="154"/>
      <c r="D80" s="126"/>
      <c r="E80" s="126"/>
      <c r="F80" s="19"/>
      <c r="G80" s="19"/>
      <c r="H80" s="19"/>
      <c r="I80" s="19"/>
      <c r="J80" s="19"/>
      <c r="K80" s="126"/>
      <c r="L80" s="126"/>
      <c r="M80" s="12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9"/>
      <c r="C81" s="126"/>
      <c r="D81" s="126"/>
      <c r="E81" s="126"/>
      <c r="F81" s="19"/>
      <c r="G81" s="19"/>
      <c r="H81" s="19"/>
      <c r="I81" s="19"/>
      <c r="J81" s="19"/>
      <c r="K81" s="126"/>
      <c r="L81" s="126"/>
      <c r="M81" s="12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9"/>
      <c r="C82" s="126"/>
      <c r="D82" s="126"/>
      <c r="E82" s="126"/>
      <c r="F82" s="19"/>
      <c r="G82" s="19"/>
      <c r="H82" s="19"/>
      <c r="I82" s="19"/>
      <c r="J82" s="19"/>
      <c r="K82" s="126"/>
      <c r="L82" s="126"/>
      <c r="M82" s="12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9"/>
      <c r="C83" s="126"/>
      <c r="D83" s="126"/>
      <c r="E83" s="126"/>
      <c r="F83" s="19"/>
      <c r="G83" s="19"/>
      <c r="H83" s="19"/>
      <c r="I83" s="19"/>
      <c r="J83" s="19"/>
      <c r="K83" s="126"/>
      <c r="L83" s="126"/>
      <c r="M83" s="12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9"/>
      <c r="C84" s="126"/>
      <c r="D84" s="126"/>
      <c r="E84" s="126"/>
      <c r="F84" s="19"/>
      <c r="G84" s="19"/>
      <c r="H84" s="19"/>
      <c r="I84" s="19"/>
      <c r="J84" s="19"/>
      <c r="K84" s="126"/>
      <c r="L84" s="126"/>
      <c r="M84" s="12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9"/>
      <c r="C85" s="126"/>
      <c r="D85" s="126"/>
      <c r="E85" s="126"/>
      <c r="F85" s="19"/>
      <c r="G85" s="19"/>
      <c r="H85" s="19"/>
      <c r="I85" s="19"/>
      <c r="J85" s="19"/>
      <c r="K85" s="126"/>
      <c r="L85" s="126"/>
      <c r="M85" s="12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9"/>
      <c r="C86" s="126"/>
      <c r="D86" s="126"/>
      <c r="E86" s="126"/>
      <c r="F86" s="19"/>
      <c r="G86" s="19"/>
      <c r="H86" s="19"/>
      <c r="I86" s="19"/>
      <c r="J86" s="19"/>
      <c r="K86" s="126"/>
      <c r="L86" s="126"/>
      <c r="M86" s="12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9"/>
      <c r="C87" s="126"/>
      <c r="D87" s="126"/>
      <c r="E87" s="126"/>
      <c r="F87" s="19"/>
      <c r="G87" s="19"/>
      <c r="H87" s="19"/>
      <c r="I87" s="19"/>
      <c r="J87" s="19"/>
      <c r="K87" s="126"/>
      <c r="L87" s="126"/>
      <c r="M87" s="12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9"/>
      <c r="C88" s="126"/>
      <c r="D88" s="126"/>
      <c r="E88" s="126"/>
      <c r="F88" s="19"/>
      <c r="G88" s="19"/>
      <c r="H88" s="19"/>
      <c r="I88" s="19"/>
      <c r="J88" s="19"/>
      <c r="K88" s="126"/>
      <c r="L88" s="126"/>
      <c r="M88" s="12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9"/>
      <c r="C89" s="126"/>
      <c r="D89" s="126"/>
      <c r="E89" s="126"/>
      <c r="F89" s="19"/>
      <c r="G89" s="19"/>
      <c r="H89" s="19"/>
      <c r="I89" s="19"/>
      <c r="J89" s="19"/>
      <c r="K89" s="126"/>
      <c r="L89" s="126"/>
      <c r="M89" s="12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9"/>
      <c r="C90" s="126"/>
      <c r="D90" s="126"/>
      <c r="E90" s="126"/>
      <c r="F90" s="19"/>
      <c r="G90" s="19"/>
      <c r="H90" s="19"/>
      <c r="I90" s="19"/>
      <c r="J90" s="19"/>
      <c r="K90" s="126"/>
      <c r="L90" s="126"/>
      <c r="M90" s="12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9"/>
      <c r="C91" s="126"/>
      <c r="D91" s="126"/>
      <c r="E91" s="126"/>
      <c r="F91" s="19"/>
      <c r="G91" s="19"/>
      <c r="H91" s="19"/>
      <c r="I91" s="19"/>
      <c r="J91" s="19"/>
      <c r="K91" s="126"/>
      <c r="L91" s="126"/>
      <c r="M91" s="12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9"/>
      <c r="C92" s="126"/>
      <c r="D92" s="126"/>
      <c r="E92" s="126"/>
      <c r="F92" s="19"/>
      <c r="G92" s="19"/>
      <c r="H92" s="19"/>
      <c r="I92" s="19"/>
      <c r="J92" s="19"/>
      <c r="K92" s="126"/>
      <c r="L92" s="126"/>
      <c r="M92" s="12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9"/>
      <c r="C93" s="126"/>
      <c r="D93" s="126"/>
      <c r="E93" s="126"/>
      <c r="F93" s="19"/>
      <c r="G93" s="19"/>
      <c r="H93" s="19"/>
      <c r="I93" s="19"/>
      <c r="J93" s="19"/>
      <c r="K93" s="126"/>
      <c r="L93" s="126"/>
      <c r="M93" s="12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9"/>
      <c r="C94" s="126"/>
      <c r="D94" s="126"/>
      <c r="E94" s="126"/>
      <c r="F94" s="19"/>
      <c r="G94" s="19"/>
      <c r="H94" s="19"/>
      <c r="I94" s="19"/>
      <c r="J94" s="19"/>
      <c r="K94" s="126"/>
      <c r="L94" s="126"/>
      <c r="M94" s="12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9"/>
      <c r="C95" s="126"/>
      <c r="D95" s="126"/>
      <c r="E95" s="126"/>
      <c r="F95" s="19"/>
      <c r="G95" s="19"/>
      <c r="H95" s="19"/>
      <c r="I95" s="19"/>
      <c r="J95" s="19"/>
      <c r="K95" s="126"/>
      <c r="L95" s="126"/>
      <c r="M95" s="12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9"/>
      <c r="C96" s="126"/>
      <c r="D96" s="126"/>
      <c r="E96" s="126"/>
      <c r="F96" s="19"/>
      <c r="G96" s="19"/>
      <c r="H96" s="19"/>
      <c r="I96" s="19"/>
      <c r="J96" s="19"/>
      <c r="K96" s="126"/>
      <c r="L96" s="126"/>
      <c r="M96" s="12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9"/>
      <c r="C97" s="126"/>
      <c r="D97" s="126"/>
      <c r="E97" s="126"/>
      <c r="F97" s="19"/>
      <c r="G97" s="19"/>
      <c r="H97" s="19"/>
      <c r="I97" s="19"/>
      <c r="J97" s="19"/>
      <c r="K97" s="126"/>
      <c r="L97" s="126"/>
      <c r="M97" s="12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9"/>
      <c r="C98" s="126"/>
      <c r="D98" s="126"/>
      <c r="E98" s="126"/>
      <c r="F98" s="19"/>
      <c r="G98" s="19"/>
      <c r="H98" s="19"/>
      <c r="I98" s="19"/>
      <c r="J98" s="19"/>
      <c r="K98" s="126"/>
      <c r="L98" s="126"/>
      <c r="M98" s="12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9"/>
      <c r="C99" s="126"/>
      <c r="D99" s="126"/>
      <c r="E99" s="126"/>
      <c r="F99" s="19"/>
      <c r="G99" s="19"/>
      <c r="H99" s="19"/>
      <c r="I99" s="19"/>
      <c r="J99" s="19"/>
      <c r="K99" s="126"/>
      <c r="L99" s="126"/>
      <c r="M99" s="12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9"/>
      <c r="C100" s="126"/>
      <c r="D100" s="126"/>
      <c r="E100" s="126"/>
      <c r="F100" s="19"/>
      <c r="G100" s="19"/>
      <c r="H100" s="19"/>
      <c r="I100" s="19"/>
      <c r="J100" s="19"/>
      <c r="K100" s="126"/>
      <c r="L100" s="126"/>
      <c r="M100" s="12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9"/>
      <c r="C101" s="126"/>
      <c r="D101" s="126"/>
      <c r="E101" s="126"/>
      <c r="F101" s="19"/>
      <c r="G101" s="19"/>
      <c r="H101" s="19"/>
      <c r="I101" s="19"/>
      <c r="J101" s="19"/>
      <c r="K101" s="126"/>
      <c r="L101" s="126"/>
      <c r="M101" s="12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9"/>
      <c r="C102" s="126"/>
      <c r="D102" s="126"/>
      <c r="E102" s="126"/>
      <c r="F102" s="19"/>
      <c r="G102" s="19"/>
      <c r="H102" s="19"/>
      <c r="I102" s="19"/>
      <c r="J102" s="19"/>
      <c r="K102" s="126"/>
      <c r="L102" s="126"/>
      <c r="M102" s="12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9"/>
      <c r="C103" s="126"/>
      <c r="D103" s="126"/>
      <c r="E103" s="126"/>
      <c r="F103" s="19"/>
      <c r="G103" s="19"/>
      <c r="H103" s="19"/>
      <c r="I103" s="19"/>
      <c r="J103" s="19"/>
      <c r="K103" s="126"/>
      <c r="L103" s="126"/>
      <c r="M103" s="12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9"/>
      <c r="C104" s="126"/>
      <c r="D104" s="126"/>
      <c r="E104" s="126"/>
      <c r="F104" s="19"/>
      <c r="G104" s="19"/>
      <c r="H104" s="19"/>
      <c r="I104" s="19"/>
      <c r="J104" s="19"/>
      <c r="K104" s="126"/>
      <c r="L104" s="126"/>
      <c r="M104" s="12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9"/>
      <c r="C105" s="126"/>
      <c r="D105" s="126"/>
      <c r="E105" s="126"/>
      <c r="F105" s="19"/>
      <c r="G105" s="19"/>
      <c r="H105" s="19"/>
      <c r="I105" s="19"/>
      <c r="J105" s="19"/>
      <c r="K105" s="126"/>
      <c r="L105" s="126"/>
      <c r="M105" s="12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9"/>
      <c r="C106" s="126"/>
      <c r="D106" s="126"/>
      <c r="E106" s="126"/>
      <c r="F106" s="19"/>
      <c r="G106" s="19"/>
      <c r="H106" s="19"/>
      <c r="I106" s="19"/>
      <c r="J106" s="19"/>
      <c r="K106" s="126"/>
      <c r="L106" s="126"/>
      <c r="M106" s="12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9"/>
      <c r="C107" s="126"/>
      <c r="D107" s="126"/>
      <c r="E107" s="126"/>
      <c r="F107" s="19"/>
      <c r="G107" s="19"/>
      <c r="H107" s="19"/>
      <c r="I107" s="19"/>
      <c r="J107" s="19"/>
      <c r="K107" s="126"/>
      <c r="L107" s="126"/>
      <c r="M107" s="12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9"/>
      <c r="C108" s="126"/>
      <c r="D108" s="1"/>
      <c r="E108" s="126"/>
      <c r="F108" s="19"/>
      <c r="G108" s="19"/>
      <c r="H108" s="19"/>
      <c r="I108" s="19"/>
      <c r="J108" s="19"/>
      <c r="K108" s="126"/>
      <c r="L108" s="126"/>
      <c r="M108" s="12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6"/>
      <c r="C109" s="1"/>
      <c r="D109" s="1"/>
      <c r="E109" s="1"/>
      <c r="F109" s="1"/>
      <c r="G109" s="1"/>
      <c r="H109" s="1"/>
      <c r="I109" s="1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6"/>
      <c r="C110" s="1"/>
      <c r="D110" s="1"/>
      <c r="E110" s="1"/>
      <c r="F110" s="1"/>
      <c r="G110" s="1"/>
      <c r="H110" s="1"/>
      <c r="I110" s="1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6"/>
      <c r="C111" s="1"/>
      <c r="D111" s="1"/>
      <c r="E111" s="1"/>
      <c r="F111" s="1"/>
      <c r="G111" s="1"/>
      <c r="H111" s="1"/>
      <c r="I111" s="1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6"/>
      <c r="C112" s="1"/>
      <c r="D112" s="1"/>
      <c r="E112" s="1"/>
      <c r="F112" s="1"/>
      <c r="G112" s="1"/>
      <c r="H112" s="1"/>
      <c r="I112" s="1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6"/>
      <c r="C113" s="1"/>
      <c r="D113" s="1"/>
      <c r="E113" s="1"/>
      <c r="F113" s="1"/>
      <c r="G113" s="1"/>
      <c r="H113" s="1"/>
      <c r="I113" s="1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 t="s">
        <v>122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 t="s">
        <v>122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 t="s">
        <v>122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 t="s">
        <v>122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 t="s">
        <v>122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 t="s">
        <v>122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 t="s">
        <v>122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 t="s">
        <v>122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 t="s">
        <v>122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 t="s">
        <v>122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 t="s">
        <v>122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 t="s">
        <v>122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 t="s">
        <v>122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 t="s">
        <v>122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 t="s">
        <v>122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 t="s">
        <v>122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 t="s">
        <v>123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2:G2"/>
    <mergeCell ref="H2:J2"/>
    <mergeCell ref="B4:C4"/>
    <mergeCell ref="D4:E4"/>
    <mergeCell ref="F4:G4"/>
    <mergeCell ref="B9:C9"/>
    <mergeCell ref="D9:E9"/>
    <mergeCell ref="F9:G9"/>
    <mergeCell ref="I16:J16"/>
    <mergeCell ref="A22:B22"/>
    <mergeCell ref="C22:D22"/>
    <mergeCell ref="J23:K23"/>
    <mergeCell ref="L23:N23"/>
    <mergeCell ref="L24:N24"/>
    <mergeCell ref="J28:K28"/>
    <mergeCell ref="L28:N28"/>
    <mergeCell ref="J29:K29"/>
    <mergeCell ref="L29:N29"/>
    <mergeCell ref="D31:E31"/>
    <mergeCell ref="J24:K24"/>
    <mergeCell ref="J25:K25"/>
    <mergeCell ref="L25:N25"/>
    <mergeCell ref="J26:K26"/>
    <mergeCell ref="L26:N26"/>
    <mergeCell ref="J27:K27"/>
    <mergeCell ref="L27:N27"/>
  </mergeCells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 x14ac:dyDescent="0.25"/>
  <cols>
    <col min="1" max="5" width="14.42578125" customWidth="1"/>
    <col min="6" max="6" width="22.5703125" customWidth="1"/>
    <col min="7" max="7" width="18.42578125" customWidth="1"/>
    <col min="8" max="8" width="29.140625" customWidth="1"/>
    <col min="9" max="9" width="13.140625" customWidth="1"/>
    <col min="10" max="10" width="19.140625" customWidth="1"/>
    <col min="11" max="13" width="16.140625" customWidth="1"/>
    <col min="14" max="14" width="17.140625" customWidth="1"/>
    <col min="15" max="16" width="13.42578125" customWidth="1"/>
    <col min="17" max="17" width="8.5703125" customWidth="1"/>
    <col min="18" max="18" width="19.85546875" customWidth="1"/>
  </cols>
  <sheetData>
    <row r="1" spans="1:31" ht="15" customHeight="1" x14ac:dyDescent="0.25">
      <c r="B1" s="155" t="s">
        <v>124</v>
      </c>
      <c r="C1" s="155" t="s">
        <v>125</v>
      </c>
      <c r="D1" s="155" t="s">
        <v>83</v>
      </c>
    </row>
    <row r="2" spans="1:31" ht="15" customHeight="1" x14ac:dyDescent="0.25">
      <c r="A2" s="156" t="s">
        <v>126</v>
      </c>
      <c r="B2" s="157">
        <f>25000+21000+2800</f>
        <v>48800</v>
      </c>
      <c r="C2" s="157">
        <v>4700</v>
      </c>
      <c r="D2" s="157">
        <f t="shared" ref="D2:D4" si="0">B2+C2</f>
        <v>53500</v>
      </c>
      <c r="F2" s="156">
        <f>47000+2500+19000</f>
        <v>68500</v>
      </c>
    </row>
    <row r="3" spans="1:31" ht="15" customHeight="1" x14ac:dyDescent="0.25">
      <c r="A3" s="156" t="s">
        <v>127</v>
      </c>
      <c r="B3" s="157">
        <v>21400</v>
      </c>
      <c r="C3" s="157">
        <v>6400</v>
      </c>
      <c r="D3" s="157">
        <f t="shared" si="0"/>
        <v>27800</v>
      </c>
    </row>
    <row r="4" spans="1:31" ht="15" customHeight="1" x14ac:dyDescent="0.25">
      <c r="A4" s="156" t="s">
        <v>128</v>
      </c>
      <c r="B4" s="157">
        <f>178+6000+1500+580+300+10</f>
        <v>8568</v>
      </c>
      <c r="D4" s="157">
        <f t="shared" si="0"/>
        <v>8568</v>
      </c>
      <c r="E4" s="157">
        <f>B3+B4+C5</f>
        <v>34288</v>
      </c>
      <c r="F4" s="158">
        <f>250000*0.3</f>
        <v>75000</v>
      </c>
    </row>
    <row r="5" spans="1:31" ht="15" customHeight="1" x14ac:dyDescent="0.25">
      <c r="A5" s="156" t="s">
        <v>129</v>
      </c>
      <c r="B5" s="157">
        <f>SUM(B2:B4)</f>
        <v>78768</v>
      </c>
      <c r="C5" s="157">
        <v>4320</v>
      </c>
      <c r="D5" s="157">
        <f>SUM(D2:D4)</f>
        <v>89868</v>
      </c>
      <c r="E5" s="157">
        <f>B6*0.047</f>
        <v>-940</v>
      </c>
    </row>
    <row r="6" spans="1:31" ht="15" customHeight="1" x14ac:dyDescent="0.25">
      <c r="A6" s="159" t="s">
        <v>130</v>
      </c>
      <c r="B6" s="160">
        <v>-20000</v>
      </c>
      <c r="C6" s="159"/>
      <c r="D6" s="160">
        <f>B5+B6+C5</f>
        <v>63088</v>
      </c>
      <c r="E6" s="159" t="s">
        <v>131</v>
      </c>
    </row>
    <row r="7" spans="1:31" ht="15" customHeight="1" x14ac:dyDescent="0.25">
      <c r="A7" s="158" t="s">
        <v>132</v>
      </c>
      <c r="B7" s="157">
        <f>D2</f>
        <v>53500</v>
      </c>
      <c r="C7" s="157">
        <f>D3</f>
        <v>27800</v>
      </c>
      <c r="D7" s="157">
        <f>B7+C7+D4</f>
        <v>89868</v>
      </c>
    </row>
    <row r="8" spans="1:31" ht="27" customHeight="1" x14ac:dyDescent="0.25">
      <c r="A8" s="156" t="s">
        <v>133</v>
      </c>
      <c r="B8" s="157">
        <f>D5</f>
        <v>89868</v>
      </c>
      <c r="F8" s="161" t="s">
        <v>134</v>
      </c>
      <c r="G8" s="161" t="s">
        <v>135</v>
      </c>
      <c r="H8" s="162" t="s">
        <v>136</v>
      </c>
      <c r="I8" s="161" t="s">
        <v>137</v>
      </c>
      <c r="J8" s="163" t="s">
        <v>138</v>
      </c>
      <c r="K8" s="163" t="s">
        <v>139</v>
      </c>
      <c r="L8" s="164" t="s">
        <v>140</v>
      </c>
      <c r="M8" s="163" t="s">
        <v>141</v>
      </c>
      <c r="N8" s="163" t="s">
        <v>142</v>
      </c>
      <c r="O8" s="165" t="s">
        <v>143</v>
      </c>
      <c r="P8" s="155" t="s">
        <v>144</v>
      </c>
      <c r="Q8" s="155"/>
      <c r="R8" s="166" t="s">
        <v>145</v>
      </c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</row>
    <row r="9" spans="1:31" ht="15.75" x14ac:dyDescent="0.25">
      <c r="A9" s="156" t="s">
        <v>128</v>
      </c>
      <c r="B9" s="156" t="s">
        <v>146</v>
      </c>
      <c r="C9" s="156" t="s">
        <v>147</v>
      </c>
      <c r="F9" s="167" t="s">
        <v>148</v>
      </c>
      <c r="G9" s="167"/>
      <c r="H9" s="168">
        <v>43763</v>
      </c>
      <c r="I9" s="169">
        <v>131.19999999999999</v>
      </c>
      <c r="J9" s="170">
        <v>1</v>
      </c>
      <c r="K9" s="171">
        <f t="shared" ref="K9:K48" si="1">J9*I9</f>
        <v>131.19999999999999</v>
      </c>
      <c r="L9" s="172">
        <v>187.5</v>
      </c>
      <c r="M9" s="173">
        <f t="shared" ref="M9:M10" si="2">J9*L9</f>
        <v>187.5</v>
      </c>
      <c r="N9" s="174">
        <f t="array" ref="N9">SUM(K9:K46-K11)</f>
        <v>1669.8554401053989</v>
      </c>
      <c r="O9" s="175">
        <f>SUM(M9:M51)</f>
        <v>2603.8806852285002</v>
      </c>
      <c r="P9" s="158">
        <f>443+1577.49</f>
        <v>2020.49</v>
      </c>
      <c r="Q9" s="176">
        <f>O9-P9</f>
        <v>583.39068522850016</v>
      </c>
      <c r="R9" s="177">
        <v>44297</v>
      </c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</row>
    <row r="10" spans="1:31" ht="15.75" x14ac:dyDescent="0.25">
      <c r="A10" s="157">
        <f>B4</f>
        <v>8568</v>
      </c>
      <c r="B10" s="157">
        <f>D3</f>
        <v>27800</v>
      </c>
      <c r="C10" s="157">
        <f>D2</f>
        <v>53500</v>
      </c>
      <c r="F10" s="167" t="s">
        <v>149</v>
      </c>
      <c r="G10" s="167"/>
      <c r="H10" s="168">
        <v>43763</v>
      </c>
      <c r="I10" s="169">
        <v>31.79</v>
      </c>
      <c r="J10" s="178">
        <v>1.0152239999999999</v>
      </c>
      <c r="K10" s="171">
        <f t="shared" si="1"/>
        <v>32.273970959999993</v>
      </c>
      <c r="L10" s="172">
        <v>40</v>
      </c>
      <c r="M10" s="173">
        <f t="shared" si="2"/>
        <v>40.608959999999996</v>
      </c>
      <c r="N10" s="179"/>
      <c r="O10" s="155"/>
      <c r="P10" s="155"/>
      <c r="Q10" s="155"/>
      <c r="R10" s="180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</row>
    <row r="11" spans="1:31" ht="15.75" x14ac:dyDescent="0.25">
      <c r="F11" s="167" t="s">
        <v>150</v>
      </c>
      <c r="G11" s="167" t="s">
        <v>151</v>
      </c>
      <c r="H11" s="168">
        <v>43766</v>
      </c>
      <c r="I11" s="169">
        <v>4.4800000000000004</v>
      </c>
      <c r="J11" s="178">
        <v>3</v>
      </c>
      <c r="K11" s="171">
        <f t="shared" si="1"/>
        <v>13.440000000000001</v>
      </c>
      <c r="L11" s="172"/>
      <c r="M11" s="173"/>
      <c r="N11" s="179"/>
      <c r="O11" s="155"/>
      <c r="P11" s="155"/>
      <c r="Q11" s="155"/>
      <c r="R11" s="180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</row>
    <row r="12" spans="1:31" ht="15.75" x14ac:dyDescent="0.25">
      <c r="F12" s="167" t="s">
        <v>152</v>
      </c>
      <c r="G12" s="167"/>
      <c r="H12" s="168">
        <v>43768</v>
      </c>
      <c r="I12" s="169">
        <v>132.96</v>
      </c>
      <c r="J12" s="178">
        <v>1.0068090000000001</v>
      </c>
      <c r="K12" s="171">
        <f t="shared" si="1"/>
        <v>133.86532464000001</v>
      </c>
      <c r="L12" s="172">
        <v>161</v>
      </c>
      <c r="M12" s="173">
        <f t="shared" ref="M12:M39" si="3">J12*L12</f>
        <v>162.096249</v>
      </c>
      <c r="N12" s="179"/>
      <c r="O12" s="155"/>
      <c r="P12" s="155"/>
      <c r="Q12" s="155"/>
      <c r="R12" s="180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</row>
    <row r="13" spans="1:31" ht="15.75" x14ac:dyDescent="0.25">
      <c r="F13" s="167" t="s">
        <v>153</v>
      </c>
      <c r="G13" s="167"/>
      <c r="H13" s="168">
        <v>43809</v>
      </c>
      <c r="I13" s="169">
        <v>272.95</v>
      </c>
      <c r="J13" s="178">
        <v>0.50190900000000005</v>
      </c>
      <c r="K13" s="171">
        <f t="shared" si="1"/>
        <v>136.99606155000001</v>
      </c>
      <c r="L13" s="172">
        <v>369.1</v>
      </c>
      <c r="M13" s="173">
        <f t="shared" si="3"/>
        <v>185.25461190000004</v>
      </c>
      <c r="N13" s="179"/>
      <c r="O13" s="155"/>
      <c r="P13" s="155"/>
      <c r="Q13" s="155"/>
      <c r="R13" s="180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</row>
    <row r="14" spans="1:31" ht="15.75" x14ac:dyDescent="0.25">
      <c r="F14" s="167" t="s">
        <v>154</v>
      </c>
      <c r="G14" s="167"/>
      <c r="H14" s="168">
        <v>43829</v>
      </c>
      <c r="I14" s="169">
        <v>99.95</v>
      </c>
      <c r="J14" s="178">
        <v>1.0038020000000001</v>
      </c>
      <c r="K14" s="171">
        <f t="shared" si="1"/>
        <v>100.33000990000001</v>
      </c>
      <c r="L14" s="172">
        <v>131.29</v>
      </c>
      <c r="M14" s="173">
        <f t="shared" si="3"/>
        <v>131.78916458</v>
      </c>
      <c r="N14" s="179"/>
      <c r="O14" s="155"/>
      <c r="P14" s="155"/>
      <c r="Q14" s="155"/>
      <c r="R14" s="180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</row>
    <row r="15" spans="1:31" ht="15.75" x14ac:dyDescent="0.25">
      <c r="F15" s="167" t="s">
        <v>155</v>
      </c>
      <c r="G15" s="167"/>
      <c r="H15" s="168">
        <v>43829</v>
      </c>
      <c r="I15" s="169">
        <v>57.81</v>
      </c>
      <c r="J15" s="178">
        <v>1.0088539999999999</v>
      </c>
      <c r="K15" s="171">
        <f t="shared" si="1"/>
        <v>58.321849739999998</v>
      </c>
      <c r="L15" s="172">
        <v>122.78</v>
      </c>
      <c r="M15" s="173">
        <f t="shared" si="3"/>
        <v>123.86709411999999</v>
      </c>
      <c r="N15" s="179"/>
      <c r="O15" s="155" t="s">
        <v>156</v>
      </c>
      <c r="P15" s="155"/>
      <c r="Q15" s="155"/>
      <c r="R15" s="180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</row>
    <row r="16" spans="1:31" ht="15.75" x14ac:dyDescent="0.25">
      <c r="F16" s="167" t="s">
        <v>157</v>
      </c>
      <c r="G16" s="167"/>
      <c r="H16" s="168">
        <v>43830</v>
      </c>
      <c r="I16" s="169">
        <v>47.84</v>
      </c>
      <c r="J16" s="178">
        <v>1</v>
      </c>
      <c r="K16" s="171">
        <f t="shared" si="1"/>
        <v>47.84</v>
      </c>
      <c r="L16" s="172">
        <v>79.47</v>
      </c>
      <c r="M16" s="173">
        <f t="shared" si="3"/>
        <v>79.47</v>
      </c>
      <c r="N16" s="179"/>
      <c r="O16" s="155"/>
      <c r="P16" s="155"/>
      <c r="Q16" s="155"/>
      <c r="R16" s="180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</row>
    <row r="17" spans="6:31" ht="15.75" x14ac:dyDescent="0.25">
      <c r="F17" s="167" t="s">
        <v>158</v>
      </c>
      <c r="G17" s="167"/>
      <c r="H17" s="168">
        <v>43838</v>
      </c>
      <c r="I17" s="169">
        <v>55.93</v>
      </c>
      <c r="J17" s="178">
        <v>6.07</v>
      </c>
      <c r="K17" s="171">
        <f t="shared" si="1"/>
        <v>339.49510000000004</v>
      </c>
      <c r="L17" s="172">
        <v>33.24</v>
      </c>
      <c r="M17" s="173">
        <f t="shared" si="3"/>
        <v>201.76680000000002</v>
      </c>
      <c r="N17" s="179"/>
      <c r="O17" s="155"/>
      <c r="P17" s="155"/>
      <c r="Q17" s="155"/>
      <c r="R17" s="180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</row>
    <row r="18" spans="6:31" ht="15.75" x14ac:dyDescent="0.25">
      <c r="F18" s="167"/>
      <c r="G18" s="167"/>
      <c r="H18" s="168">
        <v>44298</v>
      </c>
      <c r="I18" s="169">
        <v>32.340000000000003</v>
      </c>
      <c r="J18" s="181">
        <v>7.5138030000000002</v>
      </c>
      <c r="K18" s="171">
        <f t="shared" si="1"/>
        <v>242.99638902000004</v>
      </c>
      <c r="L18" s="172">
        <v>33.24</v>
      </c>
      <c r="M18" s="173">
        <f t="shared" si="3"/>
        <v>249.75881172000001</v>
      </c>
      <c r="N18" s="179"/>
      <c r="O18" s="155"/>
      <c r="P18" s="155"/>
      <c r="Q18" s="155"/>
      <c r="R18" s="180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</row>
    <row r="19" spans="6:31" ht="15.75" x14ac:dyDescent="0.25">
      <c r="F19" s="167"/>
      <c r="G19" s="167"/>
      <c r="H19" s="168">
        <v>44298</v>
      </c>
      <c r="I19" s="169">
        <v>33.090000000000003</v>
      </c>
      <c r="J19" s="155">
        <v>3.1733999999999998E-2</v>
      </c>
      <c r="K19" s="171">
        <f t="shared" si="1"/>
        <v>1.0500780600000001</v>
      </c>
      <c r="L19" s="172">
        <v>33.24</v>
      </c>
      <c r="M19" s="173">
        <f t="shared" si="3"/>
        <v>1.0548381600000001</v>
      </c>
      <c r="N19" s="179"/>
      <c r="O19" s="155"/>
      <c r="P19" s="155"/>
      <c r="Q19" s="155"/>
      <c r="R19" s="180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</row>
    <row r="20" spans="6:31" ht="15.75" x14ac:dyDescent="0.25">
      <c r="F20" s="167" t="s">
        <v>159</v>
      </c>
      <c r="G20" s="167"/>
      <c r="H20" s="168">
        <v>43871</v>
      </c>
      <c r="I20" s="169">
        <v>4.17</v>
      </c>
      <c r="J20" s="178">
        <v>1</v>
      </c>
      <c r="K20" s="171">
        <f t="shared" si="1"/>
        <v>4.17</v>
      </c>
      <c r="L20" s="172">
        <v>7.08</v>
      </c>
      <c r="M20" s="173">
        <f t="shared" si="3"/>
        <v>7.08</v>
      </c>
      <c r="N20" s="179"/>
      <c r="O20" s="155"/>
      <c r="P20" s="155"/>
      <c r="Q20" s="155"/>
      <c r="R20" s="180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</row>
    <row r="21" spans="6:31" ht="15.75" customHeight="1" x14ac:dyDescent="0.25">
      <c r="F21" s="167" t="s">
        <v>160</v>
      </c>
      <c r="G21" s="167"/>
      <c r="H21" s="168">
        <v>43917</v>
      </c>
      <c r="I21" s="169">
        <v>5</v>
      </c>
      <c r="J21" s="182">
        <v>13</v>
      </c>
      <c r="K21" s="171">
        <f t="shared" si="1"/>
        <v>65</v>
      </c>
      <c r="L21" s="172">
        <v>12.48</v>
      </c>
      <c r="M21" s="173">
        <f t="shared" si="3"/>
        <v>162.24</v>
      </c>
      <c r="N21" s="179"/>
      <c r="O21" s="155"/>
      <c r="P21" s="155"/>
      <c r="Q21" s="155"/>
      <c r="R21" s="180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</row>
    <row r="22" spans="6:31" ht="15.75" customHeight="1" x14ac:dyDescent="0.25">
      <c r="F22" s="167" t="s">
        <v>161</v>
      </c>
      <c r="G22" s="167"/>
      <c r="H22" s="168">
        <v>43942</v>
      </c>
      <c r="I22" s="169">
        <v>9.0299999999999994</v>
      </c>
      <c r="J22" s="178">
        <v>1</v>
      </c>
      <c r="K22" s="171">
        <f t="shared" si="1"/>
        <v>9.0299999999999994</v>
      </c>
      <c r="L22" s="172">
        <v>12.4</v>
      </c>
      <c r="M22" s="173">
        <f t="shared" si="3"/>
        <v>12.4</v>
      </c>
      <c r="N22" s="179"/>
      <c r="O22" s="155"/>
      <c r="P22" s="155"/>
      <c r="Q22" s="155"/>
      <c r="R22" s="180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</row>
    <row r="23" spans="6:31" ht="15.75" customHeight="1" x14ac:dyDescent="0.25">
      <c r="F23" s="167"/>
      <c r="G23" s="167"/>
      <c r="H23" s="168">
        <v>44299</v>
      </c>
      <c r="I23" s="169">
        <v>12.47</v>
      </c>
      <c r="J23" s="178">
        <v>8.0194480000000006</v>
      </c>
      <c r="K23" s="171">
        <f t="shared" si="1"/>
        <v>100.00251656000002</v>
      </c>
      <c r="L23" s="172">
        <v>12.47</v>
      </c>
      <c r="M23" s="173">
        <f t="shared" si="3"/>
        <v>100.00251656000002</v>
      </c>
      <c r="N23" s="179"/>
      <c r="O23" s="155"/>
      <c r="P23" s="155"/>
      <c r="Q23" s="155"/>
      <c r="R23" s="180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</row>
    <row r="24" spans="6:31" ht="15.75" customHeight="1" x14ac:dyDescent="0.25">
      <c r="F24" s="167" t="s">
        <v>162</v>
      </c>
      <c r="G24" s="167"/>
      <c r="H24" s="168">
        <v>43969</v>
      </c>
      <c r="I24" s="169">
        <v>9.06</v>
      </c>
      <c r="J24" s="178">
        <v>1</v>
      </c>
      <c r="K24" s="171">
        <f t="shared" si="1"/>
        <v>9.06</v>
      </c>
      <c r="L24" s="172">
        <v>35.99</v>
      </c>
      <c r="M24" s="173">
        <f t="shared" si="3"/>
        <v>35.99</v>
      </c>
      <c r="N24" s="179"/>
      <c r="O24" s="155"/>
      <c r="P24" s="155"/>
      <c r="Q24" s="155"/>
      <c r="R24" s="180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</row>
    <row r="25" spans="6:31" ht="15.75" customHeight="1" x14ac:dyDescent="0.25">
      <c r="F25" s="167" t="s">
        <v>163</v>
      </c>
      <c r="G25" s="167"/>
      <c r="H25" s="168">
        <v>44006</v>
      </c>
      <c r="I25" s="169">
        <v>14</v>
      </c>
      <c r="J25" s="178">
        <v>8.1725000000000006E-2</v>
      </c>
      <c r="K25" s="171">
        <f t="shared" si="1"/>
        <v>1.14415</v>
      </c>
      <c r="L25" s="172">
        <v>189.66</v>
      </c>
      <c r="M25" s="173">
        <f t="shared" si="3"/>
        <v>15.499963500000002</v>
      </c>
      <c r="N25" s="179"/>
      <c r="O25" s="155"/>
      <c r="P25" s="155"/>
      <c r="Q25" s="155"/>
      <c r="R25" s="180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</row>
    <row r="26" spans="6:31" ht="15.75" customHeight="1" x14ac:dyDescent="0.25">
      <c r="F26" s="167" t="s">
        <v>164</v>
      </c>
      <c r="G26" s="167"/>
      <c r="H26" s="168">
        <v>43994</v>
      </c>
      <c r="I26" s="169">
        <v>2.0099999999999998</v>
      </c>
      <c r="J26" s="178">
        <v>2.1054E-4</v>
      </c>
      <c r="K26" s="171">
        <f t="shared" si="1"/>
        <v>4.2318539999999994E-4</v>
      </c>
      <c r="L26" s="172">
        <v>59656</v>
      </c>
      <c r="M26" s="173">
        <f t="shared" si="3"/>
        <v>12.559974240000001</v>
      </c>
      <c r="N26" s="179"/>
      <c r="O26" s="155"/>
      <c r="P26" s="155"/>
      <c r="Q26" s="155"/>
      <c r="R26" s="172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</row>
    <row r="27" spans="6:31" ht="15.75" customHeight="1" x14ac:dyDescent="0.25">
      <c r="F27" s="167" t="s">
        <v>165</v>
      </c>
      <c r="G27" s="167"/>
      <c r="H27" s="168">
        <v>43997</v>
      </c>
      <c r="I27" s="169">
        <v>189.21</v>
      </c>
      <c r="J27" s="178">
        <v>1</v>
      </c>
      <c r="K27" s="171">
        <f t="shared" si="1"/>
        <v>189.21</v>
      </c>
      <c r="L27" s="172">
        <v>251.7</v>
      </c>
      <c r="M27" s="173">
        <f t="shared" si="3"/>
        <v>251.7</v>
      </c>
      <c r="N27" s="179"/>
      <c r="O27" s="155"/>
      <c r="P27" s="155"/>
      <c r="Q27" s="155"/>
      <c r="R27" s="172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</row>
    <row r="28" spans="6:31" ht="15.75" customHeight="1" x14ac:dyDescent="0.25">
      <c r="F28" s="179" t="s">
        <v>166</v>
      </c>
      <c r="G28" s="179"/>
      <c r="H28" s="183">
        <v>44116</v>
      </c>
      <c r="I28" s="184">
        <v>20</v>
      </c>
      <c r="J28" s="178">
        <v>8.2341449999999997E-2</v>
      </c>
      <c r="K28" s="171">
        <f t="shared" si="1"/>
        <v>1.6468289999999999</v>
      </c>
      <c r="L28" s="172">
        <v>55.93</v>
      </c>
      <c r="M28" s="173">
        <f t="shared" si="3"/>
        <v>4.6053572984999995</v>
      </c>
      <c r="N28" s="179"/>
      <c r="O28" s="155"/>
      <c r="P28" s="155"/>
      <c r="Q28" s="155"/>
      <c r="R28" s="172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</row>
    <row r="29" spans="6:31" ht="15.75" customHeight="1" x14ac:dyDescent="0.25">
      <c r="F29" s="185" t="s">
        <v>167</v>
      </c>
      <c r="G29" s="167"/>
      <c r="H29" s="186">
        <v>44116</v>
      </c>
      <c r="I29" s="169">
        <v>180.71</v>
      </c>
      <c r="J29" s="187">
        <v>1</v>
      </c>
      <c r="K29" s="171">
        <f t="shared" si="1"/>
        <v>180.71</v>
      </c>
      <c r="L29" s="172">
        <v>162.38</v>
      </c>
      <c r="M29" s="173">
        <f t="shared" si="3"/>
        <v>162.38</v>
      </c>
      <c r="N29" s="188"/>
      <c r="O29" s="155"/>
      <c r="P29" s="155"/>
      <c r="Q29" s="155"/>
      <c r="R29" s="172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</row>
    <row r="30" spans="6:31" ht="15.75" customHeight="1" x14ac:dyDescent="0.25">
      <c r="F30" s="167" t="s">
        <v>168</v>
      </c>
      <c r="G30" s="167"/>
      <c r="H30" s="186">
        <v>44116</v>
      </c>
      <c r="I30" s="169">
        <v>23.46</v>
      </c>
      <c r="J30" s="178">
        <v>3</v>
      </c>
      <c r="K30" s="171">
        <f t="shared" si="1"/>
        <v>70.38</v>
      </c>
      <c r="L30" s="172">
        <v>23.05</v>
      </c>
      <c r="M30" s="173">
        <f t="shared" si="3"/>
        <v>69.150000000000006</v>
      </c>
      <c r="N30" s="179"/>
      <c r="O30" s="155"/>
      <c r="P30" s="155"/>
      <c r="Q30" s="155"/>
      <c r="R30" s="172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</row>
    <row r="31" spans="6:31" ht="15.75" customHeight="1" x14ac:dyDescent="0.25">
      <c r="F31" s="167" t="s">
        <v>169</v>
      </c>
      <c r="G31" s="167"/>
      <c r="H31" s="168">
        <v>44138</v>
      </c>
      <c r="I31" s="169">
        <v>55.5</v>
      </c>
      <c r="J31" s="178">
        <v>0.02</v>
      </c>
      <c r="K31" s="171">
        <f t="shared" si="1"/>
        <v>1.1100000000000001</v>
      </c>
      <c r="L31" s="172">
        <v>58.33</v>
      </c>
      <c r="M31" s="173">
        <f t="shared" si="3"/>
        <v>1.1666000000000001</v>
      </c>
      <c r="N31" s="179"/>
      <c r="O31" s="155"/>
      <c r="P31" s="155"/>
      <c r="Q31" s="155"/>
      <c r="R31" s="172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</row>
    <row r="32" spans="6:31" ht="15.75" customHeight="1" x14ac:dyDescent="0.25">
      <c r="F32" s="179" t="s">
        <v>170</v>
      </c>
      <c r="G32" s="179"/>
      <c r="H32" s="183">
        <v>44216</v>
      </c>
      <c r="I32" s="184">
        <v>1877.5</v>
      </c>
      <c r="J32" s="189">
        <v>4.0000000000000001E-3</v>
      </c>
      <c r="K32" s="184">
        <f t="shared" si="1"/>
        <v>7.51</v>
      </c>
      <c r="L32" s="172">
        <v>2254.79</v>
      </c>
      <c r="M32" s="173">
        <f t="shared" si="3"/>
        <v>9.0191599999999994</v>
      </c>
      <c r="N32" s="179"/>
      <c r="O32" s="155"/>
      <c r="P32" s="155"/>
      <c r="Q32" s="155"/>
      <c r="R32" s="172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</row>
    <row r="33" spans="6:31" ht="15.75" customHeight="1" x14ac:dyDescent="0.25">
      <c r="F33" s="179" t="s">
        <v>171</v>
      </c>
      <c r="G33" s="179"/>
      <c r="H33" s="183">
        <v>44298</v>
      </c>
      <c r="I33" s="184">
        <v>56</v>
      </c>
      <c r="J33" s="189">
        <v>0.21</v>
      </c>
      <c r="K33" s="184">
        <f t="shared" si="1"/>
        <v>11.76</v>
      </c>
      <c r="L33" s="172">
        <v>59.56</v>
      </c>
      <c r="M33" s="173">
        <f t="shared" si="3"/>
        <v>12.5076</v>
      </c>
      <c r="N33" s="179"/>
      <c r="O33" s="155"/>
      <c r="P33" s="155"/>
      <c r="Q33" s="155"/>
      <c r="R33" s="172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</row>
    <row r="34" spans="6:31" ht="15.75" customHeight="1" x14ac:dyDescent="0.25">
      <c r="F34" s="190" t="s">
        <v>172</v>
      </c>
      <c r="G34" s="179"/>
      <c r="H34" s="183">
        <v>44262</v>
      </c>
      <c r="I34" s="184">
        <v>26.98</v>
      </c>
      <c r="J34" s="189">
        <f>3.4</f>
        <v>3.4</v>
      </c>
      <c r="K34" s="184">
        <f t="shared" si="1"/>
        <v>91.731999999999999</v>
      </c>
      <c r="L34" s="172">
        <v>53.9</v>
      </c>
      <c r="M34" s="173">
        <f t="shared" si="3"/>
        <v>183.26</v>
      </c>
      <c r="N34" s="179"/>
      <c r="O34" s="155"/>
      <c r="P34" s="155"/>
      <c r="Q34" s="155"/>
      <c r="R34" s="172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</row>
    <row r="35" spans="6:31" ht="15.75" customHeight="1" x14ac:dyDescent="0.25">
      <c r="F35" s="190"/>
      <c r="G35" s="179"/>
      <c r="H35" s="183">
        <v>44295</v>
      </c>
      <c r="I35" s="184">
        <v>26.93</v>
      </c>
      <c r="J35" s="189">
        <v>3.7130000000000002E-3</v>
      </c>
      <c r="K35" s="184">
        <f t="shared" si="1"/>
        <v>9.9991090000000005E-2</v>
      </c>
      <c r="L35" s="172">
        <v>53.9</v>
      </c>
      <c r="M35" s="173">
        <f t="shared" si="3"/>
        <v>0.20013069999999999</v>
      </c>
      <c r="N35" s="179"/>
      <c r="O35" s="155"/>
      <c r="P35" s="155"/>
      <c r="Q35" s="155"/>
      <c r="R35" s="172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</row>
    <row r="36" spans="6:31" ht="15.75" customHeight="1" x14ac:dyDescent="0.25">
      <c r="F36" s="190" t="s">
        <v>173</v>
      </c>
      <c r="G36" s="179"/>
      <c r="H36" s="183">
        <v>44262</v>
      </c>
      <c r="I36" s="184">
        <v>50.06</v>
      </c>
      <c r="J36" s="179">
        <f>2</f>
        <v>2</v>
      </c>
      <c r="K36" s="184">
        <f t="shared" si="1"/>
        <v>100.12</v>
      </c>
      <c r="L36" s="172">
        <v>50.15</v>
      </c>
      <c r="M36" s="173">
        <f t="shared" si="3"/>
        <v>100.3</v>
      </c>
      <c r="N36" s="179"/>
      <c r="O36" s="155"/>
      <c r="P36" s="155"/>
      <c r="Q36" s="155"/>
      <c r="R36" s="172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</row>
    <row r="37" spans="6:31" ht="15.75" customHeight="1" x14ac:dyDescent="0.25">
      <c r="F37" s="155"/>
      <c r="G37" s="155"/>
      <c r="H37" s="183">
        <v>44295</v>
      </c>
      <c r="I37" s="191">
        <v>50.16</v>
      </c>
      <c r="J37" s="155">
        <v>1.5950000000000001E-3</v>
      </c>
      <c r="K37" s="184">
        <f t="shared" si="1"/>
        <v>8.0005199999999999E-2</v>
      </c>
      <c r="L37" s="172">
        <v>50.15</v>
      </c>
      <c r="M37" s="173">
        <f t="shared" si="3"/>
        <v>7.9989249999999998E-2</v>
      </c>
      <c r="N37" s="155"/>
      <c r="O37" s="155"/>
      <c r="P37" s="155"/>
      <c r="Q37" s="155"/>
      <c r="R37" s="172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</row>
    <row r="38" spans="6:31" ht="15.75" customHeight="1" x14ac:dyDescent="0.25">
      <c r="F38" s="155" t="s">
        <v>174</v>
      </c>
      <c r="G38" s="155"/>
      <c r="H38" s="168">
        <v>44299</v>
      </c>
      <c r="I38" s="191">
        <v>132.4</v>
      </c>
      <c r="J38" s="155">
        <v>0.37764300000000001</v>
      </c>
      <c r="K38" s="184">
        <f t="shared" si="1"/>
        <v>49.999933200000001</v>
      </c>
      <c r="L38" s="172">
        <v>133.4</v>
      </c>
      <c r="M38" s="173">
        <f t="shared" si="3"/>
        <v>50.3775762</v>
      </c>
      <c r="N38" s="155"/>
      <c r="O38" s="155"/>
      <c r="P38" s="155"/>
      <c r="Q38" s="155"/>
      <c r="R38" s="172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</row>
    <row r="39" spans="6:31" ht="15.75" customHeight="1" x14ac:dyDescent="0.25">
      <c r="F39" s="155" t="s">
        <v>175</v>
      </c>
      <c r="G39" s="155"/>
      <c r="H39" s="168">
        <v>44299</v>
      </c>
      <c r="I39" s="191">
        <v>257.10000000000002</v>
      </c>
      <c r="J39" s="155">
        <v>0.19447999999999999</v>
      </c>
      <c r="K39" s="184">
        <f t="shared" si="1"/>
        <v>50.000807999999999</v>
      </c>
      <c r="L39" s="172">
        <v>258.10000000000002</v>
      </c>
      <c r="M39" s="173">
        <f t="shared" si="3"/>
        <v>50.195287999999998</v>
      </c>
      <c r="N39" s="155"/>
      <c r="O39" s="155"/>
      <c r="P39" s="155"/>
      <c r="Q39" s="155"/>
      <c r="R39" s="172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</row>
    <row r="40" spans="6:31" ht="15.75" customHeight="1" x14ac:dyDescent="0.25">
      <c r="F40" s="155"/>
      <c r="G40" s="155"/>
      <c r="H40" s="177"/>
      <c r="I40" s="191"/>
      <c r="J40" s="155"/>
      <c r="K40" s="184">
        <f t="shared" si="1"/>
        <v>0</v>
      </c>
      <c r="L40" s="172"/>
      <c r="M40" s="155"/>
      <c r="N40" s="155"/>
      <c r="O40" s="155"/>
      <c r="P40" s="155"/>
      <c r="Q40" s="155"/>
      <c r="R40" s="172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</row>
    <row r="41" spans="6:31" ht="15.75" customHeight="1" x14ac:dyDescent="0.25">
      <c r="F41" s="155"/>
      <c r="G41" s="155"/>
      <c r="H41" s="177"/>
      <c r="I41" s="191"/>
      <c r="J41" s="155"/>
      <c r="K41" s="184">
        <f t="shared" si="1"/>
        <v>0</v>
      </c>
      <c r="L41" s="172"/>
      <c r="M41" s="155"/>
      <c r="N41" s="155"/>
      <c r="O41" s="155"/>
      <c r="P41" s="155"/>
      <c r="Q41" s="155"/>
      <c r="R41" s="172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</row>
    <row r="42" spans="6:31" ht="15.75" customHeight="1" x14ac:dyDescent="0.25">
      <c r="F42" s="155"/>
      <c r="G42" s="155"/>
      <c r="H42" s="177"/>
      <c r="I42" s="191"/>
      <c r="J42" s="155"/>
      <c r="K42" s="184">
        <f t="shared" si="1"/>
        <v>0</v>
      </c>
      <c r="L42" s="172"/>
      <c r="M42" s="155"/>
      <c r="N42" s="155"/>
      <c r="O42" s="155"/>
      <c r="P42" s="155"/>
      <c r="Q42" s="155"/>
      <c r="R42" s="180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</row>
    <row r="43" spans="6:31" ht="15.75" customHeight="1" x14ac:dyDescent="0.25">
      <c r="F43" s="155"/>
      <c r="G43" s="155"/>
      <c r="H43" s="177"/>
      <c r="I43" s="191"/>
      <c r="J43" s="155"/>
      <c r="K43" s="184">
        <f t="shared" si="1"/>
        <v>0</v>
      </c>
      <c r="L43" s="172"/>
      <c r="M43" s="155"/>
      <c r="N43" s="155"/>
      <c r="O43" s="155"/>
      <c r="P43" s="155"/>
      <c r="Q43" s="155"/>
      <c r="R43" s="180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</row>
    <row r="44" spans="6:31" ht="15.75" customHeight="1" x14ac:dyDescent="0.25">
      <c r="F44" s="155"/>
      <c r="G44" s="155"/>
      <c r="H44" s="177"/>
      <c r="I44" s="191"/>
      <c r="J44" s="155"/>
      <c r="K44" s="184">
        <f t="shared" si="1"/>
        <v>0</v>
      </c>
      <c r="L44" s="172"/>
      <c r="M44" s="155"/>
      <c r="N44" s="155"/>
      <c r="O44" s="155"/>
      <c r="P44" s="155"/>
      <c r="Q44" s="155"/>
      <c r="R44" s="180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</row>
    <row r="45" spans="6:31" ht="15.75" customHeight="1" x14ac:dyDescent="0.25">
      <c r="F45" s="155"/>
      <c r="G45" s="155"/>
      <c r="H45" s="177"/>
      <c r="I45" s="191"/>
      <c r="J45" s="155"/>
      <c r="K45" s="184">
        <f t="shared" si="1"/>
        <v>0</v>
      </c>
      <c r="L45" s="172"/>
      <c r="M45" s="155"/>
      <c r="N45" s="155"/>
      <c r="O45" s="155"/>
      <c r="P45" s="155"/>
      <c r="Q45" s="155"/>
      <c r="R45" s="180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</row>
    <row r="46" spans="6:31" ht="15.75" customHeight="1" x14ac:dyDescent="0.25">
      <c r="F46" s="155"/>
      <c r="G46" s="155"/>
      <c r="H46" s="177"/>
      <c r="I46" s="191"/>
      <c r="J46" s="155"/>
      <c r="K46" s="184">
        <f t="shared" si="1"/>
        <v>0</v>
      </c>
      <c r="L46" s="172"/>
      <c r="M46" s="155"/>
      <c r="N46" s="155"/>
      <c r="O46" s="155"/>
      <c r="P46" s="155"/>
      <c r="Q46" s="155"/>
      <c r="R46" s="180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</row>
    <row r="47" spans="6:31" ht="15.75" customHeight="1" x14ac:dyDescent="0.25">
      <c r="F47" s="155"/>
      <c r="G47" s="155"/>
      <c r="H47" s="177"/>
      <c r="I47" s="191"/>
      <c r="J47" s="155"/>
      <c r="K47" s="184">
        <f t="shared" si="1"/>
        <v>0</v>
      </c>
      <c r="L47" s="172"/>
      <c r="M47" s="155"/>
      <c r="N47" s="155"/>
      <c r="O47" s="155"/>
      <c r="P47" s="155"/>
      <c r="Q47" s="155"/>
      <c r="R47" s="180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6:31" ht="15.75" customHeight="1" x14ac:dyDescent="0.25">
      <c r="F48" s="155"/>
      <c r="G48" s="155"/>
      <c r="H48" s="177"/>
      <c r="I48" s="191"/>
      <c r="J48" s="155"/>
      <c r="K48" s="184">
        <f t="shared" si="1"/>
        <v>0</v>
      </c>
      <c r="L48" s="172"/>
      <c r="M48" s="155"/>
      <c r="N48" s="155"/>
      <c r="O48" s="155"/>
      <c r="P48" s="155"/>
      <c r="Q48" s="155"/>
      <c r="R48" s="180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6:31" ht="15.75" customHeight="1" x14ac:dyDescent="0.25">
      <c r="F49" s="155"/>
      <c r="G49" s="155"/>
      <c r="H49" s="177"/>
      <c r="I49" s="155"/>
      <c r="J49" s="155"/>
      <c r="K49" s="155"/>
      <c r="L49" s="172"/>
      <c r="M49" s="155"/>
      <c r="N49" s="155"/>
      <c r="O49" s="155"/>
      <c r="P49" s="155"/>
      <c r="Q49" s="155"/>
      <c r="R49" s="180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6:31" ht="15.75" customHeight="1" x14ac:dyDescent="0.25">
      <c r="F50" s="155"/>
      <c r="G50" s="155"/>
      <c r="H50" s="177"/>
      <c r="I50" s="155"/>
      <c r="J50" s="155"/>
      <c r="K50" s="155"/>
      <c r="L50" s="172"/>
      <c r="M50" s="155"/>
      <c r="N50" s="155"/>
      <c r="O50" s="155"/>
      <c r="P50" s="155"/>
      <c r="Q50" s="155"/>
      <c r="R50" s="180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6:31" ht="15.75" customHeight="1" x14ac:dyDescent="0.25">
      <c r="F51" s="155"/>
      <c r="G51" s="155"/>
      <c r="H51" s="177"/>
      <c r="I51" s="155"/>
      <c r="J51" s="155"/>
      <c r="K51" s="155"/>
      <c r="L51" s="172"/>
      <c r="M51" s="155"/>
      <c r="N51" s="155"/>
      <c r="O51" s="155"/>
      <c r="P51" s="155"/>
      <c r="Q51" s="155"/>
      <c r="R51" s="180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6:31" ht="15.75" customHeight="1" x14ac:dyDescent="0.25">
      <c r="F52" s="155"/>
      <c r="G52" s="155"/>
      <c r="H52" s="177"/>
      <c r="I52" s="155"/>
      <c r="J52" s="155"/>
      <c r="K52" s="155"/>
      <c r="L52" s="172"/>
      <c r="M52" s="155"/>
      <c r="N52" s="155"/>
      <c r="O52" s="155"/>
      <c r="P52" s="155"/>
      <c r="Q52" s="155"/>
      <c r="R52" s="180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</row>
    <row r="53" spans="6:31" ht="15.75" customHeight="1" x14ac:dyDescent="0.25">
      <c r="F53" s="155"/>
      <c r="G53" s="155"/>
      <c r="H53" s="177"/>
      <c r="I53" s="155"/>
      <c r="J53" s="155"/>
      <c r="K53" s="155"/>
      <c r="L53" s="172"/>
      <c r="M53" s="155"/>
      <c r="N53" s="155"/>
      <c r="O53" s="155"/>
      <c r="P53" s="155"/>
      <c r="Q53" s="155"/>
      <c r="R53" s="180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</row>
    <row r="54" spans="6:31" ht="15.75" customHeight="1" x14ac:dyDescent="0.25">
      <c r="F54" s="155"/>
      <c r="G54" s="155"/>
      <c r="H54" s="177"/>
      <c r="I54" s="155"/>
      <c r="J54" s="155"/>
      <c r="K54" s="155"/>
      <c r="L54" s="172"/>
      <c r="M54" s="155"/>
      <c r="N54" s="155"/>
      <c r="O54" s="155"/>
      <c r="P54" s="155"/>
      <c r="Q54" s="155"/>
      <c r="R54" s="180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</row>
    <row r="55" spans="6:31" ht="15.75" customHeight="1" x14ac:dyDescent="0.25">
      <c r="F55" s="155"/>
      <c r="G55" s="155"/>
      <c r="H55" s="177"/>
      <c r="I55" s="155"/>
      <c r="J55" s="155"/>
      <c r="K55" s="155"/>
      <c r="L55" s="192"/>
      <c r="M55" s="155"/>
      <c r="N55" s="155"/>
      <c r="O55" s="155"/>
      <c r="P55" s="155"/>
      <c r="Q55" s="155"/>
      <c r="R55" s="180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</row>
    <row r="56" spans="6:31" ht="15.75" customHeight="1" x14ac:dyDescent="0.25">
      <c r="F56" s="155"/>
      <c r="G56" s="155"/>
      <c r="H56" s="177"/>
      <c r="I56" s="155"/>
      <c r="J56" s="155"/>
      <c r="K56" s="155"/>
      <c r="L56" s="192"/>
      <c r="M56" s="155"/>
      <c r="N56" s="155"/>
      <c r="O56" s="155"/>
      <c r="P56" s="155"/>
      <c r="Q56" s="155"/>
      <c r="R56" s="180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</row>
    <row r="57" spans="6:31" ht="15.75" customHeight="1" x14ac:dyDescent="0.25">
      <c r="F57" s="155"/>
      <c r="G57" s="155"/>
      <c r="H57" s="177"/>
      <c r="I57" s="155"/>
      <c r="J57" s="155"/>
      <c r="K57" s="155"/>
      <c r="L57" s="192"/>
      <c r="M57" s="155"/>
      <c r="N57" s="155"/>
      <c r="O57" s="155"/>
      <c r="P57" s="155"/>
      <c r="Q57" s="155"/>
      <c r="R57" s="180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</row>
    <row r="58" spans="6:31" ht="15.75" customHeight="1" x14ac:dyDescent="0.25">
      <c r="F58" s="155"/>
      <c r="G58" s="155"/>
      <c r="H58" s="177"/>
      <c r="I58" s="155"/>
      <c r="J58" s="155"/>
      <c r="K58" s="155"/>
      <c r="L58" s="192"/>
      <c r="M58" s="155"/>
      <c r="N58" s="155"/>
      <c r="O58" s="155"/>
      <c r="P58" s="155"/>
      <c r="Q58" s="155"/>
      <c r="R58" s="180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</row>
    <row r="59" spans="6:31" ht="15.75" customHeight="1" x14ac:dyDescent="0.25">
      <c r="F59" s="155"/>
      <c r="G59" s="155"/>
      <c r="H59" s="177"/>
      <c r="I59" s="155"/>
      <c r="J59" s="155"/>
      <c r="K59" s="155"/>
      <c r="L59" s="192"/>
      <c r="M59" s="155"/>
      <c r="N59" s="155"/>
      <c r="O59" s="155"/>
      <c r="P59" s="155"/>
      <c r="Q59" s="155"/>
      <c r="R59" s="180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</row>
    <row r="60" spans="6:31" ht="15.75" customHeight="1" x14ac:dyDescent="0.25">
      <c r="F60" s="155"/>
      <c r="G60" s="155"/>
      <c r="H60" s="177"/>
      <c r="I60" s="155"/>
      <c r="J60" s="155"/>
      <c r="K60" s="155"/>
      <c r="L60" s="192"/>
      <c r="M60" s="155"/>
      <c r="N60" s="155"/>
      <c r="O60" s="155"/>
      <c r="P60" s="155"/>
      <c r="Q60" s="155"/>
      <c r="R60" s="180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</row>
    <row r="61" spans="6:31" ht="15.75" customHeight="1" x14ac:dyDescent="0.25">
      <c r="F61" s="155"/>
      <c r="G61" s="155"/>
      <c r="H61" s="177"/>
      <c r="I61" s="155"/>
      <c r="J61" s="155"/>
      <c r="K61" s="155"/>
      <c r="L61" s="192"/>
      <c r="M61" s="155"/>
      <c r="N61" s="155"/>
      <c r="O61" s="155"/>
      <c r="P61" s="155"/>
      <c r="Q61" s="155"/>
      <c r="R61" s="180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</row>
    <row r="62" spans="6:31" ht="15.75" customHeight="1" x14ac:dyDescent="0.25">
      <c r="F62" s="155"/>
      <c r="G62" s="155"/>
      <c r="H62" s="177"/>
      <c r="I62" s="155"/>
      <c r="J62" s="155"/>
      <c r="K62" s="155"/>
      <c r="L62" s="192"/>
      <c r="M62" s="155"/>
      <c r="N62" s="155"/>
      <c r="O62" s="155"/>
      <c r="P62" s="155"/>
      <c r="Q62" s="155"/>
      <c r="R62" s="180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</row>
    <row r="63" spans="6:31" ht="15.75" customHeight="1" x14ac:dyDescent="0.25">
      <c r="F63" s="155"/>
      <c r="G63" s="155"/>
      <c r="H63" s="177"/>
      <c r="I63" s="155"/>
      <c r="J63" s="155"/>
      <c r="K63" s="155"/>
      <c r="L63" s="192"/>
      <c r="M63" s="155"/>
      <c r="N63" s="155"/>
      <c r="O63" s="155"/>
      <c r="P63" s="155"/>
      <c r="Q63" s="155"/>
      <c r="R63" s="180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</row>
    <row r="64" spans="6:31" ht="15.75" customHeight="1" x14ac:dyDescent="0.25">
      <c r="F64" s="155"/>
      <c r="G64" s="155"/>
      <c r="H64" s="177"/>
      <c r="I64" s="155"/>
      <c r="J64" s="155"/>
      <c r="K64" s="155"/>
      <c r="L64" s="192"/>
      <c r="M64" s="155"/>
      <c r="N64" s="155"/>
      <c r="O64" s="155"/>
      <c r="P64" s="155"/>
      <c r="Q64" s="155"/>
      <c r="R64" s="180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</row>
    <row r="65" spans="6:31" ht="15.75" customHeight="1" x14ac:dyDescent="0.25">
      <c r="F65" s="155"/>
      <c r="G65" s="155"/>
      <c r="H65" s="177"/>
      <c r="I65" s="155"/>
      <c r="J65" s="155"/>
      <c r="K65" s="155"/>
      <c r="L65" s="192"/>
      <c r="M65" s="155"/>
      <c r="N65" s="155"/>
      <c r="O65" s="155"/>
      <c r="P65" s="155"/>
      <c r="Q65" s="155"/>
      <c r="R65" s="180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</row>
    <row r="66" spans="6:31" ht="15.75" customHeight="1" x14ac:dyDescent="0.25">
      <c r="F66" s="155"/>
      <c r="G66" s="155"/>
      <c r="H66" s="177"/>
      <c r="I66" s="155"/>
      <c r="J66" s="155"/>
      <c r="K66" s="155"/>
      <c r="L66" s="192"/>
      <c r="M66" s="155"/>
      <c r="N66" s="155"/>
      <c r="O66" s="155"/>
      <c r="P66" s="155"/>
      <c r="Q66" s="155"/>
      <c r="R66" s="180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</row>
    <row r="67" spans="6:31" ht="15.75" customHeight="1" x14ac:dyDescent="0.25">
      <c r="F67" s="155"/>
      <c r="G67" s="155"/>
      <c r="H67" s="177"/>
      <c r="I67" s="155"/>
      <c r="J67" s="155"/>
      <c r="K67" s="155"/>
      <c r="L67" s="192"/>
      <c r="M67" s="155"/>
      <c r="N67" s="155"/>
      <c r="O67" s="155"/>
      <c r="P67" s="155"/>
      <c r="Q67" s="155"/>
      <c r="R67" s="180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</row>
    <row r="68" spans="6:31" ht="15.75" customHeight="1" x14ac:dyDescent="0.25">
      <c r="F68" s="155"/>
      <c r="G68" s="155"/>
      <c r="H68" s="177"/>
      <c r="I68" s="155"/>
      <c r="J68" s="155"/>
      <c r="K68" s="155"/>
      <c r="L68" s="192"/>
      <c r="M68" s="155"/>
      <c r="N68" s="155"/>
      <c r="O68" s="155"/>
      <c r="P68" s="155"/>
      <c r="Q68" s="155"/>
      <c r="R68" s="180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</row>
    <row r="69" spans="6:31" ht="15.75" customHeight="1" x14ac:dyDescent="0.25">
      <c r="F69" s="155"/>
      <c r="G69" s="155"/>
      <c r="H69" s="177"/>
      <c r="I69" s="155"/>
      <c r="J69" s="155"/>
      <c r="K69" s="155"/>
      <c r="L69" s="192"/>
      <c r="M69" s="155"/>
      <c r="N69" s="155"/>
      <c r="O69" s="155"/>
      <c r="P69" s="155"/>
      <c r="Q69" s="155"/>
      <c r="R69" s="180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</row>
    <row r="70" spans="6:31" ht="15.75" customHeight="1" x14ac:dyDescent="0.25">
      <c r="F70" s="155"/>
      <c r="G70" s="155"/>
      <c r="H70" s="177"/>
      <c r="I70" s="155"/>
      <c r="J70" s="155"/>
      <c r="K70" s="155"/>
      <c r="L70" s="192"/>
      <c r="M70" s="155"/>
      <c r="N70" s="155"/>
      <c r="O70" s="155"/>
      <c r="P70" s="155"/>
      <c r="Q70" s="155"/>
      <c r="R70" s="180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</row>
    <row r="71" spans="6:31" ht="15.75" customHeight="1" x14ac:dyDescent="0.25">
      <c r="F71" s="155"/>
      <c r="G71" s="155"/>
      <c r="H71" s="177"/>
      <c r="I71" s="155"/>
      <c r="J71" s="155"/>
      <c r="K71" s="155"/>
      <c r="L71" s="192"/>
      <c r="M71" s="155"/>
      <c r="N71" s="155"/>
      <c r="O71" s="155"/>
      <c r="P71" s="155"/>
      <c r="Q71" s="155"/>
      <c r="R71" s="180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</row>
    <row r="72" spans="6:31" ht="15.75" customHeight="1" x14ac:dyDescent="0.25">
      <c r="F72" s="155"/>
      <c r="G72" s="155"/>
      <c r="H72" s="177"/>
      <c r="I72" s="155"/>
      <c r="J72" s="155"/>
      <c r="K72" s="155"/>
      <c r="L72" s="192"/>
      <c r="M72" s="155"/>
      <c r="N72" s="155"/>
      <c r="O72" s="155"/>
      <c r="P72" s="155"/>
      <c r="Q72" s="155"/>
      <c r="R72" s="180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</row>
    <row r="73" spans="6:31" ht="15.75" customHeight="1" x14ac:dyDescent="0.25">
      <c r="F73" s="155"/>
      <c r="G73" s="155"/>
      <c r="H73" s="177"/>
      <c r="I73" s="155"/>
      <c r="J73" s="155"/>
      <c r="K73" s="155"/>
      <c r="L73" s="192"/>
      <c r="M73" s="155"/>
      <c r="N73" s="155"/>
      <c r="O73" s="155"/>
      <c r="P73" s="155"/>
      <c r="Q73" s="155"/>
      <c r="R73" s="180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</row>
    <row r="74" spans="6:31" ht="15.75" customHeight="1" x14ac:dyDescent="0.25">
      <c r="F74" s="155"/>
      <c r="G74" s="155"/>
      <c r="H74" s="177"/>
      <c r="I74" s="155"/>
      <c r="J74" s="155"/>
      <c r="K74" s="155"/>
      <c r="L74" s="192"/>
      <c r="M74" s="155"/>
      <c r="N74" s="155"/>
      <c r="O74" s="155"/>
      <c r="P74" s="155"/>
      <c r="Q74" s="155"/>
      <c r="R74" s="180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</row>
    <row r="75" spans="6:31" ht="15.75" customHeight="1" x14ac:dyDescent="0.25">
      <c r="F75" s="155"/>
      <c r="G75" s="155"/>
      <c r="H75" s="177"/>
      <c r="I75" s="155"/>
      <c r="J75" s="155"/>
      <c r="K75" s="155"/>
      <c r="L75" s="192"/>
      <c r="M75" s="155"/>
      <c r="N75" s="155"/>
      <c r="O75" s="155"/>
      <c r="P75" s="155"/>
      <c r="Q75" s="155"/>
      <c r="R75" s="180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</row>
    <row r="76" spans="6:31" ht="15.75" customHeight="1" x14ac:dyDescent="0.25">
      <c r="F76" s="155"/>
      <c r="G76" s="155"/>
      <c r="H76" s="177"/>
      <c r="I76" s="155"/>
      <c r="J76" s="155"/>
      <c r="K76" s="155"/>
      <c r="L76" s="192"/>
      <c r="M76" s="155"/>
      <c r="N76" s="155"/>
      <c r="O76" s="155"/>
      <c r="P76" s="155"/>
      <c r="Q76" s="155"/>
      <c r="R76" s="180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</row>
    <row r="77" spans="6:31" ht="15.75" customHeight="1" x14ac:dyDescent="0.25">
      <c r="F77" s="155"/>
      <c r="G77" s="155"/>
      <c r="H77" s="177"/>
      <c r="I77" s="155"/>
      <c r="J77" s="155"/>
      <c r="K77" s="155"/>
      <c r="L77" s="192"/>
      <c r="M77" s="155"/>
      <c r="N77" s="155"/>
      <c r="O77" s="155"/>
      <c r="P77" s="155"/>
      <c r="Q77" s="155"/>
      <c r="R77" s="180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</row>
    <row r="78" spans="6:31" ht="15.75" customHeight="1" x14ac:dyDescent="0.25">
      <c r="F78" s="155"/>
      <c r="G78" s="155"/>
      <c r="H78" s="177"/>
      <c r="I78" s="155"/>
      <c r="J78" s="155"/>
      <c r="K78" s="155"/>
      <c r="L78" s="192"/>
      <c r="M78" s="155"/>
      <c r="N78" s="155"/>
      <c r="O78" s="155"/>
      <c r="P78" s="155"/>
      <c r="Q78" s="155"/>
      <c r="R78" s="180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</row>
    <row r="79" spans="6:31" ht="15.75" customHeight="1" x14ac:dyDescent="0.25">
      <c r="F79" s="155"/>
      <c r="G79" s="193" t="s">
        <v>176</v>
      </c>
      <c r="H79" s="177"/>
      <c r="I79" s="155"/>
      <c r="J79" s="155"/>
      <c r="K79" s="155"/>
      <c r="L79" s="192"/>
      <c r="M79" s="155"/>
      <c r="N79" s="155"/>
      <c r="O79" s="155"/>
      <c r="P79" s="155"/>
      <c r="Q79" s="155"/>
      <c r="R79" s="180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</row>
    <row r="80" spans="6:31" ht="15.75" customHeight="1" x14ac:dyDescent="0.25">
      <c r="F80" s="155"/>
      <c r="G80" s="155"/>
      <c r="H80" s="177"/>
      <c r="I80" s="155"/>
      <c r="J80" s="155"/>
      <c r="K80" s="155"/>
      <c r="L80" s="192"/>
      <c r="M80" s="155"/>
      <c r="N80" s="155"/>
      <c r="O80" s="155"/>
      <c r="P80" s="155"/>
      <c r="Q80" s="155"/>
      <c r="R80" s="180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</row>
    <row r="81" spans="6:31" ht="15.75" customHeight="1" x14ac:dyDescent="0.25">
      <c r="F81" s="155"/>
      <c r="G81" s="155"/>
      <c r="H81" s="177"/>
      <c r="I81" s="155"/>
      <c r="J81" s="155"/>
      <c r="K81" s="155"/>
      <c r="L81" s="192"/>
      <c r="M81" s="155"/>
      <c r="N81" s="155"/>
      <c r="O81" s="155"/>
      <c r="P81" s="155"/>
      <c r="Q81" s="155"/>
      <c r="R81" s="180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</row>
    <row r="82" spans="6:31" ht="15.75" customHeight="1" x14ac:dyDescent="0.25">
      <c r="F82" s="155"/>
      <c r="G82" s="155"/>
      <c r="H82" s="177"/>
      <c r="I82" s="155"/>
      <c r="J82" s="155"/>
      <c r="K82" s="155"/>
      <c r="L82" s="192"/>
      <c r="M82" s="155"/>
      <c r="N82" s="155"/>
      <c r="O82" s="155"/>
      <c r="P82" s="155"/>
      <c r="Q82" s="155"/>
      <c r="R82" s="180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</row>
    <row r="83" spans="6:31" ht="15.75" customHeight="1" x14ac:dyDescent="0.25">
      <c r="F83" s="155"/>
      <c r="G83" s="155"/>
      <c r="H83" s="177"/>
      <c r="I83" s="155"/>
      <c r="J83" s="155"/>
      <c r="K83" s="155"/>
      <c r="L83" s="192"/>
      <c r="M83" s="155"/>
      <c r="N83" s="155"/>
      <c r="O83" s="155"/>
      <c r="P83" s="155"/>
      <c r="Q83" s="155"/>
      <c r="R83" s="180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</row>
    <row r="84" spans="6:31" ht="15.75" customHeight="1" x14ac:dyDescent="0.25">
      <c r="F84" s="155"/>
      <c r="G84" s="155"/>
      <c r="H84" s="177"/>
      <c r="I84" s="155"/>
      <c r="J84" s="155"/>
      <c r="K84" s="155"/>
      <c r="L84" s="192"/>
      <c r="M84" s="155"/>
      <c r="N84" s="155"/>
      <c r="O84" s="155"/>
      <c r="P84" s="155"/>
      <c r="Q84" s="155"/>
      <c r="R84" s="180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</row>
    <row r="85" spans="6:31" ht="15.75" customHeight="1" x14ac:dyDescent="0.25">
      <c r="F85" s="155"/>
      <c r="G85" s="155"/>
      <c r="H85" s="177"/>
      <c r="I85" s="155"/>
      <c r="J85" s="155"/>
      <c r="K85" s="155"/>
      <c r="L85" s="192"/>
      <c r="M85" s="155"/>
      <c r="N85" s="155"/>
      <c r="O85" s="155"/>
      <c r="P85" s="155"/>
      <c r="Q85" s="155"/>
      <c r="R85" s="180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</row>
    <row r="86" spans="6:31" ht="15.75" customHeight="1" x14ac:dyDescent="0.25">
      <c r="F86" s="155"/>
      <c r="G86" s="155"/>
      <c r="H86" s="177"/>
      <c r="I86" s="155"/>
      <c r="J86" s="155"/>
      <c r="K86" s="155"/>
      <c r="L86" s="192"/>
      <c r="M86" s="155"/>
      <c r="N86" s="155"/>
      <c r="O86" s="155"/>
      <c r="P86" s="155"/>
      <c r="Q86" s="155"/>
      <c r="R86" s="180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</row>
    <row r="87" spans="6:31" ht="15.75" customHeight="1" x14ac:dyDescent="0.25">
      <c r="F87" s="155"/>
      <c r="G87" s="155"/>
      <c r="H87" s="177"/>
      <c r="I87" s="155"/>
      <c r="J87" s="155"/>
      <c r="K87" s="155"/>
      <c r="L87" s="192"/>
      <c r="M87" s="155"/>
      <c r="N87" s="155"/>
      <c r="O87" s="155"/>
      <c r="P87" s="155"/>
      <c r="Q87" s="155"/>
      <c r="R87" s="180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</row>
    <row r="88" spans="6:31" ht="15.75" customHeight="1" x14ac:dyDescent="0.25">
      <c r="F88" s="155"/>
      <c r="G88" s="155"/>
      <c r="H88" s="177"/>
      <c r="I88" s="155"/>
      <c r="J88" s="155"/>
      <c r="K88" s="155"/>
      <c r="L88" s="192"/>
      <c r="M88" s="155"/>
      <c r="N88" s="155"/>
      <c r="O88" s="155"/>
      <c r="P88" s="155"/>
      <c r="Q88" s="155"/>
      <c r="R88" s="180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</row>
    <row r="89" spans="6:31" ht="15.75" customHeight="1" x14ac:dyDescent="0.25">
      <c r="F89" s="155"/>
      <c r="G89" s="155"/>
      <c r="H89" s="177"/>
      <c r="I89" s="155"/>
      <c r="J89" s="155"/>
      <c r="K89" s="155"/>
      <c r="L89" s="192"/>
      <c r="M89" s="155"/>
      <c r="N89" s="155"/>
      <c r="O89" s="155"/>
      <c r="P89" s="155"/>
      <c r="Q89" s="155"/>
      <c r="R89" s="180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</row>
    <row r="90" spans="6:31" ht="15.75" customHeight="1" x14ac:dyDescent="0.25">
      <c r="F90" s="155"/>
      <c r="G90" s="155"/>
      <c r="H90" s="177"/>
      <c r="I90" s="155"/>
      <c r="J90" s="155"/>
      <c r="K90" s="155"/>
      <c r="L90" s="192"/>
      <c r="M90" s="155"/>
      <c r="N90" s="155"/>
      <c r="O90" s="155"/>
      <c r="P90" s="155"/>
      <c r="Q90" s="155"/>
      <c r="R90" s="180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</row>
    <row r="91" spans="6:31" ht="15.75" customHeight="1" x14ac:dyDescent="0.25">
      <c r="F91" s="155"/>
      <c r="G91" s="155"/>
      <c r="H91" s="177"/>
      <c r="I91" s="155"/>
      <c r="J91" s="155"/>
      <c r="K91" s="155"/>
      <c r="L91" s="192"/>
      <c r="M91" s="155"/>
      <c r="N91" s="155"/>
      <c r="O91" s="155"/>
      <c r="P91" s="155"/>
      <c r="Q91" s="155"/>
      <c r="R91" s="180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</row>
    <row r="92" spans="6:31" ht="15.75" customHeight="1" x14ac:dyDescent="0.25">
      <c r="F92" s="155"/>
      <c r="G92" s="155"/>
      <c r="H92" s="177"/>
      <c r="I92" s="155"/>
      <c r="J92" s="155"/>
      <c r="K92" s="155"/>
      <c r="L92" s="192"/>
      <c r="M92" s="155"/>
      <c r="N92" s="155"/>
      <c r="O92" s="155"/>
      <c r="P92" s="155"/>
      <c r="Q92" s="155"/>
      <c r="R92" s="180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</row>
    <row r="93" spans="6:31" ht="15.75" customHeight="1" x14ac:dyDescent="0.25">
      <c r="F93" s="155"/>
      <c r="G93" s="155"/>
      <c r="H93" s="177"/>
      <c r="I93" s="155"/>
      <c r="J93" s="155"/>
      <c r="K93" s="155"/>
      <c r="L93" s="192"/>
      <c r="M93" s="155"/>
      <c r="N93" s="155"/>
      <c r="O93" s="155"/>
      <c r="P93" s="155"/>
      <c r="Q93" s="155"/>
      <c r="R93" s="180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</row>
    <row r="94" spans="6:31" ht="15.75" customHeight="1" x14ac:dyDescent="0.25">
      <c r="F94" s="155"/>
      <c r="G94" s="155"/>
      <c r="H94" s="177"/>
      <c r="I94" s="155"/>
      <c r="J94" s="155"/>
      <c r="K94" s="155"/>
      <c r="L94" s="192"/>
      <c r="M94" s="155"/>
      <c r="N94" s="155"/>
      <c r="O94" s="155"/>
      <c r="P94" s="155"/>
      <c r="Q94" s="155"/>
      <c r="R94" s="180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</row>
    <row r="95" spans="6:31" ht="15.75" customHeight="1" x14ac:dyDescent="0.25">
      <c r="F95" s="155"/>
      <c r="G95" s="155"/>
      <c r="H95" s="177"/>
      <c r="I95" s="155"/>
      <c r="J95" s="155"/>
      <c r="K95" s="155"/>
      <c r="L95" s="192"/>
      <c r="M95" s="155"/>
      <c r="N95" s="155"/>
      <c r="O95" s="155"/>
      <c r="P95" s="155"/>
      <c r="Q95" s="155"/>
      <c r="R95" s="180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</row>
    <row r="96" spans="6:31" ht="15.75" customHeight="1" x14ac:dyDescent="0.25">
      <c r="F96" s="155"/>
      <c r="G96" s="155"/>
      <c r="H96" s="177"/>
      <c r="I96" s="155"/>
      <c r="J96" s="155"/>
      <c r="K96" s="155"/>
      <c r="L96" s="192"/>
      <c r="M96" s="155"/>
      <c r="N96" s="155"/>
      <c r="O96" s="155"/>
      <c r="P96" s="155"/>
      <c r="Q96" s="155"/>
      <c r="R96" s="180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</row>
    <row r="97" spans="6:31" ht="15.75" customHeight="1" x14ac:dyDescent="0.25">
      <c r="F97" s="155"/>
      <c r="G97" s="155"/>
      <c r="H97" s="177"/>
      <c r="I97" s="155"/>
      <c r="J97" s="155"/>
      <c r="K97" s="155"/>
      <c r="L97" s="192"/>
      <c r="M97" s="155"/>
      <c r="N97" s="155"/>
      <c r="O97" s="155"/>
      <c r="P97" s="155"/>
      <c r="Q97" s="155"/>
      <c r="R97" s="180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</row>
    <row r="98" spans="6:31" ht="15.75" customHeight="1" x14ac:dyDescent="0.25">
      <c r="F98" s="155"/>
      <c r="G98" s="155"/>
      <c r="H98" s="177"/>
      <c r="I98" s="155"/>
      <c r="J98" s="155"/>
      <c r="K98" s="155"/>
      <c r="L98" s="192"/>
      <c r="M98" s="155"/>
      <c r="N98" s="155"/>
      <c r="O98" s="155"/>
      <c r="P98" s="155"/>
      <c r="Q98" s="155"/>
      <c r="R98" s="180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</row>
    <row r="99" spans="6:31" ht="15.75" customHeight="1" x14ac:dyDescent="0.25">
      <c r="F99" s="155"/>
      <c r="G99" s="155"/>
      <c r="H99" s="177"/>
      <c r="I99" s="155"/>
      <c r="J99" s="155"/>
      <c r="K99" s="155"/>
      <c r="L99" s="192"/>
      <c r="M99" s="155"/>
      <c r="N99" s="155"/>
      <c r="O99" s="155"/>
      <c r="P99" s="155"/>
      <c r="Q99" s="155"/>
      <c r="R99" s="180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</row>
    <row r="100" spans="6:31" ht="15.75" customHeight="1" x14ac:dyDescent="0.25">
      <c r="F100" s="155"/>
      <c r="G100" s="155"/>
      <c r="H100" s="177"/>
      <c r="I100" s="155"/>
      <c r="J100" s="155"/>
      <c r="K100" s="155"/>
      <c r="L100" s="192"/>
      <c r="M100" s="155"/>
      <c r="N100" s="155"/>
      <c r="O100" s="155"/>
      <c r="P100" s="155"/>
      <c r="Q100" s="155"/>
      <c r="R100" s="180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</row>
    <row r="101" spans="6:31" ht="15.75" customHeight="1" x14ac:dyDescent="0.25">
      <c r="F101" s="155"/>
      <c r="G101" s="155"/>
      <c r="H101" s="177"/>
      <c r="I101" s="155"/>
      <c r="J101" s="155"/>
      <c r="K101" s="155"/>
      <c r="L101" s="192"/>
      <c r="M101" s="155"/>
      <c r="N101" s="155"/>
      <c r="O101" s="155"/>
      <c r="P101" s="155"/>
      <c r="Q101" s="155"/>
      <c r="R101" s="180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</row>
    <row r="102" spans="6:31" ht="15.75" customHeight="1" x14ac:dyDescent="0.25">
      <c r="F102" s="155"/>
      <c r="G102" s="155"/>
      <c r="H102" s="177"/>
      <c r="I102" s="155"/>
      <c r="J102" s="155"/>
      <c r="K102" s="155"/>
      <c r="L102" s="192"/>
      <c r="M102" s="155"/>
      <c r="N102" s="155"/>
      <c r="O102" s="155"/>
      <c r="P102" s="155"/>
      <c r="Q102" s="155"/>
      <c r="R102" s="180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</row>
    <row r="103" spans="6:31" ht="15.75" customHeight="1" x14ac:dyDescent="0.25">
      <c r="F103" s="155"/>
      <c r="G103" s="155"/>
      <c r="H103" s="177"/>
      <c r="I103" s="155"/>
      <c r="J103" s="155"/>
      <c r="K103" s="155"/>
      <c r="L103" s="192"/>
      <c r="M103" s="155"/>
      <c r="N103" s="155"/>
      <c r="O103" s="155"/>
      <c r="P103" s="155"/>
      <c r="Q103" s="155"/>
      <c r="R103" s="180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</row>
    <row r="104" spans="6:31" ht="15.75" customHeight="1" x14ac:dyDescent="0.25">
      <c r="F104" s="155"/>
      <c r="G104" s="155"/>
      <c r="H104" s="177"/>
      <c r="I104" s="155"/>
      <c r="J104" s="155"/>
      <c r="K104" s="155"/>
      <c r="L104" s="192"/>
      <c r="M104" s="155"/>
      <c r="N104" s="155"/>
      <c r="O104" s="155"/>
      <c r="P104" s="155"/>
      <c r="Q104" s="155"/>
      <c r="R104" s="180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</row>
    <row r="105" spans="6:31" ht="15.75" customHeight="1" x14ac:dyDescent="0.25">
      <c r="F105" s="155"/>
      <c r="G105" s="155"/>
      <c r="H105" s="177"/>
      <c r="I105" s="155"/>
      <c r="J105" s="155"/>
      <c r="K105" s="155"/>
      <c r="L105" s="192"/>
      <c r="M105" s="155"/>
      <c r="N105" s="155"/>
      <c r="O105" s="155"/>
      <c r="P105" s="155"/>
      <c r="Q105" s="155"/>
      <c r="R105" s="180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</row>
    <row r="106" spans="6:31" ht="15.75" customHeight="1" x14ac:dyDescent="0.25">
      <c r="F106" s="155"/>
      <c r="G106" s="155"/>
      <c r="H106" s="177"/>
      <c r="I106" s="155"/>
      <c r="J106" s="155"/>
      <c r="K106" s="155"/>
      <c r="L106" s="192"/>
      <c r="M106" s="155"/>
      <c r="N106" s="155"/>
      <c r="O106" s="155"/>
      <c r="P106" s="155"/>
      <c r="Q106" s="155"/>
      <c r="R106" s="180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</row>
    <row r="107" spans="6:31" ht="15.75" customHeight="1" x14ac:dyDescent="0.25">
      <c r="F107" s="155"/>
      <c r="G107" s="155"/>
      <c r="H107" s="177"/>
      <c r="I107" s="155"/>
      <c r="J107" s="155"/>
      <c r="K107" s="155"/>
      <c r="L107" s="192"/>
      <c r="M107" s="155"/>
      <c r="N107" s="155"/>
      <c r="O107" s="155"/>
      <c r="P107" s="155"/>
      <c r="Q107" s="155"/>
      <c r="R107" s="180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</row>
    <row r="108" spans="6:31" ht="15.75" customHeight="1" x14ac:dyDescent="0.25">
      <c r="F108" s="155"/>
      <c r="G108" s="155"/>
      <c r="H108" s="177"/>
      <c r="I108" s="155"/>
      <c r="J108" s="155"/>
      <c r="K108" s="155"/>
      <c r="L108" s="192"/>
      <c r="M108" s="155"/>
      <c r="N108" s="155"/>
      <c r="O108" s="155"/>
      <c r="P108" s="155"/>
      <c r="Q108" s="155"/>
      <c r="R108" s="180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</row>
    <row r="109" spans="6:31" ht="15.75" customHeight="1" x14ac:dyDescent="0.25">
      <c r="F109" s="155"/>
      <c r="G109" s="155"/>
      <c r="H109" s="177"/>
      <c r="I109" s="155"/>
      <c r="J109" s="155"/>
      <c r="K109" s="155"/>
      <c r="L109" s="192"/>
      <c r="M109" s="155"/>
      <c r="N109" s="155"/>
      <c r="O109" s="155"/>
      <c r="P109" s="155"/>
      <c r="Q109" s="155"/>
      <c r="R109" s="180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</row>
    <row r="110" spans="6:31" ht="15.75" customHeight="1" x14ac:dyDescent="0.25">
      <c r="F110" s="155"/>
      <c r="G110" s="155"/>
      <c r="H110" s="177"/>
      <c r="I110" s="155"/>
      <c r="J110" s="155"/>
      <c r="K110" s="155"/>
      <c r="L110" s="192"/>
      <c r="M110" s="155"/>
      <c r="N110" s="155"/>
      <c r="O110" s="155"/>
      <c r="P110" s="155"/>
      <c r="Q110" s="155"/>
      <c r="R110" s="180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</row>
    <row r="111" spans="6:31" ht="15.75" customHeight="1" x14ac:dyDescent="0.25">
      <c r="F111" s="155"/>
      <c r="G111" s="155"/>
      <c r="H111" s="177"/>
      <c r="I111" s="155"/>
      <c r="J111" s="155"/>
      <c r="K111" s="155"/>
      <c r="L111" s="192"/>
      <c r="M111" s="155"/>
      <c r="N111" s="155"/>
      <c r="O111" s="155"/>
      <c r="P111" s="155"/>
      <c r="Q111" s="155"/>
      <c r="R111" s="180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</row>
    <row r="112" spans="6:31" ht="15.75" customHeight="1" x14ac:dyDescent="0.25">
      <c r="F112" s="155"/>
      <c r="G112" s="155"/>
      <c r="H112" s="177"/>
      <c r="I112" s="155"/>
      <c r="J112" s="155"/>
      <c r="K112" s="155"/>
      <c r="L112" s="192"/>
      <c r="M112" s="155"/>
      <c r="N112" s="155"/>
      <c r="O112" s="155"/>
      <c r="P112" s="155"/>
      <c r="Q112" s="155"/>
      <c r="R112" s="180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</row>
    <row r="113" spans="6:31" ht="15.75" customHeight="1" x14ac:dyDescent="0.25">
      <c r="F113" s="155"/>
      <c r="G113" s="155"/>
      <c r="H113" s="177"/>
      <c r="I113" s="155"/>
      <c r="J113" s="155"/>
      <c r="K113" s="155"/>
      <c r="L113" s="192"/>
      <c r="M113" s="155"/>
      <c r="N113" s="155"/>
      <c r="O113" s="155"/>
      <c r="P113" s="155"/>
      <c r="Q113" s="155"/>
      <c r="R113" s="180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</row>
    <row r="114" spans="6:31" ht="15.75" customHeight="1" x14ac:dyDescent="0.25">
      <c r="F114" s="155"/>
      <c r="G114" s="155"/>
      <c r="H114" s="177"/>
      <c r="I114" s="155"/>
      <c r="J114" s="155"/>
      <c r="K114" s="155"/>
      <c r="L114" s="192"/>
      <c r="M114" s="155"/>
      <c r="N114" s="155"/>
      <c r="O114" s="155"/>
      <c r="P114" s="155"/>
      <c r="Q114" s="155"/>
      <c r="R114" s="180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</row>
    <row r="115" spans="6:31" ht="15.75" customHeight="1" x14ac:dyDescent="0.25">
      <c r="F115" s="155"/>
      <c r="G115" s="155"/>
      <c r="H115" s="177"/>
      <c r="I115" s="155"/>
      <c r="J115" s="155"/>
      <c r="K115" s="155"/>
      <c r="L115" s="192"/>
      <c r="M115" s="155"/>
      <c r="N115" s="155"/>
      <c r="O115" s="155"/>
      <c r="P115" s="155"/>
      <c r="Q115" s="155"/>
      <c r="R115" s="180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</row>
    <row r="116" spans="6:31" ht="15.75" customHeight="1" x14ac:dyDescent="0.25">
      <c r="F116" s="155"/>
      <c r="G116" s="155"/>
      <c r="H116" s="177"/>
      <c r="I116" s="155"/>
      <c r="J116" s="155"/>
      <c r="K116" s="155"/>
      <c r="L116" s="192"/>
      <c r="M116" s="155"/>
      <c r="N116" s="155"/>
      <c r="O116" s="155"/>
      <c r="P116" s="155"/>
      <c r="Q116" s="155"/>
      <c r="R116" s="180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</row>
    <row r="117" spans="6:31" ht="15.75" customHeight="1" x14ac:dyDescent="0.25">
      <c r="F117" s="155"/>
      <c r="G117" s="155"/>
      <c r="H117" s="177"/>
      <c r="I117" s="155"/>
      <c r="J117" s="155"/>
      <c r="K117" s="155"/>
      <c r="L117" s="192"/>
      <c r="M117" s="155"/>
      <c r="N117" s="155"/>
      <c r="O117" s="155"/>
      <c r="P117" s="155"/>
      <c r="Q117" s="155"/>
      <c r="R117" s="180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</row>
    <row r="118" spans="6:31" ht="15.75" customHeight="1" x14ac:dyDescent="0.25">
      <c r="F118" s="155"/>
      <c r="G118" s="155"/>
      <c r="H118" s="177"/>
      <c r="I118" s="155"/>
      <c r="J118" s="155"/>
      <c r="K118" s="155"/>
      <c r="L118" s="192"/>
      <c r="M118" s="155"/>
      <c r="N118" s="155"/>
      <c r="O118" s="155"/>
      <c r="P118" s="155"/>
      <c r="Q118" s="155"/>
      <c r="R118" s="180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</row>
    <row r="119" spans="6:31" ht="15.75" customHeight="1" x14ac:dyDescent="0.25">
      <c r="F119" s="155"/>
      <c r="G119" s="155"/>
      <c r="H119" s="177"/>
      <c r="I119" s="155"/>
      <c r="J119" s="155"/>
      <c r="K119" s="155"/>
      <c r="L119" s="192"/>
      <c r="M119" s="155"/>
      <c r="N119" s="155"/>
      <c r="O119" s="155"/>
      <c r="P119" s="155"/>
      <c r="Q119" s="155"/>
      <c r="R119" s="180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</row>
    <row r="120" spans="6:31" ht="15.75" customHeight="1" x14ac:dyDescent="0.25">
      <c r="F120" s="155"/>
      <c r="G120" s="155"/>
      <c r="H120" s="177"/>
      <c r="I120" s="155"/>
      <c r="J120" s="155"/>
      <c r="K120" s="155"/>
      <c r="L120" s="192"/>
      <c r="M120" s="155"/>
      <c r="N120" s="155"/>
      <c r="O120" s="155"/>
      <c r="P120" s="155"/>
      <c r="Q120" s="155"/>
      <c r="R120" s="180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</row>
    <row r="121" spans="6:31" ht="15.75" customHeight="1" x14ac:dyDescent="0.25">
      <c r="F121" s="155"/>
      <c r="G121" s="155"/>
      <c r="H121" s="177"/>
      <c r="I121" s="155"/>
      <c r="J121" s="155"/>
      <c r="K121" s="155"/>
      <c r="L121" s="192"/>
      <c r="M121" s="155"/>
      <c r="N121" s="155"/>
      <c r="O121" s="155"/>
      <c r="P121" s="155"/>
      <c r="Q121" s="155"/>
      <c r="R121" s="180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</row>
    <row r="122" spans="6:31" ht="15.75" customHeight="1" x14ac:dyDescent="0.25">
      <c r="F122" s="155"/>
      <c r="G122" s="155"/>
      <c r="H122" s="177"/>
      <c r="I122" s="155"/>
      <c r="J122" s="155"/>
      <c r="K122" s="155"/>
      <c r="L122" s="192"/>
      <c r="M122" s="155"/>
      <c r="N122" s="155"/>
      <c r="O122" s="155"/>
      <c r="P122" s="155"/>
      <c r="Q122" s="155"/>
      <c r="R122" s="180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</row>
    <row r="123" spans="6:31" ht="15.75" customHeight="1" x14ac:dyDescent="0.25">
      <c r="F123" s="155"/>
      <c r="G123" s="155"/>
      <c r="H123" s="177"/>
      <c r="I123" s="155"/>
      <c r="J123" s="155"/>
      <c r="K123" s="155"/>
      <c r="L123" s="192"/>
      <c r="M123" s="155"/>
      <c r="N123" s="155"/>
      <c r="O123" s="155"/>
      <c r="P123" s="155"/>
      <c r="Q123" s="155"/>
      <c r="R123" s="180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</row>
    <row r="124" spans="6:31" ht="15.75" customHeight="1" x14ac:dyDescent="0.25">
      <c r="F124" s="155"/>
      <c r="G124" s="155"/>
      <c r="H124" s="177"/>
      <c r="I124" s="155"/>
      <c r="J124" s="155"/>
      <c r="K124" s="155"/>
      <c r="L124" s="192"/>
      <c r="M124" s="155"/>
      <c r="N124" s="155"/>
      <c r="O124" s="155"/>
      <c r="P124" s="155"/>
      <c r="Q124" s="155"/>
      <c r="R124" s="180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</row>
    <row r="125" spans="6:31" ht="15.75" customHeight="1" x14ac:dyDescent="0.25">
      <c r="F125" s="155"/>
      <c r="G125" s="155"/>
      <c r="H125" s="177"/>
      <c r="I125" s="155"/>
      <c r="J125" s="155"/>
      <c r="K125" s="155"/>
      <c r="L125" s="192"/>
      <c r="M125" s="155"/>
      <c r="N125" s="155"/>
      <c r="O125" s="155"/>
      <c r="P125" s="155"/>
      <c r="Q125" s="155"/>
      <c r="R125" s="180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</row>
    <row r="126" spans="6:31" ht="15.75" customHeight="1" x14ac:dyDescent="0.25">
      <c r="F126" s="155"/>
      <c r="G126" s="155"/>
      <c r="H126" s="177"/>
      <c r="I126" s="155"/>
      <c r="J126" s="155"/>
      <c r="K126" s="155"/>
      <c r="L126" s="192"/>
      <c r="M126" s="155"/>
      <c r="N126" s="155"/>
      <c r="O126" s="155"/>
      <c r="P126" s="155"/>
      <c r="Q126" s="155"/>
      <c r="R126" s="180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</row>
    <row r="127" spans="6:31" ht="15.75" customHeight="1" x14ac:dyDescent="0.25">
      <c r="F127" s="155"/>
      <c r="G127" s="155"/>
      <c r="H127" s="177"/>
      <c r="I127" s="155"/>
      <c r="J127" s="155"/>
      <c r="K127" s="155"/>
      <c r="L127" s="192"/>
      <c r="M127" s="155"/>
      <c r="N127" s="155"/>
      <c r="O127" s="155"/>
      <c r="P127" s="155"/>
      <c r="Q127" s="155"/>
      <c r="R127" s="180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</row>
    <row r="128" spans="6:31" ht="15.75" customHeight="1" x14ac:dyDescent="0.25">
      <c r="F128" s="155"/>
      <c r="G128" s="155"/>
      <c r="H128" s="177"/>
      <c r="I128" s="155"/>
      <c r="J128" s="155"/>
      <c r="K128" s="155"/>
      <c r="L128" s="192"/>
      <c r="M128" s="155"/>
      <c r="N128" s="155"/>
      <c r="O128" s="155"/>
      <c r="P128" s="155"/>
      <c r="Q128" s="155"/>
      <c r="R128" s="180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</row>
    <row r="129" spans="6:31" ht="15.75" customHeight="1" x14ac:dyDescent="0.25">
      <c r="F129" s="155"/>
      <c r="G129" s="155"/>
      <c r="H129" s="177"/>
      <c r="I129" s="155"/>
      <c r="J129" s="155"/>
      <c r="K129" s="155"/>
      <c r="L129" s="192"/>
      <c r="M129" s="155"/>
      <c r="N129" s="155"/>
      <c r="O129" s="155"/>
      <c r="P129" s="155"/>
      <c r="Q129" s="155"/>
      <c r="R129" s="180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</row>
    <row r="130" spans="6:31" ht="15.75" customHeight="1" x14ac:dyDescent="0.25">
      <c r="F130" s="155"/>
      <c r="G130" s="155"/>
      <c r="H130" s="177"/>
      <c r="I130" s="155"/>
      <c r="J130" s="155"/>
      <c r="K130" s="155"/>
      <c r="L130" s="192"/>
      <c r="M130" s="155"/>
      <c r="N130" s="155"/>
      <c r="O130" s="155"/>
      <c r="P130" s="155"/>
      <c r="Q130" s="155"/>
      <c r="R130" s="180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</row>
    <row r="131" spans="6:31" ht="15.75" customHeight="1" x14ac:dyDescent="0.25">
      <c r="F131" s="155"/>
      <c r="G131" s="155"/>
      <c r="H131" s="177"/>
      <c r="I131" s="155"/>
      <c r="J131" s="155"/>
      <c r="K131" s="155"/>
      <c r="L131" s="192"/>
      <c r="M131" s="155"/>
      <c r="N131" s="155"/>
      <c r="O131" s="155"/>
      <c r="P131" s="155"/>
      <c r="Q131" s="155"/>
      <c r="R131" s="180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</row>
    <row r="132" spans="6:31" ht="15.75" customHeight="1" x14ac:dyDescent="0.25">
      <c r="F132" s="155"/>
      <c r="G132" s="155"/>
      <c r="H132" s="177"/>
      <c r="I132" s="155"/>
      <c r="J132" s="155"/>
      <c r="K132" s="155"/>
      <c r="L132" s="192"/>
      <c r="M132" s="155"/>
      <c r="N132" s="155"/>
      <c r="O132" s="155"/>
      <c r="P132" s="155"/>
      <c r="Q132" s="155"/>
      <c r="R132" s="180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</row>
    <row r="133" spans="6:31" ht="15.75" customHeight="1" x14ac:dyDescent="0.25">
      <c r="F133" s="155"/>
      <c r="G133" s="155"/>
      <c r="H133" s="177"/>
      <c r="I133" s="155"/>
      <c r="J133" s="155"/>
      <c r="K133" s="155"/>
      <c r="L133" s="192"/>
      <c r="M133" s="155"/>
      <c r="N133" s="155"/>
      <c r="O133" s="155"/>
      <c r="P133" s="155"/>
      <c r="Q133" s="155"/>
      <c r="R133" s="180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</row>
    <row r="134" spans="6:31" ht="15.75" customHeight="1" x14ac:dyDescent="0.25">
      <c r="F134" s="155"/>
      <c r="G134" s="155"/>
      <c r="H134" s="177"/>
      <c r="I134" s="155"/>
      <c r="J134" s="155"/>
      <c r="K134" s="155"/>
      <c r="L134" s="192"/>
      <c r="M134" s="155"/>
      <c r="N134" s="155"/>
      <c r="O134" s="155"/>
      <c r="P134" s="155"/>
      <c r="Q134" s="155"/>
      <c r="R134" s="180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</row>
    <row r="135" spans="6:31" ht="15.75" customHeight="1" x14ac:dyDescent="0.25">
      <c r="F135" s="155"/>
      <c r="G135" s="155"/>
      <c r="H135" s="177"/>
      <c r="I135" s="155"/>
      <c r="J135" s="155"/>
      <c r="K135" s="155"/>
      <c r="L135" s="192"/>
      <c r="M135" s="155"/>
      <c r="N135" s="155"/>
      <c r="O135" s="155"/>
      <c r="P135" s="155"/>
      <c r="Q135" s="155"/>
      <c r="R135" s="180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</row>
    <row r="136" spans="6:31" ht="15.75" customHeight="1" x14ac:dyDescent="0.25">
      <c r="F136" s="155"/>
      <c r="G136" s="155"/>
      <c r="H136" s="177"/>
      <c r="I136" s="155"/>
      <c r="J136" s="155"/>
      <c r="K136" s="155"/>
      <c r="L136" s="192"/>
      <c r="M136" s="155"/>
      <c r="N136" s="155"/>
      <c r="O136" s="155"/>
      <c r="P136" s="155"/>
      <c r="Q136" s="155"/>
      <c r="R136" s="180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</row>
    <row r="137" spans="6:31" ht="15.75" customHeight="1" x14ac:dyDescent="0.25">
      <c r="F137" s="155"/>
      <c r="G137" s="155"/>
      <c r="H137" s="177"/>
      <c r="I137" s="155"/>
      <c r="J137" s="155"/>
      <c r="K137" s="155"/>
      <c r="L137" s="192"/>
      <c r="M137" s="155"/>
      <c r="N137" s="155"/>
      <c r="O137" s="155"/>
      <c r="P137" s="155"/>
      <c r="Q137" s="155"/>
      <c r="R137" s="180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</row>
    <row r="138" spans="6:31" ht="15.75" customHeight="1" x14ac:dyDescent="0.25">
      <c r="F138" s="155"/>
      <c r="G138" s="155"/>
      <c r="H138" s="177"/>
      <c r="I138" s="155"/>
      <c r="J138" s="155"/>
      <c r="K138" s="155"/>
      <c r="L138" s="192"/>
      <c r="M138" s="155"/>
      <c r="N138" s="155"/>
      <c r="O138" s="155"/>
      <c r="P138" s="155"/>
      <c r="Q138" s="155"/>
      <c r="R138" s="180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</row>
    <row r="139" spans="6:31" ht="15.75" customHeight="1" x14ac:dyDescent="0.25">
      <c r="F139" s="155"/>
      <c r="G139" s="155"/>
      <c r="H139" s="177"/>
      <c r="I139" s="155"/>
      <c r="J139" s="155"/>
      <c r="K139" s="155"/>
      <c r="L139" s="192"/>
      <c r="M139" s="155"/>
      <c r="N139" s="155"/>
      <c r="O139" s="155"/>
      <c r="P139" s="155"/>
      <c r="Q139" s="155"/>
      <c r="R139" s="180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</row>
    <row r="140" spans="6:31" ht="15.75" customHeight="1" x14ac:dyDescent="0.25">
      <c r="F140" s="155"/>
      <c r="G140" s="155"/>
      <c r="H140" s="177"/>
      <c r="I140" s="155"/>
      <c r="J140" s="155"/>
      <c r="K140" s="155"/>
      <c r="L140" s="192"/>
      <c r="M140" s="155"/>
      <c r="N140" s="155"/>
      <c r="O140" s="155"/>
      <c r="P140" s="155"/>
      <c r="Q140" s="155"/>
      <c r="R140" s="180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</row>
    <row r="141" spans="6:31" ht="15.75" customHeight="1" x14ac:dyDescent="0.25">
      <c r="F141" s="155"/>
      <c r="G141" s="155"/>
      <c r="H141" s="177"/>
      <c r="I141" s="155"/>
      <c r="J141" s="155"/>
      <c r="K141" s="155"/>
      <c r="L141" s="192"/>
      <c r="M141" s="155"/>
      <c r="N141" s="155"/>
      <c r="O141" s="155"/>
      <c r="P141" s="155"/>
      <c r="Q141" s="155"/>
      <c r="R141" s="180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</row>
    <row r="142" spans="6:31" ht="15.75" customHeight="1" x14ac:dyDescent="0.25">
      <c r="F142" s="155"/>
      <c r="G142" s="155"/>
      <c r="H142" s="177"/>
      <c r="I142" s="155"/>
      <c r="J142" s="155"/>
      <c r="K142" s="155"/>
      <c r="L142" s="192"/>
      <c r="M142" s="155"/>
      <c r="N142" s="155"/>
      <c r="O142" s="155"/>
      <c r="P142" s="155"/>
      <c r="Q142" s="155"/>
      <c r="R142" s="180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</row>
    <row r="143" spans="6:31" ht="15.75" customHeight="1" x14ac:dyDescent="0.25">
      <c r="F143" s="155"/>
      <c r="G143" s="155"/>
      <c r="H143" s="177"/>
      <c r="I143" s="155"/>
      <c r="J143" s="155"/>
      <c r="K143" s="155"/>
      <c r="L143" s="192"/>
      <c r="M143" s="155"/>
      <c r="N143" s="155"/>
      <c r="O143" s="155"/>
      <c r="P143" s="155"/>
      <c r="Q143" s="155"/>
      <c r="R143" s="180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</row>
    <row r="144" spans="6:31" ht="15.75" customHeight="1" x14ac:dyDescent="0.25">
      <c r="F144" s="155"/>
      <c r="G144" s="155"/>
      <c r="H144" s="177"/>
      <c r="I144" s="155"/>
      <c r="J144" s="155"/>
      <c r="K144" s="155"/>
      <c r="L144" s="192"/>
      <c r="M144" s="155"/>
      <c r="N144" s="155"/>
      <c r="O144" s="155"/>
      <c r="P144" s="155"/>
      <c r="Q144" s="155"/>
      <c r="R144" s="180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</row>
    <row r="145" spans="6:31" ht="15.75" customHeight="1" x14ac:dyDescent="0.25">
      <c r="F145" s="155"/>
      <c r="G145" s="155"/>
      <c r="H145" s="177"/>
      <c r="I145" s="155"/>
      <c r="J145" s="155"/>
      <c r="K145" s="155"/>
      <c r="L145" s="192"/>
      <c r="M145" s="155"/>
      <c r="N145" s="155"/>
      <c r="O145" s="155"/>
      <c r="P145" s="155"/>
      <c r="Q145" s="155"/>
      <c r="R145" s="180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</row>
    <row r="146" spans="6:31" ht="15.75" customHeight="1" x14ac:dyDescent="0.25">
      <c r="F146" s="155"/>
      <c r="G146" s="155"/>
      <c r="H146" s="177"/>
      <c r="I146" s="155"/>
      <c r="J146" s="155"/>
      <c r="K146" s="155"/>
      <c r="L146" s="192"/>
      <c r="M146" s="155"/>
      <c r="N146" s="155"/>
      <c r="O146" s="155"/>
      <c r="P146" s="155"/>
      <c r="Q146" s="155"/>
      <c r="R146" s="180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</row>
    <row r="147" spans="6:31" ht="15.75" customHeight="1" x14ac:dyDescent="0.25">
      <c r="F147" s="155"/>
      <c r="G147" s="155"/>
      <c r="H147" s="177"/>
      <c r="I147" s="155"/>
      <c r="J147" s="155"/>
      <c r="K147" s="155"/>
      <c r="L147" s="192"/>
      <c r="M147" s="155"/>
      <c r="N147" s="155"/>
      <c r="O147" s="155"/>
      <c r="P147" s="155"/>
      <c r="Q147" s="155"/>
      <c r="R147" s="180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</row>
    <row r="148" spans="6:31" ht="15.75" customHeight="1" x14ac:dyDescent="0.25">
      <c r="F148" s="155"/>
      <c r="G148" s="155"/>
      <c r="H148" s="177"/>
      <c r="I148" s="155"/>
      <c r="J148" s="155"/>
      <c r="K148" s="155"/>
      <c r="L148" s="192"/>
      <c r="M148" s="155"/>
      <c r="N148" s="155"/>
      <c r="O148" s="155"/>
      <c r="P148" s="155"/>
      <c r="Q148" s="155"/>
      <c r="R148" s="180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</row>
    <row r="149" spans="6:31" ht="15.75" customHeight="1" x14ac:dyDescent="0.25">
      <c r="F149" s="155"/>
      <c r="G149" s="155"/>
      <c r="H149" s="177"/>
      <c r="I149" s="155"/>
      <c r="J149" s="155"/>
      <c r="K149" s="155"/>
      <c r="L149" s="192"/>
      <c r="M149" s="155"/>
      <c r="N149" s="155"/>
      <c r="O149" s="155"/>
      <c r="P149" s="155"/>
      <c r="Q149" s="155"/>
      <c r="R149" s="180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</row>
    <row r="150" spans="6:31" ht="15.75" customHeight="1" x14ac:dyDescent="0.25">
      <c r="F150" s="155"/>
      <c r="G150" s="155"/>
      <c r="H150" s="177"/>
      <c r="I150" s="155"/>
      <c r="J150" s="155"/>
      <c r="K150" s="155"/>
      <c r="L150" s="192"/>
      <c r="M150" s="155"/>
      <c r="N150" s="155"/>
      <c r="O150" s="155"/>
      <c r="P150" s="155"/>
      <c r="Q150" s="155"/>
      <c r="R150" s="180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</row>
    <row r="151" spans="6:31" ht="15.75" customHeight="1" x14ac:dyDescent="0.25">
      <c r="F151" s="155"/>
      <c r="G151" s="155"/>
      <c r="H151" s="177"/>
      <c r="I151" s="155"/>
      <c r="J151" s="155"/>
      <c r="K151" s="155"/>
      <c r="L151" s="192"/>
      <c r="M151" s="155"/>
      <c r="N151" s="155"/>
      <c r="O151" s="155"/>
      <c r="P151" s="155"/>
      <c r="Q151" s="155"/>
      <c r="R151" s="180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</row>
    <row r="152" spans="6:31" ht="15.75" customHeight="1" x14ac:dyDescent="0.25">
      <c r="F152" s="155"/>
      <c r="G152" s="155"/>
      <c r="H152" s="177"/>
      <c r="I152" s="155"/>
      <c r="J152" s="155"/>
      <c r="K152" s="155"/>
      <c r="L152" s="192"/>
      <c r="M152" s="155"/>
      <c r="N152" s="155"/>
      <c r="O152" s="155"/>
      <c r="P152" s="155"/>
      <c r="Q152" s="155"/>
      <c r="R152" s="180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</row>
    <row r="153" spans="6:31" ht="15.75" customHeight="1" x14ac:dyDescent="0.25">
      <c r="F153" s="155"/>
      <c r="G153" s="155"/>
      <c r="H153" s="177"/>
      <c r="I153" s="155"/>
      <c r="J153" s="155"/>
      <c r="K153" s="155"/>
      <c r="L153" s="192"/>
      <c r="M153" s="155"/>
      <c r="N153" s="155"/>
      <c r="O153" s="155"/>
      <c r="P153" s="155"/>
      <c r="Q153" s="155"/>
      <c r="R153" s="180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</row>
    <row r="154" spans="6:31" ht="15.75" customHeight="1" x14ac:dyDescent="0.25">
      <c r="F154" s="155"/>
      <c r="G154" s="155"/>
      <c r="H154" s="177"/>
      <c r="I154" s="155"/>
      <c r="J154" s="155"/>
      <c r="K154" s="155"/>
      <c r="L154" s="192"/>
      <c r="M154" s="155"/>
      <c r="N154" s="155"/>
      <c r="O154" s="155"/>
      <c r="P154" s="155"/>
      <c r="Q154" s="155"/>
      <c r="R154" s="180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</row>
    <row r="155" spans="6:31" ht="15.75" customHeight="1" x14ac:dyDescent="0.25">
      <c r="F155" s="155"/>
      <c r="G155" s="155"/>
      <c r="H155" s="177"/>
      <c r="I155" s="155"/>
      <c r="J155" s="155"/>
      <c r="K155" s="155"/>
      <c r="L155" s="192"/>
      <c r="M155" s="155"/>
      <c r="N155" s="155"/>
      <c r="O155" s="155"/>
      <c r="P155" s="155"/>
      <c r="Q155" s="155"/>
      <c r="R155" s="180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</row>
    <row r="156" spans="6:31" ht="15.75" customHeight="1" x14ac:dyDescent="0.25">
      <c r="F156" s="155"/>
      <c r="G156" s="155"/>
      <c r="H156" s="177"/>
      <c r="I156" s="155"/>
      <c r="J156" s="155"/>
      <c r="K156" s="155"/>
      <c r="L156" s="192"/>
      <c r="M156" s="155"/>
      <c r="N156" s="155"/>
      <c r="O156" s="155"/>
      <c r="P156" s="155"/>
      <c r="Q156" s="155"/>
      <c r="R156" s="180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</row>
    <row r="157" spans="6:31" ht="15.75" customHeight="1" x14ac:dyDescent="0.25">
      <c r="F157" s="155"/>
      <c r="G157" s="155"/>
      <c r="H157" s="177"/>
      <c r="I157" s="155"/>
      <c r="J157" s="155"/>
      <c r="K157" s="155"/>
      <c r="L157" s="192"/>
      <c r="M157" s="155"/>
      <c r="N157" s="155"/>
      <c r="O157" s="155"/>
      <c r="P157" s="155"/>
      <c r="Q157" s="155"/>
      <c r="R157" s="180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</row>
    <row r="158" spans="6:31" ht="15.75" customHeight="1" x14ac:dyDescent="0.25">
      <c r="F158" s="155"/>
      <c r="G158" s="155"/>
      <c r="H158" s="177"/>
      <c r="I158" s="155"/>
      <c r="J158" s="155"/>
      <c r="K158" s="155"/>
      <c r="L158" s="192"/>
      <c r="M158" s="155"/>
      <c r="N158" s="155"/>
      <c r="O158" s="155"/>
      <c r="P158" s="155"/>
      <c r="Q158" s="155"/>
      <c r="R158" s="180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</row>
    <row r="159" spans="6:31" ht="15.75" customHeight="1" x14ac:dyDescent="0.25">
      <c r="F159" s="155"/>
      <c r="G159" s="155"/>
      <c r="H159" s="177"/>
      <c r="I159" s="155"/>
      <c r="J159" s="155"/>
      <c r="K159" s="155"/>
      <c r="L159" s="192"/>
      <c r="M159" s="155"/>
      <c r="N159" s="155"/>
      <c r="O159" s="155"/>
      <c r="P159" s="155"/>
      <c r="Q159" s="155"/>
      <c r="R159" s="180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</row>
    <row r="160" spans="6:31" ht="15.75" customHeight="1" x14ac:dyDescent="0.25">
      <c r="F160" s="155"/>
      <c r="G160" s="155"/>
      <c r="H160" s="177"/>
      <c r="I160" s="155"/>
      <c r="J160" s="155"/>
      <c r="K160" s="155"/>
      <c r="L160" s="192"/>
      <c r="M160" s="155"/>
      <c r="N160" s="155"/>
      <c r="O160" s="155"/>
      <c r="P160" s="155"/>
      <c r="Q160" s="155"/>
      <c r="R160" s="180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</row>
    <row r="161" spans="6:31" ht="15.75" customHeight="1" x14ac:dyDescent="0.25">
      <c r="F161" s="155"/>
      <c r="G161" s="155"/>
      <c r="H161" s="177"/>
      <c r="I161" s="155"/>
      <c r="J161" s="155"/>
      <c r="K161" s="155"/>
      <c r="L161" s="192"/>
      <c r="M161" s="155"/>
      <c r="N161" s="155"/>
      <c r="O161" s="155"/>
      <c r="P161" s="155"/>
      <c r="Q161" s="155"/>
      <c r="R161" s="180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</row>
    <row r="162" spans="6:31" ht="15.75" customHeight="1" x14ac:dyDescent="0.25">
      <c r="F162" s="155"/>
      <c r="G162" s="155"/>
      <c r="H162" s="177"/>
      <c r="I162" s="155"/>
      <c r="J162" s="155"/>
      <c r="K162" s="155"/>
      <c r="L162" s="192"/>
      <c r="M162" s="155"/>
      <c r="N162" s="155"/>
      <c r="O162" s="155"/>
      <c r="P162" s="155"/>
      <c r="Q162" s="155"/>
      <c r="R162" s="180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</row>
    <row r="163" spans="6:31" ht="15.75" customHeight="1" x14ac:dyDescent="0.25">
      <c r="F163" s="155"/>
      <c r="G163" s="155"/>
      <c r="H163" s="177"/>
      <c r="I163" s="155"/>
      <c r="J163" s="155"/>
      <c r="K163" s="155"/>
      <c r="L163" s="192"/>
      <c r="M163" s="155"/>
      <c r="N163" s="155"/>
      <c r="O163" s="155"/>
      <c r="P163" s="155"/>
      <c r="Q163" s="155"/>
      <c r="R163" s="180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</row>
    <row r="164" spans="6:31" ht="15.75" customHeight="1" x14ac:dyDescent="0.25">
      <c r="F164" s="155"/>
      <c r="G164" s="155"/>
      <c r="H164" s="177"/>
      <c r="I164" s="155"/>
      <c r="J164" s="155"/>
      <c r="K164" s="155"/>
      <c r="L164" s="192"/>
      <c r="M164" s="155"/>
      <c r="N164" s="155"/>
      <c r="O164" s="155"/>
      <c r="P164" s="155"/>
      <c r="Q164" s="155"/>
      <c r="R164" s="180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</row>
    <row r="165" spans="6:31" ht="15.75" customHeight="1" x14ac:dyDescent="0.25">
      <c r="F165" s="155"/>
      <c r="G165" s="155"/>
      <c r="H165" s="177"/>
      <c r="I165" s="155"/>
      <c r="J165" s="155"/>
      <c r="K165" s="155"/>
      <c r="L165" s="192"/>
      <c r="M165" s="155"/>
      <c r="N165" s="155"/>
      <c r="O165" s="155"/>
      <c r="P165" s="155"/>
      <c r="Q165" s="155"/>
      <c r="R165" s="180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</row>
    <row r="166" spans="6:31" ht="15.75" customHeight="1" x14ac:dyDescent="0.25">
      <c r="F166" s="155"/>
      <c r="G166" s="155"/>
      <c r="H166" s="177"/>
      <c r="I166" s="155"/>
      <c r="J166" s="155"/>
      <c r="K166" s="155"/>
      <c r="L166" s="192"/>
      <c r="M166" s="155"/>
      <c r="N166" s="155"/>
      <c r="O166" s="155"/>
      <c r="P166" s="155"/>
      <c r="Q166" s="155"/>
      <c r="R166" s="180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</row>
    <row r="167" spans="6:31" ht="15.75" customHeight="1" x14ac:dyDescent="0.25">
      <c r="F167" s="155"/>
      <c r="G167" s="155"/>
      <c r="H167" s="177"/>
      <c r="I167" s="155"/>
      <c r="J167" s="155"/>
      <c r="K167" s="155"/>
      <c r="L167" s="192"/>
      <c r="M167" s="155"/>
      <c r="N167" s="155"/>
      <c r="O167" s="155"/>
      <c r="P167" s="155"/>
      <c r="Q167" s="155"/>
      <c r="R167" s="180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</row>
    <row r="168" spans="6:31" ht="15.75" customHeight="1" x14ac:dyDescent="0.25">
      <c r="F168" s="155"/>
      <c r="G168" s="155"/>
      <c r="H168" s="177"/>
      <c r="I168" s="155"/>
      <c r="J168" s="155"/>
      <c r="K168" s="155"/>
      <c r="L168" s="192"/>
      <c r="M168" s="155"/>
      <c r="N168" s="155"/>
      <c r="O168" s="155"/>
      <c r="P168" s="155"/>
      <c r="Q168" s="155"/>
      <c r="R168" s="180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</row>
    <row r="169" spans="6:31" ht="15.75" customHeight="1" x14ac:dyDescent="0.25">
      <c r="F169" s="155"/>
      <c r="G169" s="155"/>
      <c r="H169" s="177"/>
      <c r="I169" s="155"/>
      <c r="J169" s="155"/>
      <c r="K169" s="155"/>
      <c r="L169" s="192"/>
      <c r="M169" s="155"/>
      <c r="N169" s="155"/>
      <c r="O169" s="155"/>
      <c r="P169" s="155"/>
      <c r="Q169" s="155"/>
      <c r="R169" s="180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</row>
    <row r="170" spans="6:31" ht="15.75" customHeight="1" x14ac:dyDescent="0.25">
      <c r="F170" s="155"/>
      <c r="G170" s="155"/>
      <c r="H170" s="177"/>
      <c r="I170" s="155"/>
      <c r="J170" s="155"/>
      <c r="K170" s="155"/>
      <c r="L170" s="192"/>
      <c r="M170" s="155"/>
      <c r="N170" s="155"/>
      <c r="O170" s="155"/>
      <c r="P170" s="155"/>
      <c r="Q170" s="155"/>
      <c r="R170" s="180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</row>
    <row r="171" spans="6:31" ht="15.75" customHeight="1" x14ac:dyDescent="0.25">
      <c r="F171" s="155"/>
      <c r="G171" s="155"/>
      <c r="H171" s="177"/>
      <c r="I171" s="155"/>
      <c r="J171" s="155"/>
      <c r="K171" s="155"/>
      <c r="L171" s="192"/>
      <c r="M171" s="155"/>
      <c r="N171" s="155"/>
      <c r="O171" s="155"/>
      <c r="P171" s="155"/>
      <c r="Q171" s="155"/>
      <c r="R171" s="180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</row>
    <row r="172" spans="6:31" ht="15.75" customHeight="1" x14ac:dyDescent="0.25">
      <c r="F172" s="155"/>
      <c r="G172" s="155"/>
      <c r="H172" s="177"/>
      <c r="I172" s="155"/>
      <c r="J172" s="155"/>
      <c r="K172" s="155"/>
      <c r="L172" s="192"/>
      <c r="M172" s="155"/>
      <c r="N172" s="155"/>
      <c r="O172" s="155"/>
      <c r="P172" s="155"/>
      <c r="Q172" s="155"/>
      <c r="R172" s="180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</row>
    <row r="173" spans="6:31" ht="15.75" customHeight="1" x14ac:dyDescent="0.25">
      <c r="F173" s="155"/>
      <c r="G173" s="155"/>
      <c r="H173" s="177"/>
      <c r="I173" s="155"/>
      <c r="J173" s="155"/>
      <c r="K173" s="155"/>
      <c r="L173" s="192"/>
      <c r="M173" s="155"/>
      <c r="N173" s="155"/>
      <c r="O173" s="155"/>
      <c r="P173" s="155"/>
      <c r="Q173" s="155"/>
      <c r="R173" s="180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</row>
    <row r="174" spans="6:31" ht="15.75" customHeight="1" x14ac:dyDescent="0.25">
      <c r="F174" s="155"/>
      <c r="G174" s="155"/>
      <c r="H174" s="177"/>
      <c r="I174" s="155"/>
      <c r="J174" s="155"/>
      <c r="K174" s="155"/>
      <c r="L174" s="192"/>
      <c r="M174" s="155"/>
      <c r="N174" s="155"/>
      <c r="O174" s="155"/>
      <c r="P174" s="155"/>
      <c r="Q174" s="155"/>
      <c r="R174" s="180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</row>
    <row r="175" spans="6:31" ht="15.75" customHeight="1" x14ac:dyDescent="0.25">
      <c r="F175" s="155"/>
      <c r="G175" s="155"/>
      <c r="H175" s="177"/>
      <c r="I175" s="155"/>
      <c r="J175" s="155"/>
      <c r="K175" s="155"/>
      <c r="L175" s="192"/>
      <c r="M175" s="155"/>
      <c r="N175" s="155"/>
      <c r="O175" s="155"/>
      <c r="P175" s="155"/>
      <c r="Q175" s="155"/>
      <c r="R175" s="180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</row>
    <row r="176" spans="6:31" ht="15.75" customHeight="1" x14ac:dyDescent="0.25">
      <c r="F176" s="155"/>
      <c r="G176" s="155"/>
      <c r="H176" s="177"/>
      <c r="I176" s="155"/>
      <c r="J176" s="155"/>
      <c r="K176" s="155"/>
      <c r="L176" s="192"/>
      <c r="M176" s="155"/>
      <c r="N176" s="155"/>
      <c r="O176" s="155"/>
      <c r="P176" s="155"/>
      <c r="Q176" s="155"/>
      <c r="R176" s="180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</row>
    <row r="177" spans="6:31" ht="15.75" customHeight="1" x14ac:dyDescent="0.25">
      <c r="F177" s="155"/>
      <c r="G177" s="155"/>
      <c r="H177" s="177"/>
      <c r="I177" s="155"/>
      <c r="J177" s="155"/>
      <c r="K177" s="155"/>
      <c r="L177" s="192"/>
      <c r="M177" s="155"/>
      <c r="N177" s="155"/>
      <c r="O177" s="155"/>
      <c r="P177" s="155"/>
      <c r="Q177" s="155"/>
      <c r="R177" s="180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</row>
    <row r="178" spans="6:31" ht="15.75" customHeight="1" x14ac:dyDescent="0.25">
      <c r="F178" s="155"/>
      <c r="G178" s="155"/>
      <c r="H178" s="177"/>
      <c r="I178" s="155"/>
      <c r="J178" s="155"/>
      <c r="K178" s="155"/>
      <c r="L178" s="192"/>
      <c r="M178" s="155"/>
      <c r="N178" s="155"/>
      <c r="O178" s="155"/>
      <c r="P178" s="155"/>
      <c r="Q178" s="155"/>
      <c r="R178" s="180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</row>
    <row r="179" spans="6:31" ht="15.75" customHeight="1" x14ac:dyDescent="0.25">
      <c r="F179" s="155"/>
      <c r="G179" s="155"/>
      <c r="H179" s="177"/>
      <c r="I179" s="155"/>
      <c r="J179" s="155"/>
      <c r="K179" s="155"/>
      <c r="L179" s="192"/>
      <c r="M179" s="155"/>
      <c r="N179" s="155"/>
      <c r="O179" s="155"/>
      <c r="P179" s="155"/>
      <c r="Q179" s="155"/>
      <c r="R179" s="180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</row>
    <row r="180" spans="6:31" ht="15.75" customHeight="1" x14ac:dyDescent="0.25">
      <c r="F180" s="155"/>
      <c r="G180" s="155"/>
      <c r="H180" s="177"/>
      <c r="I180" s="155"/>
      <c r="J180" s="155"/>
      <c r="K180" s="155"/>
      <c r="L180" s="192"/>
      <c r="M180" s="155"/>
      <c r="N180" s="155"/>
      <c r="O180" s="155"/>
      <c r="P180" s="155"/>
      <c r="Q180" s="155"/>
      <c r="R180" s="180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</row>
    <row r="181" spans="6:31" ht="15.75" customHeight="1" x14ac:dyDescent="0.25">
      <c r="F181" s="155"/>
      <c r="G181" s="155"/>
      <c r="H181" s="177"/>
      <c r="I181" s="155"/>
      <c r="J181" s="155"/>
      <c r="K181" s="155"/>
      <c r="L181" s="192"/>
      <c r="M181" s="155"/>
      <c r="N181" s="155"/>
      <c r="O181" s="155"/>
      <c r="P181" s="155"/>
      <c r="Q181" s="155"/>
      <c r="R181" s="180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55"/>
      <c r="AE181" s="155"/>
    </row>
    <row r="182" spans="6:31" ht="15.75" customHeight="1" x14ac:dyDescent="0.25">
      <c r="F182" s="155"/>
      <c r="G182" s="155"/>
      <c r="H182" s="177"/>
      <c r="I182" s="155"/>
      <c r="J182" s="155"/>
      <c r="K182" s="155"/>
      <c r="L182" s="192"/>
      <c r="M182" s="155"/>
      <c r="N182" s="155"/>
      <c r="O182" s="155"/>
      <c r="P182" s="155"/>
      <c r="Q182" s="155"/>
      <c r="R182" s="180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55"/>
      <c r="AE182" s="155"/>
    </row>
    <row r="183" spans="6:31" ht="15.75" customHeight="1" x14ac:dyDescent="0.25">
      <c r="F183" s="155"/>
      <c r="G183" s="155"/>
      <c r="H183" s="177"/>
      <c r="I183" s="155"/>
      <c r="J183" s="155"/>
      <c r="K183" s="155"/>
      <c r="L183" s="192"/>
      <c r="M183" s="155"/>
      <c r="N183" s="155"/>
      <c r="O183" s="155"/>
      <c r="P183" s="155"/>
      <c r="Q183" s="155"/>
      <c r="R183" s="180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55"/>
      <c r="AE183" s="155"/>
    </row>
    <row r="184" spans="6:31" ht="15.75" customHeight="1" x14ac:dyDescent="0.25">
      <c r="F184" s="155"/>
      <c r="G184" s="155"/>
      <c r="H184" s="177"/>
      <c r="I184" s="155"/>
      <c r="J184" s="155"/>
      <c r="K184" s="155"/>
      <c r="L184" s="192"/>
      <c r="M184" s="155"/>
      <c r="N184" s="155"/>
      <c r="O184" s="155"/>
      <c r="P184" s="155"/>
      <c r="Q184" s="155"/>
      <c r="R184" s="180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55"/>
      <c r="AE184" s="155"/>
    </row>
    <row r="185" spans="6:31" ht="15.75" customHeight="1" x14ac:dyDescent="0.25">
      <c r="F185" s="155"/>
      <c r="G185" s="155"/>
      <c r="H185" s="177"/>
      <c r="I185" s="155"/>
      <c r="J185" s="155"/>
      <c r="K185" s="155"/>
      <c r="L185" s="192"/>
      <c r="M185" s="155"/>
      <c r="N185" s="155"/>
      <c r="O185" s="155"/>
      <c r="P185" s="155"/>
      <c r="Q185" s="155"/>
      <c r="R185" s="180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</row>
    <row r="186" spans="6:31" ht="15.75" customHeight="1" x14ac:dyDescent="0.25">
      <c r="F186" s="155"/>
      <c r="G186" s="155"/>
      <c r="H186" s="177"/>
      <c r="I186" s="155"/>
      <c r="J186" s="155"/>
      <c r="K186" s="155"/>
      <c r="L186" s="192"/>
      <c r="M186" s="155"/>
      <c r="N186" s="155"/>
      <c r="O186" s="155"/>
      <c r="P186" s="155"/>
      <c r="Q186" s="155"/>
      <c r="R186" s="180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55"/>
      <c r="AE186" s="155"/>
    </row>
    <row r="187" spans="6:31" ht="15.75" customHeight="1" x14ac:dyDescent="0.25">
      <c r="F187" s="155"/>
      <c r="G187" s="155"/>
      <c r="H187" s="177"/>
      <c r="I187" s="155"/>
      <c r="J187" s="155"/>
      <c r="K187" s="155"/>
      <c r="L187" s="192"/>
      <c r="M187" s="155"/>
      <c r="N187" s="155"/>
      <c r="O187" s="155"/>
      <c r="P187" s="155"/>
      <c r="Q187" s="155"/>
      <c r="R187" s="180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155"/>
      <c r="AD187" s="155"/>
      <c r="AE187" s="155"/>
    </row>
    <row r="188" spans="6:31" ht="15.75" customHeight="1" x14ac:dyDescent="0.25">
      <c r="F188" s="155"/>
      <c r="G188" s="155"/>
      <c r="H188" s="177"/>
      <c r="I188" s="155"/>
      <c r="J188" s="155"/>
      <c r="K188" s="155"/>
      <c r="L188" s="192"/>
      <c r="M188" s="155"/>
      <c r="N188" s="155"/>
      <c r="O188" s="155"/>
      <c r="P188" s="155"/>
      <c r="Q188" s="155"/>
      <c r="R188" s="180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55"/>
      <c r="AE188" s="155"/>
    </row>
    <row r="189" spans="6:31" ht="15.75" customHeight="1" x14ac:dyDescent="0.25">
      <c r="F189" s="155"/>
      <c r="G189" s="155"/>
      <c r="H189" s="177"/>
      <c r="I189" s="155"/>
      <c r="J189" s="155"/>
      <c r="K189" s="155"/>
      <c r="L189" s="192"/>
      <c r="M189" s="155"/>
      <c r="N189" s="155"/>
      <c r="O189" s="155"/>
      <c r="P189" s="155"/>
      <c r="Q189" s="155"/>
      <c r="R189" s="180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55"/>
      <c r="AE189" s="155"/>
    </row>
    <row r="190" spans="6:31" ht="15.75" customHeight="1" x14ac:dyDescent="0.25">
      <c r="F190" s="155"/>
      <c r="G190" s="155"/>
      <c r="H190" s="177"/>
      <c r="I190" s="155"/>
      <c r="J190" s="155"/>
      <c r="K190" s="155"/>
      <c r="L190" s="192"/>
      <c r="M190" s="155"/>
      <c r="N190" s="155"/>
      <c r="O190" s="155"/>
      <c r="P190" s="155"/>
      <c r="Q190" s="155"/>
      <c r="R190" s="180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55"/>
      <c r="AE190" s="155"/>
    </row>
    <row r="191" spans="6:31" ht="15.75" customHeight="1" x14ac:dyDescent="0.25">
      <c r="F191" s="155"/>
      <c r="G191" s="155"/>
      <c r="H191" s="177"/>
      <c r="I191" s="155"/>
      <c r="J191" s="155"/>
      <c r="K191" s="155"/>
      <c r="L191" s="192"/>
      <c r="M191" s="155"/>
      <c r="N191" s="155"/>
      <c r="O191" s="155"/>
      <c r="P191" s="155"/>
      <c r="Q191" s="155"/>
      <c r="R191" s="180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</row>
    <row r="192" spans="6:31" ht="15.75" customHeight="1" x14ac:dyDescent="0.25">
      <c r="F192" s="155"/>
      <c r="G192" s="155"/>
      <c r="H192" s="177"/>
      <c r="I192" s="155"/>
      <c r="J192" s="155"/>
      <c r="K192" s="155"/>
      <c r="L192" s="192"/>
      <c r="M192" s="155"/>
      <c r="N192" s="155"/>
      <c r="O192" s="155"/>
      <c r="P192" s="155"/>
      <c r="Q192" s="155"/>
      <c r="R192" s="180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155"/>
      <c r="AD192" s="155"/>
      <c r="AE192" s="155"/>
    </row>
    <row r="193" spans="6:31" ht="15.75" customHeight="1" x14ac:dyDescent="0.25">
      <c r="F193" s="155"/>
      <c r="G193" s="155"/>
      <c r="H193" s="177"/>
      <c r="I193" s="155"/>
      <c r="J193" s="155"/>
      <c r="K193" s="155"/>
      <c r="L193" s="192"/>
      <c r="M193" s="155"/>
      <c r="N193" s="155"/>
      <c r="O193" s="155"/>
      <c r="P193" s="155"/>
      <c r="Q193" s="155"/>
      <c r="R193" s="180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55"/>
      <c r="AE193" s="155"/>
    </row>
    <row r="194" spans="6:31" ht="15.75" customHeight="1" x14ac:dyDescent="0.25">
      <c r="F194" s="155"/>
      <c r="G194" s="155"/>
      <c r="H194" s="177"/>
      <c r="I194" s="155"/>
      <c r="J194" s="155"/>
      <c r="K194" s="155"/>
      <c r="L194" s="192"/>
      <c r="M194" s="155"/>
      <c r="N194" s="155"/>
      <c r="O194" s="155"/>
      <c r="P194" s="155"/>
      <c r="Q194" s="155"/>
      <c r="R194" s="180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55"/>
      <c r="AE194" s="155"/>
    </row>
    <row r="195" spans="6:31" ht="15.75" customHeight="1" x14ac:dyDescent="0.25">
      <c r="F195" s="155"/>
      <c r="G195" s="155"/>
      <c r="H195" s="177"/>
      <c r="I195" s="155"/>
      <c r="J195" s="155"/>
      <c r="K195" s="155"/>
      <c r="L195" s="192"/>
      <c r="M195" s="155"/>
      <c r="N195" s="155"/>
      <c r="O195" s="155"/>
      <c r="P195" s="155"/>
      <c r="Q195" s="155"/>
      <c r="R195" s="180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55"/>
      <c r="AE195" s="155"/>
    </row>
    <row r="196" spans="6:31" ht="15.75" customHeight="1" x14ac:dyDescent="0.25">
      <c r="F196" s="155"/>
      <c r="G196" s="155"/>
      <c r="H196" s="177"/>
      <c r="I196" s="155"/>
      <c r="J196" s="155"/>
      <c r="K196" s="155"/>
      <c r="L196" s="192"/>
      <c r="M196" s="155"/>
      <c r="N196" s="155"/>
      <c r="O196" s="155"/>
      <c r="P196" s="155"/>
      <c r="Q196" s="155"/>
      <c r="R196" s="180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</row>
    <row r="197" spans="6:31" ht="15.75" customHeight="1" x14ac:dyDescent="0.25">
      <c r="F197" s="155"/>
      <c r="G197" s="155"/>
      <c r="H197" s="177"/>
      <c r="I197" s="155"/>
      <c r="J197" s="155"/>
      <c r="K197" s="155"/>
      <c r="L197" s="192"/>
      <c r="M197" s="155"/>
      <c r="N197" s="155"/>
      <c r="O197" s="155"/>
      <c r="P197" s="155"/>
      <c r="Q197" s="155"/>
      <c r="R197" s="180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55"/>
      <c r="AE197" s="155"/>
    </row>
    <row r="198" spans="6:31" ht="15.75" customHeight="1" x14ac:dyDescent="0.25">
      <c r="F198" s="155"/>
      <c r="G198" s="155"/>
      <c r="H198" s="177"/>
      <c r="I198" s="155"/>
      <c r="J198" s="155"/>
      <c r="K198" s="155"/>
      <c r="L198" s="192"/>
      <c r="M198" s="155"/>
      <c r="N198" s="155"/>
      <c r="O198" s="155"/>
      <c r="P198" s="155"/>
      <c r="Q198" s="155"/>
      <c r="R198" s="180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55"/>
      <c r="AE198" s="155"/>
    </row>
    <row r="199" spans="6:31" ht="15.75" customHeight="1" x14ac:dyDescent="0.25">
      <c r="F199" s="155"/>
      <c r="G199" s="155"/>
      <c r="H199" s="177"/>
      <c r="I199" s="155"/>
      <c r="J199" s="155"/>
      <c r="K199" s="155"/>
      <c r="L199" s="192"/>
      <c r="M199" s="155"/>
      <c r="N199" s="155"/>
      <c r="O199" s="155"/>
      <c r="P199" s="155"/>
      <c r="Q199" s="155"/>
      <c r="R199" s="180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</row>
    <row r="200" spans="6:31" ht="15.75" customHeight="1" x14ac:dyDescent="0.25">
      <c r="F200" s="155"/>
      <c r="G200" s="155"/>
      <c r="H200" s="177"/>
      <c r="I200" s="155"/>
      <c r="J200" s="155"/>
      <c r="K200" s="155"/>
      <c r="L200" s="192"/>
      <c r="M200" s="155"/>
      <c r="N200" s="155"/>
      <c r="O200" s="155"/>
      <c r="P200" s="155"/>
      <c r="Q200" s="155"/>
      <c r="R200" s="180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</row>
    <row r="201" spans="6:31" ht="15.75" customHeight="1" x14ac:dyDescent="0.25">
      <c r="F201" s="155"/>
      <c r="G201" s="155"/>
      <c r="H201" s="177"/>
      <c r="I201" s="155"/>
      <c r="J201" s="155"/>
      <c r="K201" s="155"/>
      <c r="L201" s="192"/>
      <c r="M201" s="155"/>
      <c r="N201" s="155"/>
      <c r="O201" s="155"/>
      <c r="P201" s="155"/>
      <c r="Q201" s="155"/>
      <c r="R201" s="180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55"/>
      <c r="AE201" s="155"/>
    </row>
    <row r="202" spans="6:31" ht="15.75" customHeight="1" x14ac:dyDescent="0.25">
      <c r="F202" s="155"/>
      <c r="G202" s="155"/>
      <c r="H202" s="177"/>
      <c r="I202" s="155"/>
      <c r="J202" s="155"/>
      <c r="K202" s="155"/>
      <c r="L202" s="192"/>
      <c r="M202" s="155"/>
      <c r="N202" s="155"/>
      <c r="O202" s="155"/>
      <c r="P202" s="155"/>
      <c r="Q202" s="155"/>
      <c r="R202" s="180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</row>
    <row r="203" spans="6:31" ht="15.75" customHeight="1" x14ac:dyDescent="0.25">
      <c r="F203" s="155"/>
      <c r="G203" s="155"/>
      <c r="H203" s="177"/>
      <c r="I203" s="155"/>
      <c r="J203" s="155"/>
      <c r="K203" s="155"/>
      <c r="L203" s="192"/>
      <c r="M203" s="155"/>
      <c r="N203" s="155"/>
      <c r="O203" s="155"/>
      <c r="P203" s="155"/>
      <c r="Q203" s="155"/>
      <c r="R203" s="180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</row>
    <row r="204" spans="6:31" ht="15.75" customHeight="1" x14ac:dyDescent="0.25">
      <c r="F204" s="155"/>
      <c r="G204" s="155"/>
      <c r="H204" s="177"/>
      <c r="I204" s="155"/>
      <c r="J204" s="155"/>
      <c r="K204" s="155"/>
      <c r="L204" s="192"/>
      <c r="M204" s="155"/>
      <c r="N204" s="155"/>
      <c r="O204" s="155"/>
      <c r="P204" s="155"/>
      <c r="Q204" s="155"/>
      <c r="R204" s="180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</row>
    <row r="205" spans="6:31" ht="15.75" customHeight="1" x14ac:dyDescent="0.25">
      <c r="F205" s="155"/>
      <c r="G205" s="155"/>
      <c r="H205" s="177"/>
      <c r="I205" s="155"/>
      <c r="J205" s="155"/>
      <c r="K205" s="155"/>
      <c r="L205" s="192"/>
      <c r="M205" s="155"/>
      <c r="N205" s="155"/>
      <c r="O205" s="155"/>
      <c r="P205" s="155"/>
      <c r="Q205" s="155"/>
      <c r="R205" s="180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</row>
    <row r="206" spans="6:31" ht="15.75" customHeight="1" x14ac:dyDescent="0.25">
      <c r="F206" s="155"/>
      <c r="G206" s="155"/>
      <c r="H206" s="177"/>
      <c r="I206" s="155"/>
      <c r="J206" s="155"/>
      <c r="K206" s="155"/>
      <c r="L206" s="192"/>
      <c r="M206" s="155"/>
      <c r="N206" s="155"/>
      <c r="O206" s="155"/>
      <c r="P206" s="155"/>
      <c r="Q206" s="155"/>
      <c r="R206" s="180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55"/>
      <c r="AE206" s="155"/>
    </row>
    <row r="207" spans="6:31" ht="15.75" customHeight="1" x14ac:dyDescent="0.25">
      <c r="F207" s="155"/>
      <c r="G207" s="155"/>
      <c r="H207" s="177"/>
      <c r="I207" s="155"/>
      <c r="J207" s="155"/>
      <c r="K207" s="155"/>
      <c r="L207" s="192"/>
      <c r="M207" s="155"/>
      <c r="N207" s="155"/>
      <c r="O207" s="155"/>
      <c r="P207" s="155"/>
      <c r="Q207" s="155"/>
      <c r="R207" s="180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  <c r="AD207" s="155"/>
      <c r="AE207" s="155"/>
    </row>
    <row r="208" spans="6:31" ht="15.75" customHeight="1" x14ac:dyDescent="0.25">
      <c r="F208" s="155"/>
      <c r="G208" s="155"/>
      <c r="H208" s="177"/>
      <c r="I208" s="155"/>
      <c r="J208" s="155"/>
      <c r="K208" s="155"/>
      <c r="L208" s="192"/>
      <c r="M208" s="155"/>
      <c r="N208" s="155"/>
      <c r="O208" s="155"/>
      <c r="P208" s="155"/>
      <c r="Q208" s="155"/>
      <c r="R208" s="180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  <c r="AD208" s="155"/>
      <c r="AE208" s="155"/>
    </row>
    <row r="209" spans="6:31" ht="15.75" customHeight="1" x14ac:dyDescent="0.25">
      <c r="F209" s="155"/>
      <c r="G209" s="155"/>
      <c r="H209" s="177"/>
      <c r="I209" s="155"/>
      <c r="J209" s="155"/>
      <c r="K209" s="155"/>
      <c r="L209" s="192"/>
      <c r="M209" s="155"/>
      <c r="N209" s="155"/>
      <c r="O209" s="155"/>
      <c r="P209" s="155"/>
      <c r="Q209" s="155"/>
      <c r="R209" s="180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  <c r="AD209" s="155"/>
      <c r="AE209" s="155"/>
    </row>
    <row r="210" spans="6:31" ht="15.75" customHeight="1" x14ac:dyDescent="0.25">
      <c r="F210" s="155"/>
      <c r="G210" s="155"/>
      <c r="H210" s="177"/>
      <c r="I210" s="155"/>
      <c r="J210" s="155"/>
      <c r="K210" s="155"/>
      <c r="L210" s="192"/>
      <c r="M210" s="155"/>
      <c r="N210" s="155"/>
      <c r="O210" s="155"/>
      <c r="P210" s="155"/>
      <c r="Q210" s="155"/>
      <c r="R210" s="180"/>
      <c r="S210" s="155"/>
      <c r="T210" s="155"/>
      <c r="U210" s="155"/>
      <c r="V210" s="155"/>
      <c r="W210" s="155"/>
      <c r="X210" s="155"/>
      <c r="Y210" s="155"/>
      <c r="Z210" s="155"/>
      <c r="AA210" s="155"/>
      <c r="AB210" s="155"/>
      <c r="AC210" s="155"/>
      <c r="AD210" s="155"/>
      <c r="AE210" s="155"/>
    </row>
    <row r="211" spans="6:31" ht="15.75" customHeight="1" x14ac:dyDescent="0.25">
      <c r="F211" s="155"/>
      <c r="G211" s="155"/>
      <c r="H211" s="177"/>
      <c r="I211" s="155"/>
      <c r="J211" s="155"/>
      <c r="K211" s="155"/>
      <c r="L211" s="192"/>
      <c r="M211" s="155"/>
      <c r="N211" s="155"/>
      <c r="O211" s="155"/>
      <c r="P211" s="155"/>
      <c r="Q211" s="155"/>
      <c r="R211" s="180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55"/>
      <c r="AE211" s="155"/>
    </row>
    <row r="212" spans="6:31" ht="15.75" customHeight="1" x14ac:dyDescent="0.25">
      <c r="F212" s="155"/>
      <c r="G212" s="155"/>
      <c r="H212" s="177"/>
      <c r="I212" s="155"/>
      <c r="J212" s="155"/>
      <c r="K212" s="155"/>
      <c r="L212" s="192"/>
      <c r="M212" s="155"/>
      <c r="N212" s="155"/>
      <c r="O212" s="155"/>
      <c r="P212" s="155"/>
      <c r="Q212" s="155"/>
      <c r="R212" s="180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55"/>
      <c r="AE212" s="155"/>
    </row>
    <row r="213" spans="6:31" ht="15.75" customHeight="1" x14ac:dyDescent="0.25">
      <c r="F213" s="155"/>
      <c r="G213" s="155"/>
      <c r="H213" s="177"/>
      <c r="I213" s="155"/>
      <c r="J213" s="155"/>
      <c r="K213" s="155"/>
      <c r="L213" s="192"/>
      <c r="M213" s="155"/>
      <c r="N213" s="155"/>
      <c r="O213" s="155"/>
      <c r="P213" s="155"/>
      <c r="Q213" s="155"/>
      <c r="R213" s="180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</row>
    <row r="214" spans="6:31" ht="15.75" customHeight="1" x14ac:dyDescent="0.25">
      <c r="F214" s="155"/>
      <c r="G214" s="155"/>
      <c r="H214" s="177"/>
      <c r="I214" s="155"/>
      <c r="J214" s="155"/>
      <c r="K214" s="155"/>
      <c r="L214" s="192"/>
      <c r="M214" s="155"/>
      <c r="N214" s="155"/>
      <c r="O214" s="155"/>
      <c r="P214" s="155"/>
      <c r="Q214" s="155"/>
      <c r="R214" s="180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55"/>
      <c r="AE214" s="155"/>
    </row>
    <row r="215" spans="6:31" ht="15.75" customHeight="1" x14ac:dyDescent="0.25">
      <c r="F215" s="155"/>
      <c r="G215" s="155"/>
      <c r="H215" s="177"/>
      <c r="I215" s="155"/>
      <c r="J215" s="155"/>
      <c r="K215" s="155"/>
      <c r="L215" s="192"/>
      <c r="M215" s="155"/>
      <c r="N215" s="155"/>
      <c r="O215" s="155"/>
      <c r="P215" s="155"/>
      <c r="Q215" s="155"/>
      <c r="R215" s="180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155"/>
      <c r="AD215" s="155"/>
      <c r="AE215" s="155"/>
    </row>
    <row r="216" spans="6:31" ht="15.75" customHeight="1" x14ac:dyDescent="0.25">
      <c r="F216" s="155"/>
      <c r="G216" s="155"/>
      <c r="H216" s="177"/>
      <c r="I216" s="155"/>
      <c r="J216" s="155"/>
      <c r="K216" s="155"/>
      <c r="L216" s="192"/>
      <c r="M216" s="155"/>
      <c r="N216" s="155"/>
      <c r="O216" s="155"/>
      <c r="P216" s="155"/>
      <c r="Q216" s="155"/>
      <c r="R216" s="180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55"/>
      <c r="AE216" s="155"/>
    </row>
    <row r="217" spans="6:31" ht="15.75" customHeight="1" x14ac:dyDescent="0.25">
      <c r="F217" s="155"/>
      <c r="G217" s="155"/>
      <c r="H217" s="177"/>
      <c r="I217" s="155"/>
      <c r="J217" s="155"/>
      <c r="K217" s="155"/>
      <c r="L217" s="192"/>
      <c r="M217" s="155"/>
      <c r="N217" s="155"/>
      <c r="O217" s="155"/>
      <c r="P217" s="155"/>
      <c r="Q217" s="155"/>
      <c r="R217" s="180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55"/>
      <c r="AE217" s="155"/>
    </row>
    <row r="218" spans="6:31" ht="15.75" customHeight="1" x14ac:dyDescent="0.25">
      <c r="F218" s="155"/>
      <c r="G218" s="155"/>
      <c r="H218" s="177"/>
      <c r="I218" s="155"/>
      <c r="J218" s="155"/>
      <c r="K218" s="155"/>
      <c r="L218" s="192"/>
      <c r="M218" s="155"/>
      <c r="N218" s="155"/>
      <c r="O218" s="155"/>
      <c r="P218" s="155"/>
      <c r="Q218" s="155"/>
      <c r="R218" s="180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  <c r="AD218" s="155"/>
      <c r="AE218" s="155"/>
    </row>
    <row r="219" spans="6:31" ht="15.75" customHeight="1" x14ac:dyDescent="0.25">
      <c r="F219" s="155"/>
      <c r="G219" s="155"/>
      <c r="H219" s="177"/>
      <c r="I219" s="155"/>
      <c r="J219" s="155"/>
      <c r="K219" s="155"/>
      <c r="L219" s="192"/>
      <c r="M219" s="155"/>
      <c r="N219" s="155"/>
      <c r="O219" s="155"/>
      <c r="P219" s="155"/>
      <c r="Q219" s="155"/>
      <c r="R219" s="180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55"/>
      <c r="AE219" s="155"/>
    </row>
    <row r="220" spans="6:31" ht="15.75" customHeight="1" x14ac:dyDescent="0.25">
      <c r="F220" s="155"/>
      <c r="G220" s="155"/>
      <c r="H220" s="177"/>
      <c r="I220" s="155"/>
      <c r="J220" s="155"/>
      <c r="K220" s="155"/>
      <c r="L220" s="192"/>
      <c r="M220" s="155"/>
      <c r="N220" s="155"/>
      <c r="O220" s="155"/>
      <c r="P220" s="155"/>
      <c r="Q220" s="155"/>
      <c r="R220" s="180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55"/>
      <c r="AE220" s="155"/>
    </row>
    <row r="221" spans="6:31" ht="15.75" customHeight="1" x14ac:dyDescent="0.25">
      <c r="F221" s="155"/>
      <c r="G221" s="155"/>
      <c r="H221" s="177"/>
      <c r="I221" s="155"/>
      <c r="J221" s="155"/>
      <c r="K221" s="155"/>
      <c r="L221" s="192"/>
      <c r="M221" s="155"/>
      <c r="N221" s="155"/>
      <c r="O221" s="155"/>
      <c r="P221" s="155"/>
      <c r="Q221" s="155"/>
      <c r="R221" s="180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  <c r="AD221" s="155"/>
      <c r="AE221" s="155"/>
    </row>
    <row r="222" spans="6:31" ht="15.75" customHeight="1" x14ac:dyDescent="0.25">
      <c r="F222" s="155"/>
      <c r="G222" s="155"/>
      <c r="H222" s="177"/>
      <c r="I222" s="155"/>
      <c r="J222" s="155"/>
      <c r="K222" s="155"/>
      <c r="L222" s="192"/>
      <c r="M222" s="155"/>
      <c r="N222" s="155"/>
      <c r="O222" s="155"/>
      <c r="P222" s="155"/>
      <c r="Q222" s="155"/>
      <c r="R222" s="180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55"/>
      <c r="AE222" s="155"/>
    </row>
    <row r="223" spans="6:31" ht="15.75" customHeight="1" x14ac:dyDescent="0.25">
      <c r="F223" s="155"/>
      <c r="G223" s="155"/>
      <c r="H223" s="177"/>
      <c r="I223" s="155"/>
      <c r="J223" s="155"/>
      <c r="K223" s="155"/>
      <c r="L223" s="192"/>
      <c r="M223" s="155"/>
      <c r="N223" s="155"/>
      <c r="O223" s="155"/>
      <c r="P223" s="155"/>
      <c r="Q223" s="155"/>
      <c r="R223" s="180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  <c r="AD223" s="155"/>
      <c r="AE223" s="155"/>
    </row>
    <row r="224" spans="6:31" ht="15.75" customHeight="1" x14ac:dyDescent="0.25">
      <c r="F224" s="155"/>
      <c r="G224" s="155"/>
      <c r="H224" s="177"/>
      <c r="I224" s="155"/>
      <c r="J224" s="155"/>
      <c r="K224" s="155"/>
      <c r="L224" s="192"/>
      <c r="M224" s="155"/>
      <c r="N224" s="155"/>
      <c r="O224" s="155"/>
      <c r="P224" s="155"/>
      <c r="Q224" s="155"/>
      <c r="R224" s="180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  <c r="AD224" s="155"/>
      <c r="AE224" s="155"/>
    </row>
    <row r="225" spans="6:31" ht="15.75" customHeight="1" x14ac:dyDescent="0.25">
      <c r="F225" s="155"/>
      <c r="G225" s="155"/>
      <c r="H225" s="177"/>
      <c r="I225" s="155"/>
      <c r="J225" s="155"/>
      <c r="K225" s="155"/>
      <c r="L225" s="192"/>
      <c r="M225" s="155"/>
      <c r="N225" s="155"/>
      <c r="O225" s="155"/>
      <c r="P225" s="155"/>
      <c r="Q225" s="155"/>
      <c r="R225" s="180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  <c r="AD225" s="155"/>
      <c r="AE225" s="155"/>
    </row>
    <row r="226" spans="6:31" ht="15.75" customHeight="1" x14ac:dyDescent="0.25">
      <c r="F226" s="155"/>
      <c r="G226" s="155"/>
      <c r="H226" s="177"/>
      <c r="I226" s="155"/>
      <c r="J226" s="155"/>
      <c r="K226" s="155"/>
      <c r="L226" s="192"/>
      <c r="M226" s="155"/>
      <c r="N226" s="155"/>
      <c r="O226" s="155"/>
      <c r="P226" s="155"/>
      <c r="Q226" s="155"/>
      <c r="R226" s="180"/>
      <c r="S226" s="155"/>
      <c r="T226" s="155"/>
      <c r="U226" s="155"/>
      <c r="V226" s="155"/>
      <c r="W226" s="155"/>
      <c r="X226" s="155"/>
      <c r="Y226" s="155"/>
      <c r="Z226" s="155"/>
      <c r="AA226" s="155"/>
      <c r="AB226" s="155"/>
      <c r="AC226" s="155"/>
      <c r="AD226" s="155"/>
      <c r="AE226" s="155"/>
    </row>
    <row r="227" spans="6:31" ht="15.75" customHeight="1" x14ac:dyDescent="0.25">
      <c r="F227" s="155"/>
      <c r="G227" s="155"/>
      <c r="H227" s="177"/>
      <c r="I227" s="155"/>
      <c r="J227" s="155"/>
      <c r="K227" s="155"/>
      <c r="L227" s="192"/>
      <c r="M227" s="155"/>
      <c r="N227" s="155"/>
      <c r="O227" s="155"/>
      <c r="P227" s="155"/>
      <c r="Q227" s="155"/>
      <c r="R227" s="180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155"/>
      <c r="AD227" s="155"/>
      <c r="AE227" s="155"/>
    </row>
    <row r="228" spans="6:31" ht="15.75" customHeight="1" x14ac:dyDescent="0.25">
      <c r="F228" s="155"/>
      <c r="G228" s="155"/>
      <c r="H228" s="177"/>
      <c r="I228" s="155"/>
      <c r="J228" s="155"/>
      <c r="K228" s="155"/>
      <c r="L228" s="192"/>
      <c r="M228" s="155"/>
      <c r="N228" s="155"/>
      <c r="O228" s="155"/>
      <c r="P228" s="155"/>
      <c r="Q228" s="155"/>
      <c r="R228" s="180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</row>
    <row r="229" spans="6:31" ht="15.75" customHeight="1" x14ac:dyDescent="0.25">
      <c r="F229" s="155"/>
      <c r="G229" s="155"/>
      <c r="H229" s="177"/>
      <c r="I229" s="155"/>
      <c r="J229" s="155"/>
      <c r="K229" s="155"/>
      <c r="L229" s="192"/>
      <c r="M229" s="155"/>
      <c r="N229" s="155"/>
      <c r="O229" s="155"/>
      <c r="P229" s="155"/>
      <c r="Q229" s="155"/>
      <c r="R229" s="180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</row>
    <row r="230" spans="6:31" ht="15.75" customHeight="1" x14ac:dyDescent="0.25">
      <c r="F230" s="155"/>
      <c r="G230" s="155"/>
      <c r="H230" s="177"/>
      <c r="I230" s="155"/>
      <c r="J230" s="155"/>
      <c r="K230" s="155"/>
      <c r="L230" s="192"/>
      <c r="M230" s="155"/>
      <c r="N230" s="155"/>
      <c r="O230" s="155"/>
      <c r="P230" s="155"/>
      <c r="Q230" s="155"/>
      <c r="R230" s="180"/>
      <c r="S230" s="155"/>
      <c r="T230" s="155"/>
      <c r="U230" s="155"/>
      <c r="V230" s="155"/>
      <c r="W230" s="155"/>
      <c r="X230" s="155"/>
      <c r="Y230" s="155"/>
      <c r="Z230" s="155"/>
      <c r="AA230" s="155"/>
      <c r="AB230" s="155"/>
      <c r="AC230" s="155"/>
      <c r="AD230" s="155"/>
      <c r="AE230" s="155"/>
    </row>
    <row r="231" spans="6:31" ht="15.75" customHeight="1" x14ac:dyDescent="0.25">
      <c r="F231" s="155"/>
      <c r="G231" s="155"/>
      <c r="H231" s="177"/>
      <c r="I231" s="155"/>
      <c r="J231" s="155"/>
      <c r="K231" s="155"/>
      <c r="L231" s="192"/>
      <c r="M231" s="155"/>
      <c r="N231" s="155"/>
      <c r="O231" s="155"/>
      <c r="P231" s="155"/>
      <c r="Q231" s="155"/>
      <c r="R231" s="180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55"/>
      <c r="AE231" s="155"/>
    </row>
    <row r="232" spans="6:31" ht="15.75" customHeight="1" x14ac:dyDescent="0.25">
      <c r="F232" s="155"/>
      <c r="G232" s="155"/>
      <c r="H232" s="177"/>
      <c r="I232" s="155"/>
      <c r="J232" s="155"/>
      <c r="K232" s="155"/>
      <c r="L232" s="192"/>
      <c r="M232" s="155"/>
      <c r="N232" s="155"/>
      <c r="O232" s="155"/>
      <c r="P232" s="155"/>
      <c r="Q232" s="155"/>
      <c r="R232" s="180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55"/>
      <c r="AE232" s="155"/>
    </row>
    <row r="233" spans="6:31" ht="15.75" customHeight="1" x14ac:dyDescent="0.25">
      <c r="F233" s="155"/>
      <c r="G233" s="155"/>
      <c r="H233" s="177"/>
      <c r="I233" s="155"/>
      <c r="J233" s="155"/>
      <c r="K233" s="155"/>
      <c r="L233" s="192"/>
      <c r="M233" s="155"/>
      <c r="N233" s="155"/>
      <c r="O233" s="155"/>
      <c r="P233" s="155"/>
      <c r="Q233" s="155"/>
      <c r="R233" s="180"/>
      <c r="S233" s="155"/>
      <c r="T233" s="155"/>
      <c r="U233" s="155"/>
      <c r="V233" s="155"/>
      <c r="W233" s="155"/>
      <c r="X233" s="155"/>
      <c r="Y233" s="155"/>
      <c r="Z233" s="155"/>
      <c r="AA233" s="155"/>
      <c r="AB233" s="155"/>
      <c r="AC233" s="155"/>
      <c r="AD233" s="155"/>
      <c r="AE233" s="155"/>
    </row>
    <row r="234" spans="6:31" ht="15.75" customHeight="1" x14ac:dyDescent="0.25">
      <c r="F234" s="155"/>
      <c r="G234" s="155"/>
      <c r="H234" s="177"/>
      <c r="I234" s="155"/>
      <c r="J234" s="155"/>
      <c r="K234" s="155"/>
      <c r="L234" s="192"/>
      <c r="M234" s="155"/>
      <c r="N234" s="155"/>
      <c r="O234" s="155"/>
      <c r="P234" s="155"/>
      <c r="Q234" s="155"/>
      <c r="R234" s="180"/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55"/>
      <c r="AE234" s="155"/>
    </row>
    <row r="235" spans="6:31" ht="15.75" customHeight="1" x14ac:dyDescent="0.25">
      <c r="F235" s="155"/>
      <c r="G235" s="155"/>
      <c r="H235" s="177"/>
      <c r="I235" s="155"/>
      <c r="J235" s="155"/>
      <c r="K235" s="155"/>
      <c r="L235" s="192"/>
      <c r="M235" s="155"/>
      <c r="N235" s="155"/>
      <c r="O235" s="155"/>
      <c r="P235" s="155"/>
      <c r="Q235" s="155"/>
      <c r="R235" s="180"/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155"/>
      <c r="AD235" s="155"/>
      <c r="AE235" s="155"/>
    </row>
    <row r="236" spans="6:31" ht="15.75" customHeight="1" x14ac:dyDescent="0.25">
      <c r="F236" s="155"/>
      <c r="G236" s="155"/>
      <c r="H236" s="177"/>
      <c r="I236" s="155"/>
      <c r="J236" s="155"/>
      <c r="K236" s="155"/>
      <c r="L236" s="192"/>
      <c r="M236" s="155"/>
      <c r="N236" s="155"/>
      <c r="O236" s="155"/>
      <c r="P236" s="155"/>
      <c r="Q236" s="155"/>
      <c r="R236" s="180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</row>
    <row r="237" spans="6:31" ht="15.75" customHeight="1" x14ac:dyDescent="0.25">
      <c r="F237" s="155"/>
      <c r="G237" s="155"/>
      <c r="H237" s="177"/>
      <c r="I237" s="155"/>
      <c r="J237" s="155"/>
      <c r="K237" s="155"/>
      <c r="L237" s="192"/>
      <c r="M237" s="155"/>
      <c r="N237" s="155"/>
      <c r="O237" s="155"/>
      <c r="P237" s="155"/>
      <c r="Q237" s="155"/>
      <c r="R237" s="180"/>
      <c r="S237" s="155"/>
      <c r="T237" s="155"/>
      <c r="U237" s="155"/>
      <c r="V237" s="155"/>
      <c r="W237" s="155"/>
      <c r="X237" s="155"/>
      <c r="Y237" s="155"/>
      <c r="Z237" s="155"/>
      <c r="AA237" s="155"/>
      <c r="AB237" s="155"/>
      <c r="AC237" s="155"/>
      <c r="AD237" s="155"/>
      <c r="AE237" s="155"/>
    </row>
    <row r="238" spans="6:31" ht="15.75" customHeight="1" x14ac:dyDescent="0.25">
      <c r="F238" s="155"/>
      <c r="G238" s="155"/>
      <c r="H238" s="177"/>
      <c r="I238" s="155"/>
      <c r="J238" s="155"/>
      <c r="K238" s="155"/>
      <c r="L238" s="192"/>
      <c r="M238" s="155"/>
      <c r="N238" s="155"/>
      <c r="O238" s="155"/>
      <c r="P238" s="155"/>
      <c r="Q238" s="155"/>
      <c r="R238" s="180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55"/>
      <c r="AE238" s="155"/>
    </row>
    <row r="239" spans="6:31" ht="15.75" customHeight="1" x14ac:dyDescent="0.25">
      <c r="F239" s="155"/>
      <c r="G239" s="155"/>
      <c r="H239" s="177"/>
      <c r="I239" s="155"/>
      <c r="J239" s="155"/>
      <c r="K239" s="155"/>
      <c r="L239" s="192"/>
      <c r="M239" s="155"/>
      <c r="N239" s="155"/>
      <c r="O239" s="155"/>
      <c r="P239" s="155"/>
      <c r="Q239" s="155"/>
      <c r="R239" s="180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55"/>
      <c r="AE239" s="155"/>
    </row>
    <row r="240" spans="6:31" ht="15.75" customHeight="1" x14ac:dyDescent="0.25">
      <c r="F240" s="155"/>
      <c r="G240" s="155"/>
      <c r="H240" s="177"/>
      <c r="I240" s="155"/>
      <c r="J240" s="155"/>
      <c r="K240" s="155"/>
      <c r="L240" s="192"/>
      <c r="M240" s="155"/>
      <c r="N240" s="155"/>
      <c r="O240" s="155"/>
      <c r="P240" s="155"/>
      <c r="Q240" s="155"/>
      <c r="R240" s="180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55"/>
      <c r="AE240" s="155"/>
    </row>
    <row r="241" spans="6:31" ht="15.75" customHeight="1" x14ac:dyDescent="0.25">
      <c r="F241" s="155"/>
      <c r="G241" s="155"/>
      <c r="H241" s="177"/>
      <c r="I241" s="155"/>
      <c r="J241" s="155"/>
      <c r="K241" s="155"/>
      <c r="L241" s="192"/>
      <c r="M241" s="155"/>
      <c r="N241" s="155"/>
      <c r="O241" s="155"/>
      <c r="P241" s="155"/>
      <c r="Q241" s="155"/>
      <c r="R241" s="180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  <c r="AD241" s="155"/>
      <c r="AE241" s="155"/>
    </row>
    <row r="242" spans="6:31" ht="15.75" customHeight="1" x14ac:dyDescent="0.25">
      <c r="F242" s="155"/>
      <c r="G242" s="155"/>
      <c r="H242" s="177"/>
      <c r="I242" s="155"/>
      <c r="J242" s="155"/>
      <c r="K242" s="155"/>
      <c r="L242" s="192"/>
      <c r="M242" s="155"/>
      <c r="N242" s="155"/>
      <c r="O242" s="155"/>
      <c r="P242" s="155"/>
      <c r="Q242" s="155"/>
      <c r="R242" s="180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55"/>
      <c r="AE242" s="155"/>
    </row>
    <row r="243" spans="6:31" ht="15.75" customHeight="1" x14ac:dyDescent="0.25">
      <c r="F243" s="155"/>
      <c r="G243" s="155"/>
      <c r="H243" s="177"/>
      <c r="I243" s="155"/>
      <c r="J243" s="155"/>
      <c r="K243" s="155"/>
      <c r="L243" s="192"/>
      <c r="M243" s="155"/>
      <c r="N243" s="155"/>
      <c r="O243" s="155"/>
      <c r="P243" s="155"/>
      <c r="Q243" s="155"/>
      <c r="R243" s="180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  <c r="AD243" s="155"/>
      <c r="AE243" s="155"/>
    </row>
    <row r="244" spans="6:31" ht="15.75" customHeight="1" x14ac:dyDescent="0.25">
      <c r="F244" s="155"/>
      <c r="G244" s="155"/>
      <c r="H244" s="177"/>
      <c r="I244" s="155"/>
      <c r="J244" s="155"/>
      <c r="K244" s="155"/>
      <c r="L244" s="192"/>
      <c r="M244" s="155"/>
      <c r="N244" s="155"/>
      <c r="O244" s="155"/>
      <c r="P244" s="155"/>
      <c r="Q244" s="155"/>
      <c r="R244" s="180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</row>
    <row r="245" spans="6:31" ht="15.75" customHeight="1" x14ac:dyDescent="0.25">
      <c r="F245" s="155"/>
      <c r="G245" s="155"/>
      <c r="H245" s="177"/>
      <c r="I245" s="155"/>
      <c r="J245" s="155"/>
      <c r="K245" s="155"/>
      <c r="L245" s="192"/>
      <c r="M245" s="155"/>
      <c r="N245" s="155"/>
      <c r="O245" s="155"/>
      <c r="P245" s="155"/>
      <c r="Q245" s="155"/>
      <c r="R245" s="180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155"/>
      <c r="AD245" s="155"/>
      <c r="AE245" s="155"/>
    </row>
    <row r="246" spans="6:31" ht="15.75" customHeight="1" x14ac:dyDescent="0.25">
      <c r="F246" s="155"/>
      <c r="G246" s="155"/>
      <c r="H246" s="177"/>
      <c r="I246" s="155"/>
      <c r="J246" s="155"/>
      <c r="K246" s="155"/>
      <c r="L246" s="192"/>
      <c r="M246" s="155"/>
      <c r="N246" s="155"/>
      <c r="O246" s="155"/>
      <c r="P246" s="155"/>
      <c r="Q246" s="155"/>
      <c r="R246" s="180"/>
      <c r="S246" s="155"/>
      <c r="T246" s="155"/>
      <c r="U246" s="155"/>
      <c r="V246" s="155"/>
      <c r="W246" s="155"/>
      <c r="X246" s="155"/>
      <c r="Y246" s="155"/>
      <c r="Z246" s="155"/>
      <c r="AA246" s="155"/>
      <c r="AB246" s="155"/>
      <c r="AC246" s="155"/>
      <c r="AD246" s="155"/>
      <c r="AE246" s="155"/>
    </row>
    <row r="247" spans="6:31" ht="15.75" customHeight="1" x14ac:dyDescent="0.25">
      <c r="F247" s="155"/>
      <c r="G247" s="155"/>
      <c r="H247" s="177"/>
      <c r="I247" s="155"/>
      <c r="J247" s="155"/>
      <c r="K247" s="155"/>
      <c r="L247" s="192"/>
      <c r="M247" s="155"/>
      <c r="N247" s="155"/>
      <c r="O247" s="155"/>
      <c r="P247" s="155"/>
      <c r="Q247" s="155"/>
      <c r="R247" s="180"/>
      <c r="S247" s="155"/>
      <c r="T247" s="155"/>
      <c r="U247" s="155"/>
      <c r="V247" s="155"/>
      <c r="W247" s="155"/>
      <c r="X247" s="155"/>
      <c r="Y247" s="155"/>
      <c r="Z247" s="155"/>
      <c r="AA247" s="155"/>
      <c r="AB247" s="155"/>
      <c r="AC247" s="155"/>
      <c r="AD247" s="155"/>
      <c r="AE247" s="155"/>
    </row>
    <row r="248" spans="6:31" ht="15.75" customHeight="1" x14ac:dyDescent="0.25">
      <c r="F248" s="155"/>
      <c r="G248" s="155"/>
      <c r="H248" s="177"/>
      <c r="I248" s="155"/>
      <c r="J248" s="155"/>
      <c r="K248" s="155"/>
      <c r="L248" s="192"/>
      <c r="M248" s="155"/>
      <c r="N248" s="155"/>
      <c r="O248" s="155"/>
      <c r="P248" s="155"/>
      <c r="Q248" s="155"/>
      <c r="R248" s="180"/>
      <c r="S248" s="155"/>
      <c r="T248" s="155"/>
      <c r="U248" s="155"/>
      <c r="V248" s="155"/>
      <c r="W248" s="155"/>
      <c r="X248" s="155"/>
      <c r="Y248" s="155"/>
      <c r="Z248" s="155"/>
      <c r="AA248" s="155"/>
      <c r="AB248" s="155"/>
      <c r="AC248" s="155"/>
      <c r="AD248" s="155"/>
      <c r="AE248" s="155"/>
    </row>
    <row r="249" spans="6:31" ht="15.75" customHeight="1" x14ac:dyDescent="0.25">
      <c r="F249" s="155"/>
      <c r="G249" s="155"/>
      <c r="H249" s="177"/>
      <c r="I249" s="155"/>
      <c r="J249" s="155"/>
      <c r="K249" s="155"/>
      <c r="L249" s="192"/>
      <c r="M249" s="155"/>
      <c r="N249" s="155"/>
      <c r="O249" s="155"/>
      <c r="P249" s="155"/>
      <c r="Q249" s="155"/>
      <c r="R249" s="180"/>
      <c r="S249" s="155"/>
      <c r="T249" s="155"/>
      <c r="U249" s="155"/>
      <c r="V249" s="155"/>
      <c r="W249" s="155"/>
      <c r="X249" s="155"/>
      <c r="Y249" s="155"/>
      <c r="Z249" s="155"/>
      <c r="AA249" s="155"/>
      <c r="AB249" s="155"/>
      <c r="AC249" s="155"/>
      <c r="AD249" s="155"/>
      <c r="AE249" s="155"/>
    </row>
    <row r="250" spans="6:31" ht="15.75" customHeight="1" x14ac:dyDescent="0.25">
      <c r="F250" s="155"/>
      <c r="G250" s="155"/>
      <c r="H250" s="177"/>
      <c r="I250" s="155"/>
      <c r="J250" s="155"/>
      <c r="K250" s="155"/>
      <c r="L250" s="192"/>
      <c r="M250" s="155"/>
      <c r="N250" s="155"/>
      <c r="O250" s="155"/>
      <c r="P250" s="155"/>
      <c r="Q250" s="155"/>
      <c r="R250" s="180"/>
      <c r="S250" s="155"/>
      <c r="T250" s="155"/>
      <c r="U250" s="155"/>
      <c r="V250" s="155"/>
      <c r="W250" s="155"/>
      <c r="X250" s="155"/>
      <c r="Y250" s="155"/>
      <c r="Z250" s="155"/>
      <c r="AA250" s="155"/>
      <c r="AB250" s="155"/>
      <c r="AC250" s="155"/>
      <c r="AD250" s="155"/>
      <c r="AE250" s="155"/>
    </row>
    <row r="251" spans="6:31" ht="15.75" customHeight="1" x14ac:dyDescent="0.25">
      <c r="F251" s="155"/>
      <c r="G251" s="155"/>
      <c r="H251" s="177"/>
      <c r="I251" s="155"/>
      <c r="J251" s="155"/>
      <c r="K251" s="155"/>
      <c r="L251" s="192"/>
      <c r="M251" s="155"/>
      <c r="N251" s="155"/>
      <c r="O251" s="155"/>
      <c r="P251" s="155"/>
      <c r="Q251" s="155"/>
      <c r="R251" s="180"/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155"/>
      <c r="AD251" s="155"/>
      <c r="AE251" s="155"/>
    </row>
    <row r="252" spans="6:31" ht="15.75" customHeight="1" x14ac:dyDescent="0.25">
      <c r="F252" s="155"/>
      <c r="G252" s="155"/>
      <c r="H252" s="177"/>
      <c r="I252" s="155"/>
      <c r="J252" s="155"/>
      <c r="K252" s="155"/>
      <c r="L252" s="192"/>
      <c r="M252" s="155"/>
      <c r="N252" s="155"/>
      <c r="O252" s="155"/>
      <c r="P252" s="155"/>
      <c r="Q252" s="155"/>
      <c r="R252" s="180"/>
      <c r="S252" s="155"/>
      <c r="T252" s="155"/>
      <c r="U252" s="155"/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</row>
    <row r="253" spans="6:31" ht="15.75" customHeight="1" x14ac:dyDescent="0.25">
      <c r="F253" s="155"/>
      <c r="G253" s="155"/>
      <c r="H253" s="177"/>
      <c r="I253" s="155"/>
      <c r="J253" s="155"/>
      <c r="K253" s="155"/>
      <c r="L253" s="192"/>
      <c r="M253" s="155"/>
      <c r="N253" s="155"/>
      <c r="O253" s="155"/>
      <c r="P253" s="155"/>
      <c r="Q253" s="155"/>
      <c r="R253" s="180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155"/>
      <c r="AD253" s="155"/>
      <c r="AE253" s="155"/>
    </row>
    <row r="254" spans="6:31" ht="15.75" customHeight="1" x14ac:dyDescent="0.25">
      <c r="F254" s="155"/>
      <c r="G254" s="155"/>
      <c r="H254" s="177"/>
      <c r="I254" s="155"/>
      <c r="J254" s="155"/>
      <c r="K254" s="155"/>
      <c r="L254" s="192"/>
      <c r="M254" s="155"/>
      <c r="N254" s="155"/>
      <c r="O254" s="155"/>
      <c r="P254" s="155"/>
      <c r="Q254" s="155"/>
      <c r="R254" s="180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155"/>
      <c r="AD254" s="155"/>
      <c r="AE254" s="155"/>
    </row>
    <row r="255" spans="6:31" ht="15.75" customHeight="1" x14ac:dyDescent="0.25">
      <c r="F255" s="155"/>
      <c r="G255" s="155"/>
      <c r="H255" s="177"/>
      <c r="I255" s="155"/>
      <c r="J255" s="155"/>
      <c r="K255" s="155"/>
      <c r="L255" s="192"/>
      <c r="M255" s="155"/>
      <c r="N255" s="155"/>
      <c r="O255" s="155"/>
      <c r="P255" s="155"/>
      <c r="Q255" s="155"/>
      <c r="R255" s="180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155"/>
      <c r="AD255" s="155"/>
      <c r="AE255" s="155"/>
    </row>
    <row r="256" spans="6:31" ht="15.75" customHeight="1" x14ac:dyDescent="0.25">
      <c r="F256" s="155"/>
      <c r="G256" s="155"/>
      <c r="H256" s="177"/>
      <c r="I256" s="155"/>
      <c r="J256" s="155"/>
      <c r="K256" s="155"/>
      <c r="L256" s="192"/>
      <c r="M256" s="155"/>
      <c r="N256" s="155"/>
      <c r="O256" s="155"/>
      <c r="P256" s="155"/>
      <c r="Q256" s="155"/>
      <c r="R256" s="180"/>
      <c r="S256" s="155"/>
      <c r="T256" s="155"/>
      <c r="U256" s="155"/>
      <c r="V256" s="155"/>
      <c r="W256" s="155"/>
      <c r="X256" s="155"/>
      <c r="Y256" s="155"/>
      <c r="Z256" s="155"/>
      <c r="AA256" s="155"/>
      <c r="AB256" s="155"/>
      <c r="AC256" s="155"/>
      <c r="AD256" s="155"/>
      <c r="AE256" s="155"/>
    </row>
    <row r="257" spans="6:31" ht="15.75" customHeight="1" x14ac:dyDescent="0.25">
      <c r="F257" s="155"/>
      <c r="G257" s="155"/>
      <c r="H257" s="177"/>
      <c r="I257" s="155"/>
      <c r="J257" s="155"/>
      <c r="K257" s="155"/>
      <c r="L257" s="192"/>
      <c r="M257" s="155"/>
      <c r="N257" s="155"/>
      <c r="O257" s="155"/>
      <c r="P257" s="155"/>
      <c r="Q257" s="155"/>
      <c r="R257" s="180"/>
      <c r="S257" s="155"/>
      <c r="T257" s="155"/>
      <c r="U257" s="155"/>
      <c r="V257" s="155"/>
      <c r="W257" s="155"/>
      <c r="X257" s="155"/>
      <c r="Y257" s="155"/>
      <c r="Z257" s="155"/>
      <c r="AA257" s="155"/>
      <c r="AB257" s="155"/>
      <c r="AC257" s="155"/>
      <c r="AD257" s="155"/>
      <c r="AE257" s="155"/>
    </row>
    <row r="258" spans="6:31" ht="15.75" customHeight="1" x14ac:dyDescent="0.25">
      <c r="F258" s="155"/>
      <c r="G258" s="155"/>
      <c r="H258" s="177"/>
      <c r="I258" s="155"/>
      <c r="J258" s="155"/>
      <c r="K258" s="155"/>
      <c r="L258" s="192"/>
      <c r="M258" s="155"/>
      <c r="N258" s="155"/>
      <c r="O258" s="155"/>
      <c r="P258" s="155"/>
      <c r="Q258" s="155"/>
      <c r="R258" s="180"/>
      <c r="S258" s="155"/>
      <c r="T258" s="155"/>
      <c r="U258" s="155"/>
      <c r="V258" s="155"/>
      <c r="W258" s="155"/>
      <c r="X258" s="155"/>
      <c r="Y258" s="155"/>
      <c r="Z258" s="155"/>
      <c r="AA258" s="155"/>
      <c r="AB258" s="155"/>
      <c r="AC258" s="155"/>
      <c r="AD258" s="155"/>
      <c r="AE258" s="155"/>
    </row>
    <row r="259" spans="6:31" ht="15.75" customHeight="1" x14ac:dyDescent="0.25">
      <c r="F259" s="155"/>
      <c r="G259" s="155"/>
      <c r="H259" s="177"/>
      <c r="I259" s="155"/>
      <c r="J259" s="155"/>
      <c r="K259" s="155"/>
      <c r="L259" s="192"/>
      <c r="M259" s="155"/>
      <c r="N259" s="155"/>
      <c r="O259" s="155"/>
      <c r="P259" s="155"/>
      <c r="Q259" s="155"/>
      <c r="R259" s="180"/>
      <c r="S259" s="155"/>
      <c r="T259" s="155"/>
      <c r="U259" s="155"/>
      <c r="V259" s="155"/>
      <c r="W259" s="155"/>
      <c r="X259" s="155"/>
      <c r="Y259" s="155"/>
      <c r="Z259" s="155"/>
      <c r="AA259" s="155"/>
      <c r="AB259" s="155"/>
      <c r="AC259" s="155"/>
      <c r="AD259" s="155"/>
      <c r="AE259" s="155"/>
    </row>
    <row r="260" spans="6:31" ht="15.75" customHeight="1" x14ac:dyDescent="0.25">
      <c r="F260" s="155"/>
      <c r="G260" s="155"/>
      <c r="H260" s="177"/>
      <c r="I260" s="155"/>
      <c r="J260" s="155"/>
      <c r="K260" s="155"/>
      <c r="L260" s="192"/>
      <c r="M260" s="155"/>
      <c r="N260" s="155"/>
      <c r="O260" s="155"/>
      <c r="P260" s="155"/>
      <c r="Q260" s="155"/>
      <c r="R260" s="180"/>
      <c r="S260" s="155"/>
      <c r="T260" s="155"/>
      <c r="U260" s="155"/>
      <c r="V260" s="155"/>
      <c r="W260" s="155"/>
      <c r="X260" s="155"/>
      <c r="Y260" s="155"/>
      <c r="Z260" s="155"/>
      <c r="AA260" s="155"/>
      <c r="AB260" s="155"/>
      <c r="AC260" s="155"/>
      <c r="AD260" s="155"/>
      <c r="AE260" s="155"/>
    </row>
    <row r="261" spans="6:31" ht="15.75" customHeight="1" x14ac:dyDescent="0.25">
      <c r="F261" s="155"/>
      <c r="G261" s="155"/>
      <c r="H261" s="177"/>
      <c r="I261" s="155"/>
      <c r="J261" s="155"/>
      <c r="K261" s="155"/>
      <c r="L261" s="192"/>
      <c r="M261" s="155"/>
      <c r="N261" s="155"/>
      <c r="O261" s="155"/>
      <c r="P261" s="155"/>
      <c r="Q261" s="155"/>
      <c r="R261" s="180"/>
      <c r="S261" s="155"/>
      <c r="T261" s="155"/>
      <c r="U261" s="155"/>
      <c r="V261" s="155"/>
      <c r="W261" s="155"/>
      <c r="X261" s="155"/>
      <c r="Y261" s="155"/>
      <c r="Z261" s="155"/>
      <c r="AA261" s="155"/>
      <c r="AB261" s="155"/>
      <c r="AC261" s="155"/>
      <c r="AD261" s="155"/>
      <c r="AE261" s="155"/>
    </row>
    <row r="262" spans="6:31" ht="15.75" customHeight="1" x14ac:dyDescent="0.25">
      <c r="F262" s="155"/>
      <c r="G262" s="155"/>
      <c r="H262" s="177"/>
      <c r="I262" s="155"/>
      <c r="J262" s="155"/>
      <c r="K262" s="155"/>
      <c r="L262" s="192"/>
      <c r="M262" s="155"/>
      <c r="N262" s="155"/>
      <c r="O262" s="155"/>
      <c r="P262" s="155"/>
      <c r="Q262" s="155"/>
      <c r="R262" s="180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155"/>
      <c r="AD262" s="155"/>
      <c r="AE262" s="155"/>
    </row>
    <row r="263" spans="6:31" ht="15.75" customHeight="1" x14ac:dyDescent="0.25">
      <c r="F263" s="155"/>
      <c r="G263" s="155"/>
      <c r="H263" s="177"/>
      <c r="I263" s="155"/>
      <c r="J263" s="155"/>
      <c r="K263" s="155"/>
      <c r="L263" s="192"/>
      <c r="M263" s="155"/>
      <c r="N263" s="155"/>
      <c r="O263" s="155"/>
      <c r="P263" s="155"/>
      <c r="Q263" s="155"/>
      <c r="R263" s="180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155"/>
      <c r="AD263" s="155"/>
      <c r="AE263" s="155"/>
    </row>
    <row r="264" spans="6:31" ht="15.75" customHeight="1" x14ac:dyDescent="0.25">
      <c r="F264" s="155"/>
      <c r="G264" s="155"/>
      <c r="H264" s="177"/>
      <c r="I264" s="155"/>
      <c r="J264" s="155"/>
      <c r="K264" s="155"/>
      <c r="L264" s="192"/>
      <c r="M264" s="155"/>
      <c r="N264" s="155"/>
      <c r="O264" s="155"/>
      <c r="P264" s="155"/>
      <c r="Q264" s="155"/>
      <c r="R264" s="180"/>
      <c r="S264" s="155"/>
      <c r="T264" s="155"/>
      <c r="U264" s="155"/>
      <c r="V264" s="155"/>
      <c r="W264" s="155"/>
      <c r="X264" s="155"/>
      <c r="Y264" s="155"/>
      <c r="Z264" s="155"/>
      <c r="AA264" s="155"/>
      <c r="AB264" s="155"/>
      <c r="AC264" s="155"/>
      <c r="AD264" s="155"/>
      <c r="AE264" s="155"/>
    </row>
    <row r="265" spans="6:31" ht="15.75" customHeight="1" x14ac:dyDescent="0.25">
      <c r="F265" s="155"/>
      <c r="G265" s="155"/>
      <c r="H265" s="177"/>
      <c r="I265" s="155"/>
      <c r="J265" s="155"/>
      <c r="K265" s="155"/>
      <c r="L265" s="192"/>
      <c r="M265" s="155"/>
      <c r="N265" s="155"/>
      <c r="O265" s="155"/>
      <c r="P265" s="155"/>
      <c r="Q265" s="155"/>
      <c r="R265" s="180"/>
      <c r="S265" s="155"/>
      <c r="T265" s="155"/>
      <c r="U265" s="155"/>
      <c r="V265" s="155"/>
      <c r="W265" s="155"/>
      <c r="X265" s="155"/>
      <c r="Y265" s="155"/>
      <c r="Z265" s="155"/>
      <c r="AA265" s="155"/>
      <c r="AB265" s="155"/>
      <c r="AC265" s="155"/>
      <c r="AD265" s="155"/>
      <c r="AE265" s="155"/>
    </row>
    <row r="266" spans="6:31" ht="15.75" customHeight="1" x14ac:dyDescent="0.25">
      <c r="F266" s="155"/>
      <c r="G266" s="155"/>
      <c r="H266" s="177"/>
      <c r="I266" s="155"/>
      <c r="J266" s="155"/>
      <c r="K266" s="155"/>
      <c r="L266" s="192"/>
      <c r="M266" s="155"/>
      <c r="N266" s="155"/>
      <c r="O266" s="155"/>
      <c r="P266" s="155"/>
      <c r="Q266" s="155"/>
      <c r="R266" s="180"/>
      <c r="S266" s="155"/>
      <c r="T266" s="155"/>
      <c r="U266" s="155"/>
      <c r="V266" s="155"/>
      <c r="W266" s="155"/>
      <c r="X266" s="155"/>
      <c r="Y266" s="155"/>
      <c r="Z266" s="155"/>
      <c r="AA266" s="155"/>
      <c r="AB266" s="155"/>
      <c r="AC266" s="155"/>
      <c r="AD266" s="155"/>
      <c r="AE266" s="155"/>
    </row>
    <row r="267" spans="6:31" ht="15.75" customHeight="1" x14ac:dyDescent="0.25">
      <c r="F267" s="155"/>
      <c r="G267" s="155"/>
      <c r="H267" s="177"/>
      <c r="I267" s="155"/>
      <c r="J267" s="155"/>
      <c r="K267" s="155"/>
      <c r="L267" s="192"/>
      <c r="M267" s="155"/>
      <c r="N267" s="155"/>
      <c r="O267" s="155"/>
      <c r="P267" s="155"/>
      <c r="Q267" s="155"/>
      <c r="R267" s="180"/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155"/>
      <c r="AD267" s="155"/>
      <c r="AE267" s="155"/>
    </row>
    <row r="268" spans="6:31" ht="15.75" customHeight="1" x14ac:dyDescent="0.25">
      <c r="F268" s="155"/>
      <c r="G268" s="155"/>
      <c r="H268" s="177"/>
      <c r="I268" s="155"/>
      <c r="J268" s="155"/>
      <c r="K268" s="155"/>
      <c r="L268" s="192"/>
      <c r="M268" s="155"/>
      <c r="N268" s="155"/>
      <c r="O268" s="155"/>
      <c r="P268" s="155"/>
      <c r="Q268" s="155"/>
      <c r="R268" s="180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155"/>
      <c r="AD268" s="155"/>
      <c r="AE268" s="155"/>
    </row>
    <row r="269" spans="6:31" ht="15.75" customHeight="1" x14ac:dyDescent="0.25">
      <c r="F269" s="155"/>
      <c r="G269" s="155"/>
      <c r="H269" s="177"/>
      <c r="I269" s="155"/>
      <c r="J269" s="155"/>
      <c r="K269" s="155"/>
      <c r="L269" s="192"/>
      <c r="M269" s="155"/>
      <c r="N269" s="155"/>
      <c r="O269" s="155"/>
      <c r="P269" s="155"/>
      <c r="Q269" s="155"/>
      <c r="R269" s="180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5"/>
      <c r="AD269" s="155"/>
      <c r="AE269" s="155"/>
    </row>
    <row r="270" spans="6:31" ht="15.75" customHeight="1" x14ac:dyDescent="0.25">
      <c r="F270" s="155"/>
      <c r="G270" s="155"/>
      <c r="H270" s="177"/>
      <c r="I270" s="155"/>
      <c r="J270" s="155"/>
      <c r="K270" s="155"/>
      <c r="L270" s="192"/>
      <c r="M270" s="155"/>
      <c r="N270" s="155"/>
      <c r="O270" s="155"/>
      <c r="P270" s="155"/>
      <c r="Q270" s="155"/>
      <c r="R270" s="180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  <c r="AD270" s="155"/>
      <c r="AE270" s="155"/>
    </row>
    <row r="271" spans="6:31" ht="15.75" customHeight="1" x14ac:dyDescent="0.25">
      <c r="F271" s="155"/>
      <c r="G271" s="155"/>
      <c r="H271" s="177"/>
      <c r="I271" s="155"/>
      <c r="J271" s="155"/>
      <c r="K271" s="155"/>
      <c r="L271" s="192"/>
      <c r="M271" s="155"/>
      <c r="N271" s="155"/>
      <c r="O271" s="155"/>
      <c r="P271" s="155"/>
      <c r="Q271" s="155"/>
      <c r="R271" s="180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155"/>
      <c r="AD271" s="155"/>
      <c r="AE271" s="155"/>
    </row>
    <row r="272" spans="6:31" ht="15.75" customHeight="1" x14ac:dyDescent="0.25">
      <c r="F272" s="155"/>
      <c r="G272" s="155"/>
      <c r="H272" s="177"/>
      <c r="I272" s="155"/>
      <c r="J272" s="155"/>
      <c r="K272" s="155"/>
      <c r="L272" s="192"/>
      <c r="M272" s="155"/>
      <c r="N272" s="155"/>
      <c r="O272" s="155"/>
      <c r="P272" s="155"/>
      <c r="Q272" s="155"/>
      <c r="R272" s="180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155"/>
      <c r="AD272" s="155"/>
      <c r="AE272" s="155"/>
    </row>
    <row r="273" spans="6:31" ht="15.75" customHeight="1" x14ac:dyDescent="0.25">
      <c r="F273" s="155"/>
      <c r="G273" s="155"/>
      <c r="H273" s="177"/>
      <c r="I273" s="155"/>
      <c r="J273" s="155"/>
      <c r="K273" s="155"/>
      <c r="L273" s="192"/>
      <c r="M273" s="155"/>
      <c r="N273" s="155"/>
      <c r="O273" s="155"/>
      <c r="P273" s="155"/>
      <c r="Q273" s="155"/>
      <c r="R273" s="180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  <c r="AD273" s="155"/>
      <c r="AE273" s="155"/>
    </row>
    <row r="274" spans="6:31" ht="15.75" customHeight="1" x14ac:dyDescent="0.25">
      <c r="F274" s="155"/>
      <c r="G274" s="155"/>
      <c r="H274" s="177"/>
      <c r="I274" s="155"/>
      <c r="J274" s="155"/>
      <c r="K274" s="155"/>
      <c r="L274" s="192"/>
      <c r="M274" s="155"/>
      <c r="N274" s="155"/>
      <c r="O274" s="155"/>
      <c r="P274" s="155"/>
      <c r="Q274" s="155"/>
      <c r="R274" s="180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/>
      <c r="AD274" s="155"/>
      <c r="AE274" s="155"/>
    </row>
    <row r="275" spans="6:31" ht="15.75" customHeight="1" x14ac:dyDescent="0.25">
      <c r="F275" s="155"/>
      <c r="G275" s="155"/>
      <c r="H275" s="177"/>
      <c r="I275" s="155"/>
      <c r="J275" s="155"/>
      <c r="K275" s="155"/>
      <c r="L275" s="192"/>
      <c r="M275" s="155"/>
      <c r="N275" s="155"/>
      <c r="O275" s="155"/>
      <c r="P275" s="155"/>
      <c r="Q275" s="155"/>
      <c r="R275" s="180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  <c r="AD275" s="155"/>
      <c r="AE275" s="155"/>
    </row>
    <row r="276" spans="6:31" ht="15.75" customHeight="1" x14ac:dyDescent="0.25">
      <c r="F276" s="155"/>
      <c r="G276" s="155"/>
      <c r="H276" s="177"/>
      <c r="I276" s="155"/>
      <c r="J276" s="155"/>
      <c r="K276" s="155"/>
      <c r="L276" s="192"/>
      <c r="M276" s="155"/>
      <c r="N276" s="155"/>
      <c r="O276" s="155"/>
      <c r="P276" s="155"/>
      <c r="Q276" s="155"/>
      <c r="R276" s="180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155"/>
      <c r="AD276" s="155"/>
      <c r="AE276" s="155"/>
    </row>
    <row r="277" spans="6:31" ht="15.75" customHeight="1" x14ac:dyDescent="0.25">
      <c r="F277" s="155"/>
      <c r="G277" s="155"/>
      <c r="H277" s="177"/>
      <c r="I277" s="155"/>
      <c r="J277" s="155"/>
      <c r="K277" s="155"/>
      <c r="L277" s="192"/>
      <c r="M277" s="155"/>
      <c r="N277" s="155"/>
      <c r="O277" s="155"/>
      <c r="P277" s="155"/>
      <c r="Q277" s="155"/>
      <c r="R277" s="180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  <c r="AD277" s="155"/>
      <c r="AE277" s="155"/>
    </row>
    <row r="278" spans="6:31" ht="15.75" customHeight="1" x14ac:dyDescent="0.25">
      <c r="F278" s="155"/>
      <c r="G278" s="155"/>
      <c r="H278" s="177"/>
      <c r="I278" s="155"/>
      <c r="J278" s="155"/>
      <c r="K278" s="155"/>
      <c r="L278" s="192"/>
      <c r="M278" s="155"/>
      <c r="N278" s="155"/>
      <c r="O278" s="155"/>
      <c r="P278" s="155"/>
      <c r="Q278" s="155"/>
      <c r="R278" s="180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  <c r="AD278" s="155"/>
      <c r="AE278" s="155"/>
    </row>
    <row r="279" spans="6:31" ht="15.75" customHeight="1" x14ac:dyDescent="0.25">
      <c r="F279" s="155"/>
      <c r="G279" s="155"/>
      <c r="H279" s="177"/>
      <c r="I279" s="155"/>
      <c r="J279" s="155"/>
      <c r="K279" s="155"/>
      <c r="L279" s="192"/>
      <c r="M279" s="155"/>
      <c r="N279" s="155"/>
      <c r="O279" s="155"/>
      <c r="P279" s="155"/>
      <c r="Q279" s="155"/>
      <c r="R279" s="180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155"/>
      <c r="AD279" s="155"/>
      <c r="AE279" s="155"/>
    </row>
    <row r="280" spans="6:31" ht="15.75" customHeight="1" x14ac:dyDescent="0.25"/>
    <row r="281" spans="6:31" ht="15.75" customHeight="1" x14ac:dyDescent="0.25"/>
    <row r="282" spans="6:31" ht="15.75" customHeight="1" x14ac:dyDescent="0.25"/>
    <row r="283" spans="6:31" ht="15.75" customHeight="1" x14ac:dyDescent="0.25"/>
    <row r="284" spans="6:31" ht="15.75" customHeight="1" x14ac:dyDescent="0.25"/>
    <row r="285" spans="6:31" ht="15.75" customHeight="1" x14ac:dyDescent="0.25"/>
    <row r="286" spans="6:31" ht="15.75" customHeight="1" x14ac:dyDescent="0.25"/>
    <row r="287" spans="6:31" ht="15.75" customHeight="1" x14ac:dyDescent="0.25"/>
    <row r="288" spans="6:3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I27 I29:I31">
    <cfRule type="notContainsBlanks" dxfId="2" priority="1">
      <formula>LEN(TRIM(I27))&gt;0</formula>
    </cfRule>
  </conditionalFormatting>
  <conditionalFormatting sqref="L9:L54">
    <cfRule type="expression" dxfId="1" priority="2">
      <formula>$I9&lt;$L9</formula>
    </cfRule>
    <cfRule type="expression" dxfId="0" priority="3">
      <formula>$I9&gt;$L9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4.42578125" defaultRowHeight="15" customHeight="1" x14ac:dyDescent="0.25"/>
  <cols>
    <col min="1" max="1" width="15.5703125" customWidth="1"/>
    <col min="2" max="2" width="77.140625" customWidth="1"/>
    <col min="3" max="3" width="16.140625" customWidth="1"/>
    <col min="4" max="4" width="22.140625" customWidth="1"/>
    <col min="5" max="12" width="8.7109375" customWidth="1"/>
  </cols>
  <sheetData>
    <row r="1" spans="1:11" ht="14.25" customHeight="1" x14ac:dyDescent="0.25">
      <c r="A1" s="194" t="s">
        <v>177</v>
      </c>
      <c r="C1" s="155" t="s">
        <v>178</v>
      </c>
    </row>
    <row r="2" spans="1:11" ht="14.25" customHeight="1" x14ac:dyDescent="0.25">
      <c r="A2" s="194" t="s">
        <v>179</v>
      </c>
      <c r="C2" s="195"/>
      <c r="H2" s="196"/>
    </row>
    <row r="3" spans="1:11" ht="14.25" customHeight="1" x14ac:dyDescent="0.25">
      <c r="A3" s="194" t="s">
        <v>180</v>
      </c>
      <c r="B3" s="194">
        <v>-550</v>
      </c>
      <c r="C3" s="195"/>
      <c r="H3" s="196"/>
    </row>
    <row r="4" spans="1:11" ht="14.25" customHeight="1" x14ac:dyDescent="0.25">
      <c r="A4" s="194" t="s">
        <v>181</v>
      </c>
      <c r="B4" s="194">
        <f>(-K15)</f>
        <v>0</v>
      </c>
      <c r="C4" s="195"/>
      <c r="H4" s="196"/>
    </row>
    <row r="5" spans="1:11" ht="14.25" customHeight="1" x14ac:dyDescent="0.25">
      <c r="A5" s="194" t="s">
        <v>182</v>
      </c>
      <c r="B5" s="194">
        <v>-30</v>
      </c>
      <c r="C5" s="195"/>
      <c r="H5" s="196"/>
    </row>
    <row r="6" spans="1:11" ht="14.25" customHeight="1" x14ac:dyDescent="0.25">
      <c r="C6" s="155"/>
    </row>
    <row r="7" spans="1:11" ht="14.25" customHeight="1" x14ac:dyDescent="0.25">
      <c r="A7" s="194" t="s">
        <v>90</v>
      </c>
      <c r="B7" s="194">
        <v>-120</v>
      </c>
      <c r="C7" s="155" t="s">
        <v>183</v>
      </c>
      <c r="D7" s="194" t="s">
        <v>184</v>
      </c>
    </row>
    <row r="8" spans="1:11" ht="14.25" customHeight="1" x14ac:dyDescent="0.25">
      <c r="A8" s="197">
        <v>45314</v>
      </c>
      <c r="B8" s="194" t="s">
        <v>185</v>
      </c>
      <c r="C8" s="155">
        <v>2280.8000000000002</v>
      </c>
      <c r="D8" s="196"/>
      <c r="F8" s="197"/>
      <c r="I8" s="196"/>
    </row>
    <row r="9" spans="1:11" ht="14.25" customHeight="1" x14ac:dyDescent="0.25">
      <c r="A9" s="197">
        <v>45302</v>
      </c>
      <c r="B9" s="194" t="s">
        <v>185</v>
      </c>
      <c r="C9" s="155">
        <v>2280.8000000000002</v>
      </c>
      <c r="D9" s="196"/>
      <c r="F9" s="197"/>
      <c r="I9" s="196"/>
    </row>
    <row r="10" spans="1:11" ht="14.25" customHeight="1" x14ac:dyDescent="0.25">
      <c r="A10" s="197">
        <v>45303</v>
      </c>
      <c r="B10" s="194" t="s">
        <v>186</v>
      </c>
      <c r="C10" s="155">
        <v>160</v>
      </c>
      <c r="D10" s="196"/>
      <c r="F10" s="197"/>
      <c r="I10" s="196"/>
    </row>
    <row r="11" spans="1:11" ht="14.25" customHeight="1" x14ac:dyDescent="0.25">
      <c r="A11" s="197">
        <v>45296</v>
      </c>
      <c r="B11" s="194" t="s">
        <v>187</v>
      </c>
      <c r="C11" s="155">
        <v>325</v>
      </c>
      <c r="D11" s="196"/>
      <c r="F11" s="197"/>
      <c r="I11" s="196"/>
    </row>
    <row r="12" spans="1:11" ht="14.25" customHeight="1" x14ac:dyDescent="0.25">
      <c r="A12" s="197">
        <v>45296</v>
      </c>
      <c r="B12" s="194" t="s">
        <v>188</v>
      </c>
      <c r="C12" s="195">
        <v>360.01</v>
      </c>
      <c r="D12" s="196"/>
      <c r="F12" s="197"/>
      <c r="H12" s="196"/>
      <c r="I12" s="196"/>
    </row>
    <row r="13" spans="1:11" ht="14.25" customHeight="1" x14ac:dyDescent="0.25">
      <c r="A13" s="197"/>
      <c r="B13" s="194"/>
      <c r="C13" s="198">
        <f>SUM(C8:C12)</f>
        <v>5406.6100000000006</v>
      </c>
      <c r="D13" s="196"/>
      <c r="F13" s="197"/>
      <c r="I13" s="196"/>
    </row>
    <row r="14" spans="1:11" ht="14.25" customHeight="1" x14ac:dyDescent="0.25">
      <c r="A14" s="197"/>
      <c r="B14" s="194"/>
      <c r="C14" s="195"/>
      <c r="D14" s="196"/>
      <c r="F14" s="197"/>
      <c r="H14" s="196"/>
      <c r="I14" s="196"/>
      <c r="K14" s="194">
        <f>SUM(K13+K9+K5)</f>
        <v>0</v>
      </c>
    </row>
    <row r="15" spans="1:11" ht="14.25" customHeight="1" x14ac:dyDescent="0.25">
      <c r="A15" s="197"/>
      <c r="B15" s="194"/>
      <c r="C15" s="155"/>
      <c r="D15" s="196"/>
      <c r="F15" s="197"/>
      <c r="I15" s="196"/>
      <c r="K15" s="194">
        <f>(K14/3)</f>
        <v>0</v>
      </c>
    </row>
    <row r="16" spans="1:11" ht="14.25" customHeight="1" x14ac:dyDescent="0.25">
      <c r="A16" s="197"/>
      <c r="B16" s="194"/>
      <c r="C16" s="155"/>
      <c r="D16" s="196"/>
      <c r="F16" s="197"/>
      <c r="I16" s="196"/>
      <c r="K16" s="194">
        <f>F20+N13+F21-550-L5</f>
        <v>-550</v>
      </c>
    </row>
    <row r="17" spans="1:12" ht="14.25" customHeight="1" x14ac:dyDescent="0.25">
      <c r="A17" s="197"/>
      <c r="B17" s="194"/>
      <c r="C17" s="195"/>
      <c r="D17" s="196"/>
      <c r="F17" s="197"/>
      <c r="H17" s="196"/>
      <c r="I17" s="196"/>
    </row>
    <row r="18" spans="1:12" ht="14.25" customHeight="1" x14ac:dyDescent="0.25">
      <c r="A18" s="197"/>
      <c r="B18" s="194"/>
      <c r="C18" s="155"/>
      <c r="D18" s="196"/>
      <c r="F18" s="197"/>
      <c r="I18" s="196"/>
    </row>
    <row r="19" spans="1:12" ht="14.25" customHeight="1" x14ac:dyDescent="0.25">
      <c r="A19" s="197"/>
      <c r="B19" s="194"/>
      <c r="C19" s="155"/>
      <c r="D19" s="196"/>
      <c r="F19" s="197"/>
      <c r="I19" s="196"/>
    </row>
    <row r="20" spans="1:12" ht="14.25" customHeight="1" x14ac:dyDescent="0.25">
      <c r="A20" s="197"/>
      <c r="B20" s="194"/>
      <c r="C20" s="155"/>
      <c r="D20" s="196"/>
      <c r="F20" s="197"/>
      <c r="I20" s="196"/>
    </row>
    <row r="21" spans="1:12" ht="14.25" customHeight="1" x14ac:dyDescent="0.25">
      <c r="A21" s="197"/>
      <c r="B21" s="194"/>
      <c r="C21" s="155"/>
      <c r="D21" s="196"/>
      <c r="F21" s="197"/>
      <c r="G21" s="194" t="s">
        <v>18</v>
      </c>
      <c r="I21" s="196"/>
    </row>
    <row r="22" spans="1:12" ht="14.25" customHeight="1" x14ac:dyDescent="0.25">
      <c r="A22" s="197"/>
      <c r="B22" s="194"/>
      <c r="C22" s="155"/>
      <c r="D22" s="196"/>
      <c r="F22" s="197"/>
      <c r="I22" s="196"/>
    </row>
    <row r="23" spans="1:12" ht="14.25" customHeight="1" x14ac:dyDescent="0.25">
      <c r="A23" s="197"/>
      <c r="B23" s="197"/>
      <c r="C23" s="197"/>
      <c r="D23" s="197"/>
      <c r="E23" s="197">
        <v>45047</v>
      </c>
      <c r="F23" s="197">
        <v>45078</v>
      </c>
      <c r="G23" s="197">
        <v>45108</v>
      </c>
      <c r="H23" s="197">
        <v>45139</v>
      </c>
      <c r="I23" s="197">
        <v>45170</v>
      </c>
      <c r="J23" s="197">
        <v>45200</v>
      </c>
      <c r="K23" s="197">
        <v>45231</v>
      </c>
      <c r="L23" s="197">
        <v>45261</v>
      </c>
    </row>
    <row r="24" spans="1:12" ht="14.25" customHeight="1" x14ac:dyDescent="0.25">
      <c r="A24" s="197"/>
      <c r="C24" s="155"/>
      <c r="D24" s="196"/>
      <c r="F24" s="197"/>
      <c r="I24" s="196"/>
    </row>
    <row r="25" spans="1:12" ht="14.25" customHeight="1" x14ac:dyDescent="0.25">
      <c r="A25" s="197"/>
      <c r="B25" s="194"/>
      <c r="C25" s="155"/>
      <c r="D25" s="196"/>
      <c r="F25" s="197"/>
      <c r="I25" s="196"/>
    </row>
    <row r="26" spans="1:12" ht="14.25" customHeight="1" x14ac:dyDescent="0.25">
      <c r="A26" s="197"/>
      <c r="B26" s="194"/>
      <c r="C26" s="155"/>
      <c r="D26" s="196"/>
      <c r="F26" s="197"/>
      <c r="I26" s="196"/>
    </row>
    <row r="27" spans="1:12" ht="14.25" customHeight="1" x14ac:dyDescent="0.25">
      <c r="A27" s="197"/>
      <c r="B27" s="194"/>
      <c r="C27" s="195"/>
      <c r="D27" s="196"/>
      <c r="F27" s="197"/>
      <c r="H27" s="196"/>
      <c r="I27" s="196"/>
    </row>
    <row r="28" spans="1:12" ht="14.25" customHeight="1" x14ac:dyDescent="0.25">
      <c r="A28" s="197"/>
      <c r="B28" s="194"/>
      <c r="C28" s="155"/>
      <c r="D28" s="196"/>
      <c r="F28" s="197"/>
      <c r="I28" s="196"/>
    </row>
    <row r="29" spans="1:12" ht="14.25" customHeight="1" x14ac:dyDescent="0.25">
      <c r="A29" s="197"/>
      <c r="B29" s="194"/>
      <c r="C29" s="195"/>
      <c r="D29" s="196"/>
      <c r="F29" s="197"/>
      <c r="H29" s="196"/>
      <c r="I29" s="196"/>
    </row>
    <row r="30" spans="1:12" ht="14.25" customHeight="1" x14ac:dyDescent="0.25">
      <c r="C30" s="155"/>
    </row>
    <row r="31" spans="1:12" ht="14.25" customHeight="1" x14ac:dyDescent="0.25">
      <c r="B31" s="194" t="s">
        <v>189</v>
      </c>
      <c r="C31" s="194">
        <v>228</v>
      </c>
    </row>
    <row r="32" spans="1:12" ht="14.25" customHeight="1" x14ac:dyDescent="0.25">
      <c r="C32" s="199"/>
    </row>
    <row r="33" spans="3:3" ht="14.25" customHeight="1" x14ac:dyDescent="0.25">
      <c r="C33" s="155"/>
    </row>
    <row r="34" spans="3:3" ht="14.25" customHeight="1" x14ac:dyDescent="0.25">
      <c r="C34" s="155"/>
    </row>
    <row r="35" spans="3:3" ht="14.25" customHeight="1" x14ac:dyDescent="0.25">
      <c r="C35" s="155">
        <v>1457.46</v>
      </c>
    </row>
    <row r="36" spans="3:3" ht="14.25" customHeight="1" x14ac:dyDescent="0.25">
      <c r="C36" s="155">
        <v>6.29</v>
      </c>
    </row>
    <row r="37" spans="3:3" ht="14.25" customHeight="1" x14ac:dyDescent="0.25">
      <c r="C37" s="155">
        <v>1567.57</v>
      </c>
    </row>
    <row r="38" spans="3:3" ht="14.25" customHeight="1" x14ac:dyDescent="0.25">
      <c r="C38" s="155"/>
    </row>
    <row r="39" spans="3:3" ht="14.25" customHeight="1" x14ac:dyDescent="0.25">
      <c r="C39" s="155">
        <v>228</v>
      </c>
    </row>
    <row r="40" spans="3:3" ht="14.25" customHeight="1" x14ac:dyDescent="0.25">
      <c r="C40" s="198">
        <f>SUM(C35:C39)</f>
        <v>3259.3199999999997</v>
      </c>
    </row>
    <row r="41" spans="3:3" ht="14.25" customHeight="1" x14ac:dyDescent="0.25">
      <c r="C41" s="155"/>
    </row>
    <row r="42" spans="3:3" ht="14.25" customHeight="1" x14ac:dyDescent="0.25">
      <c r="C42" s="155"/>
    </row>
    <row r="43" spans="3:3" ht="14.25" customHeight="1" x14ac:dyDescent="0.25">
      <c r="C43" s="155"/>
    </row>
    <row r="44" spans="3:3" ht="14.25" customHeight="1" x14ac:dyDescent="0.25">
      <c r="C44" s="155"/>
    </row>
    <row r="45" spans="3:3" ht="14.25" customHeight="1" x14ac:dyDescent="0.25">
      <c r="C45" s="155"/>
    </row>
    <row r="46" spans="3:3" ht="14.25" customHeight="1" x14ac:dyDescent="0.25">
      <c r="C46" s="155"/>
    </row>
    <row r="47" spans="3:3" ht="14.25" customHeight="1" x14ac:dyDescent="0.25">
      <c r="C47" s="155"/>
    </row>
    <row r="48" spans="3:3" ht="14.25" customHeight="1" x14ac:dyDescent="0.25">
      <c r="C48" s="155"/>
    </row>
    <row r="49" spans="3:3" ht="14.25" customHeight="1" x14ac:dyDescent="0.25">
      <c r="C49" s="155"/>
    </row>
    <row r="50" spans="3:3" ht="14.25" customHeight="1" x14ac:dyDescent="0.25">
      <c r="C50" s="155"/>
    </row>
    <row r="51" spans="3:3" ht="14.25" customHeight="1" x14ac:dyDescent="0.25">
      <c r="C51" s="155"/>
    </row>
    <row r="52" spans="3:3" ht="14.25" customHeight="1" x14ac:dyDescent="0.25">
      <c r="C52" s="155"/>
    </row>
    <row r="53" spans="3:3" ht="14.25" customHeight="1" x14ac:dyDescent="0.25">
      <c r="C53" s="155"/>
    </row>
    <row r="54" spans="3:3" ht="14.25" customHeight="1" x14ac:dyDescent="0.25">
      <c r="C54" s="155"/>
    </row>
    <row r="55" spans="3:3" ht="14.25" customHeight="1" x14ac:dyDescent="0.25">
      <c r="C55" s="155"/>
    </row>
    <row r="56" spans="3:3" ht="14.25" customHeight="1" x14ac:dyDescent="0.25">
      <c r="C56" s="155"/>
    </row>
    <row r="57" spans="3:3" ht="14.25" customHeight="1" x14ac:dyDescent="0.25">
      <c r="C57" s="155"/>
    </row>
    <row r="58" spans="3:3" ht="14.25" customHeight="1" x14ac:dyDescent="0.25">
      <c r="C58" s="155"/>
    </row>
    <row r="59" spans="3:3" ht="14.25" customHeight="1" x14ac:dyDescent="0.25">
      <c r="C59" s="155"/>
    </row>
    <row r="60" spans="3:3" ht="14.25" customHeight="1" x14ac:dyDescent="0.25">
      <c r="C60" s="155"/>
    </row>
    <row r="61" spans="3:3" ht="14.25" customHeight="1" x14ac:dyDescent="0.25">
      <c r="C61" s="155"/>
    </row>
    <row r="62" spans="3:3" ht="14.25" customHeight="1" x14ac:dyDescent="0.25">
      <c r="C62" s="155"/>
    </row>
    <row r="63" spans="3:3" ht="14.25" customHeight="1" x14ac:dyDescent="0.25">
      <c r="C63" s="155"/>
    </row>
    <row r="64" spans="3:3" ht="14.25" customHeight="1" x14ac:dyDescent="0.25">
      <c r="C64" s="155"/>
    </row>
    <row r="65" spans="3:3" ht="14.25" customHeight="1" x14ac:dyDescent="0.25">
      <c r="C65" s="155"/>
    </row>
    <row r="66" spans="3:3" ht="14.25" customHeight="1" x14ac:dyDescent="0.25">
      <c r="C66" s="155"/>
    </row>
    <row r="67" spans="3:3" ht="14.25" customHeight="1" x14ac:dyDescent="0.25">
      <c r="C67" s="155"/>
    </row>
    <row r="68" spans="3:3" ht="14.25" customHeight="1" x14ac:dyDescent="0.25">
      <c r="C68" s="155"/>
    </row>
    <row r="69" spans="3:3" ht="14.25" customHeight="1" x14ac:dyDescent="0.25">
      <c r="C69" s="155"/>
    </row>
    <row r="70" spans="3:3" ht="14.25" customHeight="1" x14ac:dyDescent="0.25">
      <c r="C70" s="155"/>
    </row>
    <row r="71" spans="3:3" ht="14.25" customHeight="1" x14ac:dyDescent="0.25">
      <c r="C71" s="155"/>
    </row>
    <row r="72" spans="3:3" ht="14.25" customHeight="1" x14ac:dyDescent="0.25">
      <c r="C72" s="155"/>
    </row>
    <row r="73" spans="3:3" ht="14.25" customHeight="1" x14ac:dyDescent="0.25">
      <c r="C73" s="155"/>
    </row>
    <row r="74" spans="3:3" ht="14.25" customHeight="1" x14ac:dyDescent="0.25">
      <c r="C74" s="155"/>
    </row>
    <row r="75" spans="3:3" ht="14.25" customHeight="1" x14ac:dyDescent="0.25">
      <c r="C75" s="155"/>
    </row>
    <row r="76" spans="3:3" ht="14.25" customHeight="1" x14ac:dyDescent="0.25">
      <c r="C76" s="155"/>
    </row>
    <row r="77" spans="3:3" ht="14.25" customHeight="1" x14ac:dyDescent="0.25">
      <c r="C77" s="155"/>
    </row>
    <row r="78" spans="3:3" ht="14.25" customHeight="1" x14ac:dyDescent="0.25">
      <c r="C78" s="155"/>
    </row>
    <row r="79" spans="3:3" ht="14.25" customHeight="1" x14ac:dyDescent="0.25">
      <c r="C79" s="155"/>
    </row>
    <row r="80" spans="3:3" ht="14.25" customHeight="1" x14ac:dyDescent="0.25">
      <c r="C80" s="155"/>
    </row>
    <row r="81" spans="3:3" ht="14.25" customHeight="1" x14ac:dyDescent="0.25">
      <c r="C81" s="155"/>
    </row>
    <row r="82" spans="3:3" ht="14.25" customHeight="1" x14ac:dyDescent="0.25">
      <c r="C82" s="155"/>
    </row>
    <row r="83" spans="3:3" ht="14.25" customHeight="1" x14ac:dyDescent="0.25">
      <c r="C83" s="155"/>
    </row>
    <row r="84" spans="3:3" ht="14.25" customHeight="1" x14ac:dyDescent="0.25">
      <c r="C84" s="155"/>
    </row>
    <row r="85" spans="3:3" ht="14.25" customHeight="1" x14ac:dyDescent="0.25">
      <c r="C85" s="155"/>
    </row>
    <row r="86" spans="3:3" ht="14.25" customHeight="1" x14ac:dyDescent="0.25">
      <c r="C86" s="155"/>
    </row>
    <row r="87" spans="3:3" ht="14.25" customHeight="1" x14ac:dyDescent="0.25">
      <c r="C87" s="155"/>
    </row>
    <row r="88" spans="3:3" ht="14.25" customHeight="1" x14ac:dyDescent="0.25">
      <c r="C88" s="155"/>
    </row>
    <row r="89" spans="3:3" ht="14.25" customHeight="1" x14ac:dyDescent="0.25">
      <c r="C89" s="155"/>
    </row>
    <row r="90" spans="3:3" ht="14.25" customHeight="1" x14ac:dyDescent="0.25">
      <c r="C90" s="155"/>
    </row>
    <row r="91" spans="3:3" ht="14.25" customHeight="1" x14ac:dyDescent="0.25">
      <c r="C91" s="155"/>
    </row>
    <row r="92" spans="3:3" ht="14.25" customHeight="1" x14ac:dyDescent="0.25">
      <c r="C92" s="155"/>
    </row>
    <row r="93" spans="3:3" ht="14.25" customHeight="1" x14ac:dyDescent="0.25">
      <c r="C93" s="155"/>
    </row>
    <row r="94" spans="3:3" ht="14.25" customHeight="1" x14ac:dyDescent="0.25">
      <c r="C94" s="155"/>
    </row>
    <row r="95" spans="3:3" ht="14.25" customHeight="1" x14ac:dyDescent="0.25">
      <c r="C95" s="155"/>
    </row>
    <row r="96" spans="3:3" ht="14.25" customHeight="1" x14ac:dyDescent="0.25">
      <c r="C96" s="155"/>
    </row>
    <row r="97" spans="3:3" ht="14.25" customHeight="1" x14ac:dyDescent="0.25">
      <c r="C97" s="155"/>
    </row>
    <row r="98" spans="3:3" ht="14.25" customHeight="1" x14ac:dyDescent="0.25">
      <c r="C98" s="155"/>
    </row>
    <row r="99" spans="3:3" ht="14.25" customHeight="1" x14ac:dyDescent="0.25">
      <c r="C99" s="155"/>
    </row>
    <row r="100" spans="3:3" ht="14.25" customHeight="1" x14ac:dyDescent="0.25">
      <c r="C100" s="155"/>
    </row>
    <row r="101" spans="3:3" ht="14.25" customHeight="1" x14ac:dyDescent="0.25">
      <c r="C101" s="155"/>
    </row>
    <row r="102" spans="3:3" ht="14.25" customHeight="1" x14ac:dyDescent="0.25">
      <c r="C102" s="155"/>
    </row>
    <row r="103" spans="3:3" ht="14.25" customHeight="1" x14ac:dyDescent="0.25">
      <c r="C103" s="155"/>
    </row>
    <row r="104" spans="3:3" ht="14.25" customHeight="1" x14ac:dyDescent="0.25">
      <c r="C104" s="155"/>
    </row>
    <row r="105" spans="3:3" ht="14.25" customHeight="1" x14ac:dyDescent="0.25">
      <c r="C105" s="155"/>
    </row>
    <row r="106" spans="3:3" ht="14.25" customHeight="1" x14ac:dyDescent="0.25">
      <c r="C106" s="155"/>
    </row>
    <row r="107" spans="3:3" ht="14.25" customHeight="1" x14ac:dyDescent="0.25">
      <c r="C107" s="155"/>
    </row>
    <row r="108" spans="3:3" ht="14.25" customHeight="1" x14ac:dyDescent="0.25">
      <c r="C108" s="155"/>
    </row>
    <row r="109" spans="3:3" ht="14.25" customHeight="1" x14ac:dyDescent="0.25">
      <c r="C109" s="155"/>
    </row>
    <row r="110" spans="3:3" ht="14.25" customHeight="1" x14ac:dyDescent="0.25">
      <c r="C110" s="155"/>
    </row>
    <row r="111" spans="3:3" ht="14.25" customHeight="1" x14ac:dyDescent="0.25">
      <c r="C111" s="155"/>
    </row>
    <row r="112" spans="3:3" ht="14.25" customHeight="1" x14ac:dyDescent="0.25">
      <c r="C112" s="155"/>
    </row>
    <row r="113" spans="3:3" ht="14.25" customHeight="1" x14ac:dyDescent="0.25">
      <c r="C113" s="155"/>
    </row>
    <row r="114" spans="3:3" ht="14.25" customHeight="1" x14ac:dyDescent="0.25">
      <c r="C114" s="155"/>
    </row>
    <row r="115" spans="3:3" ht="14.25" customHeight="1" x14ac:dyDescent="0.25">
      <c r="C115" s="155"/>
    </row>
    <row r="116" spans="3:3" ht="14.25" customHeight="1" x14ac:dyDescent="0.25">
      <c r="C116" s="155"/>
    </row>
    <row r="117" spans="3:3" ht="14.25" customHeight="1" x14ac:dyDescent="0.25">
      <c r="C117" s="155"/>
    </row>
    <row r="118" spans="3:3" ht="14.25" customHeight="1" x14ac:dyDescent="0.25">
      <c r="C118" s="155"/>
    </row>
    <row r="119" spans="3:3" ht="14.25" customHeight="1" x14ac:dyDescent="0.25">
      <c r="C119" s="155"/>
    </row>
    <row r="120" spans="3:3" ht="14.25" customHeight="1" x14ac:dyDescent="0.25">
      <c r="C120" s="155"/>
    </row>
    <row r="121" spans="3:3" ht="14.25" customHeight="1" x14ac:dyDescent="0.25">
      <c r="C121" s="155"/>
    </row>
    <row r="122" spans="3:3" ht="14.25" customHeight="1" x14ac:dyDescent="0.25">
      <c r="C122" s="155"/>
    </row>
    <row r="123" spans="3:3" ht="14.25" customHeight="1" x14ac:dyDescent="0.25">
      <c r="C123" s="155"/>
    </row>
    <row r="124" spans="3:3" ht="14.25" customHeight="1" x14ac:dyDescent="0.25">
      <c r="C124" s="155"/>
    </row>
    <row r="125" spans="3:3" ht="14.25" customHeight="1" x14ac:dyDescent="0.25">
      <c r="C125" s="155"/>
    </row>
    <row r="126" spans="3:3" ht="14.25" customHeight="1" x14ac:dyDescent="0.25">
      <c r="C126" s="155"/>
    </row>
    <row r="127" spans="3:3" ht="14.25" customHeight="1" x14ac:dyDescent="0.25">
      <c r="C127" s="155"/>
    </row>
    <row r="128" spans="3:3" ht="14.25" customHeight="1" x14ac:dyDescent="0.25">
      <c r="C128" s="155"/>
    </row>
    <row r="129" spans="3:3" ht="14.25" customHeight="1" x14ac:dyDescent="0.25">
      <c r="C129" s="155"/>
    </row>
    <row r="130" spans="3:3" ht="14.25" customHeight="1" x14ac:dyDescent="0.25">
      <c r="C130" s="155"/>
    </row>
    <row r="131" spans="3:3" ht="14.25" customHeight="1" x14ac:dyDescent="0.25">
      <c r="C131" s="155"/>
    </row>
    <row r="132" spans="3:3" ht="14.25" customHeight="1" x14ac:dyDescent="0.25">
      <c r="C132" s="155"/>
    </row>
    <row r="133" spans="3:3" ht="14.25" customHeight="1" x14ac:dyDescent="0.25">
      <c r="C133" s="155"/>
    </row>
    <row r="134" spans="3:3" ht="14.25" customHeight="1" x14ac:dyDescent="0.25">
      <c r="C134" s="155"/>
    </row>
    <row r="135" spans="3:3" ht="14.25" customHeight="1" x14ac:dyDescent="0.25">
      <c r="C135" s="155"/>
    </row>
    <row r="136" spans="3:3" ht="14.25" customHeight="1" x14ac:dyDescent="0.25">
      <c r="C136" s="155"/>
    </row>
    <row r="137" spans="3:3" ht="14.25" customHeight="1" x14ac:dyDescent="0.25">
      <c r="C137" s="155"/>
    </row>
    <row r="138" spans="3:3" ht="14.25" customHeight="1" x14ac:dyDescent="0.25">
      <c r="C138" s="155"/>
    </row>
    <row r="139" spans="3:3" ht="14.25" customHeight="1" x14ac:dyDescent="0.25">
      <c r="C139" s="155"/>
    </row>
    <row r="140" spans="3:3" ht="14.25" customHeight="1" x14ac:dyDescent="0.25">
      <c r="C140" s="155"/>
    </row>
    <row r="141" spans="3:3" ht="14.25" customHeight="1" x14ac:dyDescent="0.25">
      <c r="C141" s="155"/>
    </row>
    <row r="142" spans="3:3" ht="14.25" customHeight="1" x14ac:dyDescent="0.25">
      <c r="C142" s="155"/>
    </row>
    <row r="143" spans="3:3" ht="14.25" customHeight="1" x14ac:dyDescent="0.25">
      <c r="C143" s="155"/>
    </row>
    <row r="144" spans="3:3" ht="14.25" customHeight="1" x14ac:dyDescent="0.25">
      <c r="C144" s="155"/>
    </row>
    <row r="145" spans="3:3" ht="14.25" customHeight="1" x14ac:dyDescent="0.25">
      <c r="C145" s="155"/>
    </row>
    <row r="146" spans="3:3" ht="14.25" customHeight="1" x14ac:dyDescent="0.25">
      <c r="C146" s="155"/>
    </row>
    <row r="147" spans="3:3" ht="14.25" customHeight="1" x14ac:dyDescent="0.25">
      <c r="C147" s="155"/>
    </row>
    <row r="148" spans="3:3" ht="14.25" customHeight="1" x14ac:dyDescent="0.25">
      <c r="C148" s="155"/>
    </row>
    <row r="149" spans="3:3" ht="14.25" customHeight="1" x14ac:dyDescent="0.25">
      <c r="C149" s="155"/>
    </row>
    <row r="150" spans="3:3" ht="14.25" customHeight="1" x14ac:dyDescent="0.25">
      <c r="C150" s="155"/>
    </row>
    <row r="151" spans="3:3" ht="14.25" customHeight="1" x14ac:dyDescent="0.25">
      <c r="C151" s="155"/>
    </row>
    <row r="152" spans="3:3" ht="14.25" customHeight="1" x14ac:dyDescent="0.25">
      <c r="C152" s="155"/>
    </row>
    <row r="153" spans="3:3" ht="14.25" customHeight="1" x14ac:dyDescent="0.25">
      <c r="C153" s="155"/>
    </row>
    <row r="154" spans="3:3" ht="14.25" customHeight="1" x14ac:dyDescent="0.25">
      <c r="C154" s="155"/>
    </row>
    <row r="155" spans="3:3" ht="14.25" customHeight="1" x14ac:dyDescent="0.25">
      <c r="C155" s="155"/>
    </row>
    <row r="156" spans="3:3" ht="14.25" customHeight="1" x14ac:dyDescent="0.25">
      <c r="C156" s="155"/>
    </row>
    <row r="157" spans="3:3" ht="14.25" customHeight="1" x14ac:dyDescent="0.25">
      <c r="C157" s="155"/>
    </row>
    <row r="158" spans="3:3" ht="14.25" customHeight="1" x14ac:dyDescent="0.25">
      <c r="C158" s="155"/>
    </row>
    <row r="159" spans="3:3" ht="14.25" customHeight="1" x14ac:dyDescent="0.25">
      <c r="C159" s="155"/>
    </row>
    <row r="160" spans="3:3" ht="14.25" customHeight="1" x14ac:dyDescent="0.25">
      <c r="C160" s="155"/>
    </row>
    <row r="161" spans="3:3" ht="14.25" customHeight="1" x14ac:dyDescent="0.25">
      <c r="C161" s="155"/>
    </row>
    <row r="162" spans="3:3" ht="14.25" customHeight="1" x14ac:dyDescent="0.25">
      <c r="C162" s="155"/>
    </row>
    <row r="163" spans="3:3" ht="14.25" customHeight="1" x14ac:dyDescent="0.25">
      <c r="C163" s="155"/>
    </row>
    <row r="164" spans="3:3" ht="14.25" customHeight="1" x14ac:dyDescent="0.25">
      <c r="C164" s="155"/>
    </row>
    <row r="165" spans="3:3" ht="14.25" customHeight="1" x14ac:dyDescent="0.25">
      <c r="C165" s="155"/>
    </row>
    <row r="166" spans="3:3" ht="14.25" customHeight="1" x14ac:dyDescent="0.25">
      <c r="C166" s="155"/>
    </row>
    <row r="167" spans="3:3" ht="14.25" customHeight="1" x14ac:dyDescent="0.25">
      <c r="C167" s="155"/>
    </row>
    <row r="168" spans="3:3" ht="14.25" customHeight="1" x14ac:dyDescent="0.25">
      <c r="C168" s="155"/>
    </row>
    <row r="169" spans="3:3" ht="14.25" customHeight="1" x14ac:dyDescent="0.25">
      <c r="C169" s="155"/>
    </row>
    <row r="170" spans="3:3" ht="14.25" customHeight="1" x14ac:dyDescent="0.25">
      <c r="C170" s="155"/>
    </row>
    <row r="171" spans="3:3" ht="14.25" customHeight="1" x14ac:dyDescent="0.25">
      <c r="C171" s="155"/>
    </row>
    <row r="172" spans="3:3" ht="14.25" customHeight="1" x14ac:dyDescent="0.25">
      <c r="C172" s="155"/>
    </row>
    <row r="173" spans="3:3" ht="14.25" customHeight="1" x14ac:dyDescent="0.25">
      <c r="C173" s="155"/>
    </row>
    <row r="174" spans="3:3" ht="14.25" customHeight="1" x14ac:dyDescent="0.25">
      <c r="C174" s="155"/>
    </row>
    <row r="175" spans="3:3" ht="14.25" customHeight="1" x14ac:dyDescent="0.25">
      <c r="C175" s="155"/>
    </row>
    <row r="176" spans="3:3" ht="14.25" customHeight="1" x14ac:dyDescent="0.25">
      <c r="C176" s="155"/>
    </row>
    <row r="177" spans="3:3" ht="14.25" customHeight="1" x14ac:dyDescent="0.25">
      <c r="C177" s="155"/>
    </row>
    <row r="178" spans="3:3" ht="14.25" customHeight="1" x14ac:dyDescent="0.25">
      <c r="C178" s="155"/>
    </row>
    <row r="179" spans="3:3" ht="14.25" customHeight="1" x14ac:dyDescent="0.25">
      <c r="C179" s="155"/>
    </row>
    <row r="180" spans="3:3" ht="14.25" customHeight="1" x14ac:dyDescent="0.25">
      <c r="C180" s="155"/>
    </row>
    <row r="181" spans="3:3" ht="14.25" customHeight="1" x14ac:dyDescent="0.25">
      <c r="C181" s="155"/>
    </row>
    <row r="182" spans="3:3" ht="14.25" customHeight="1" x14ac:dyDescent="0.25">
      <c r="C182" s="155"/>
    </row>
    <row r="183" spans="3:3" ht="14.25" customHeight="1" x14ac:dyDescent="0.25">
      <c r="C183" s="155"/>
    </row>
    <row r="184" spans="3:3" ht="14.25" customHeight="1" x14ac:dyDescent="0.25">
      <c r="C184" s="155"/>
    </row>
    <row r="185" spans="3:3" ht="14.25" customHeight="1" x14ac:dyDescent="0.25">
      <c r="C185" s="155"/>
    </row>
    <row r="186" spans="3:3" ht="14.25" customHeight="1" x14ac:dyDescent="0.25">
      <c r="C186" s="155"/>
    </row>
    <row r="187" spans="3:3" ht="14.25" customHeight="1" x14ac:dyDescent="0.25">
      <c r="C187" s="155"/>
    </row>
    <row r="188" spans="3:3" ht="14.25" customHeight="1" x14ac:dyDescent="0.25">
      <c r="C188" s="155"/>
    </row>
    <row r="189" spans="3:3" ht="14.25" customHeight="1" x14ac:dyDescent="0.25">
      <c r="C189" s="155"/>
    </row>
    <row r="190" spans="3:3" ht="14.25" customHeight="1" x14ac:dyDescent="0.25">
      <c r="C190" s="155"/>
    </row>
    <row r="191" spans="3:3" ht="14.25" customHeight="1" x14ac:dyDescent="0.25">
      <c r="C191" s="155"/>
    </row>
    <row r="192" spans="3:3" ht="14.25" customHeight="1" x14ac:dyDescent="0.25">
      <c r="C192" s="155"/>
    </row>
    <row r="193" spans="3:3" ht="14.25" customHeight="1" x14ac:dyDescent="0.25">
      <c r="C193" s="155"/>
    </row>
    <row r="194" spans="3:3" ht="14.25" customHeight="1" x14ac:dyDescent="0.25">
      <c r="C194" s="155"/>
    </row>
    <row r="195" spans="3:3" ht="14.25" customHeight="1" x14ac:dyDescent="0.25">
      <c r="C195" s="155"/>
    </row>
    <row r="196" spans="3:3" ht="14.25" customHeight="1" x14ac:dyDescent="0.25">
      <c r="C196" s="155"/>
    </row>
    <row r="197" spans="3:3" ht="14.25" customHeight="1" x14ac:dyDescent="0.25">
      <c r="C197" s="155"/>
    </row>
    <row r="198" spans="3:3" ht="14.25" customHeight="1" x14ac:dyDescent="0.25">
      <c r="C198" s="155"/>
    </row>
    <row r="199" spans="3:3" ht="14.25" customHeight="1" x14ac:dyDescent="0.25">
      <c r="C199" s="155"/>
    </row>
    <row r="200" spans="3:3" ht="14.25" customHeight="1" x14ac:dyDescent="0.25">
      <c r="C200" s="155"/>
    </row>
    <row r="201" spans="3:3" ht="14.25" customHeight="1" x14ac:dyDescent="0.25">
      <c r="C201" s="155"/>
    </row>
    <row r="202" spans="3:3" ht="14.25" customHeight="1" x14ac:dyDescent="0.25">
      <c r="C202" s="155"/>
    </row>
    <row r="203" spans="3:3" ht="14.25" customHeight="1" x14ac:dyDescent="0.25">
      <c r="C203" s="155"/>
    </row>
    <row r="204" spans="3:3" ht="14.25" customHeight="1" x14ac:dyDescent="0.25">
      <c r="C204" s="155"/>
    </row>
    <row r="205" spans="3:3" ht="14.25" customHeight="1" x14ac:dyDescent="0.25">
      <c r="C205" s="155"/>
    </row>
    <row r="206" spans="3:3" ht="14.25" customHeight="1" x14ac:dyDescent="0.25">
      <c r="C206" s="155"/>
    </row>
    <row r="207" spans="3:3" ht="14.25" customHeight="1" x14ac:dyDescent="0.25">
      <c r="C207" s="155"/>
    </row>
    <row r="208" spans="3:3" ht="14.25" customHeight="1" x14ac:dyDescent="0.25">
      <c r="C208" s="155"/>
    </row>
    <row r="209" spans="3:3" ht="14.25" customHeight="1" x14ac:dyDescent="0.25">
      <c r="C209" s="155"/>
    </row>
    <row r="210" spans="3:3" ht="14.25" customHeight="1" x14ac:dyDescent="0.25">
      <c r="C210" s="155"/>
    </row>
    <row r="211" spans="3:3" ht="14.25" customHeight="1" x14ac:dyDescent="0.25">
      <c r="C211" s="155"/>
    </row>
    <row r="212" spans="3:3" ht="14.25" customHeight="1" x14ac:dyDescent="0.25">
      <c r="C212" s="155"/>
    </row>
    <row r="213" spans="3:3" ht="14.25" customHeight="1" x14ac:dyDescent="0.25">
      <c r="C213" s="155"/>
    </row>
    <row r="214" spans="3:3" ht="14.25" customHeight="1" x14ac:dyDescent="0.25">
      <c r="C214" s="155"/>
    </row>
    <row r="215" spans="3:3" ht="14.25" customHeight="1" x14ac:dyDescent="0.25">
      <c r="C215" s="155"/>
    </row>
    <row r="216" spans="3:3" ht="14.25" customHeight="1" x14ac:dyDescent="0.25">
      <c r="C216" s="155"/>
    </row>
    <row r="217" spans="3:3" ht="14.25" customHeight="1" x14ac:dyDescent="0.25">
      <c r="C217" s="155"/>
    </row>
    <row r="218" spans="3:3" ht="14.25" customHeight="1" x14ac:dyDescent="0.25">
      <c r="C218" s="155"/>
    </row>
    <row r="219" spans="3:3" ht="14.25" customHeight="1" x14ac:dyDescent="0.25">
      <c r="C219" s="155"/>
    </row>
    <row r="220" spans="3:3" ht="14.25" customHeight="1" x14ac:dyDescent="0.25">
      <c r="C220" s="155"/>
    </row>
    <row r="221" spans="3:3" ht="14.25" customHeight="1" x14ac:dyDescent="0.25">
      <c r="C221" s="155"/>
    </row>
    <row r="222" spans="3:3" ht="14.25" customHeight="1" x14ac:dyDescent="0.25">
      <c r="C222" s="155"/>
    </row>
    <row r="223" spans="3:3" ht="14.25" customHeight="1" x14ac:dyDescent="0.25">
      <c r="C223" s="155"/>
    </row>
    <row r="224" spans="3:3" ht="14.25" customHeight="1" x14ac:dyDescent="0.25">
      <c r="C224" s="155"/>
    </row>
    <row r="225" spans="3:3" ht="14.25" customHeight="1" x14ac:dyDescent="0.25">
      <c r="C225" s="155"/>
    </row>
    <row r="226" spans="3:3" ht="14.25" customHeight="1" x14ac:dyDescent="0.25">
      <c r="C226" s="155"/>
    </row>
    <row r="227" spans="3:3" ht="14.25" customHeight="1" x14ac:dyDescent="0.25">
      <c r="C227" s="155"/>
    </row>
    <row r="228" spans="3:3" ht="14.25" customHeight="1" x14ac:dyDescent="0.25">
      <c r="C228" s="155"/>
    </row>
    <row r="229" spans="3:3" ht="14.25" customHeight="1" x14ac:dyDescent="0.25">
      <c r="C229" s="155"/>
    </row>
    <row r="230" spans="3:3" ht="14.25" customHeight="1" x14ac:dyDescent="0.25">
      <c r="C230" s="155"/>
    </row>
    <row r="231" spans="3:3" ht="14.25" customHeight="1" x14ac:dyDescent="0.25">
      <c r="C231" s="155"/>
    </row>
    <row r="232" spans="3:3" ht="14.25" customHeight="1" x14ac:dyDescent="0.25">
      <c r="C232" s="155"/>
    </row>
    <row r="233" spans="3:3" ht="14.25" customHeight="1" x14ac:dyDescent="0.25">
      <c r="C233" s="155"/>
    </row>
    <row r="234" spans="3:3" ht="14.25" customHeight="1" x14ac:dyDescent="0.25">
      <c r="C234" s="155"/>
    </row>
    <row r="235" spans="3:3" ht="14.25" customHeight="1" x14ac:dyDescent="0.25">
      <c r="C235" s="155"/>
    </row>
    <row r="236" spans="3:3" ht="14.25" customHeight="1" x14ac:dyDescent="0.25">
      <c r="C236" s="155"/>
    </row>
    <row r="237" spans="3:3" ht="14.25" customHeight="1" x14ac:dyDescent="0.25">
      <c r="C237" s="155"/>
    </row>
    <row r="238" spans="3:3" ht="14.25" customHeight="1" x14ac:dyDescent="0.25">
      <c r="C238" s="155"/>
    </row>
    <row r="239" spans="3:3" ht="14.25" customHeight="1" x14ac:dyDescent="0.25">
      <c r="C239" s="155"/>
    </row>
    <row r="240" spans="3:3" ht="14.25" customHeight="1" x14ac:dyDescent="0.25">
      <c r="C240" s="15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J29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5.28515625" customWidth="1"/>
    <col min="3" max="3" width="8.28515625" customWidth="1"/>
    <col min="4" max="4" width="96.5703125" customWidth="1"/>
    <col min="5" max="5" width="13.42578125" customWidth="1"/>
    <col min="6" max="6" width="8.85546875" customWidth="1"/>
    <col min="7" max="9" width="8.7109375" customWidth="1"/>
    <col min="10" max="10" width="72.28515625" customWidth="1"/>
    <col min="11" max="11" width="8.7109375" customWidth="1"/>
  </cols>
  <sheetData>
    <row r="1" spans="1:10" ht="14.25" customHeight="1" x14ac:dyDescent="0.25">
      <c r="A1" s="194" t="s">
        <v>177</v>
      </c>
      <c r="B1" s="200"/>
      <c r="C1" s="155"/>
      <c r="E1" s="194" t="s">
        <v>178</v>
      </c>
    </row>
    <row r="2" spans="1:10" ht="14.25" customHeight="1" x14ac:dyDescent="0.25">
      <c r="A2" s="194" t="s">
        <v>190</v>
      </c>
      <c r="B2" s="200"/>
      <c r="C2" s="155"/>
      <c r="E2" s="196">
        <v>10833.07</v>
      </c>
    </row>
    <row r="3" spans="1:10" ht="14.25" customHeight="1" x14ac:dyDescent="0.25">
      <c r="A3" s="194" t="s">
        <v>180</v>
      </c>
      <c r="B3" s="200"/>
      <c r="C3" s="155"/>
      <c r="E3" s="196">
        <v>1820.27</v>
      </c>
    </row>
    <row r="4" spans="1:10" ht="14.25" customHeight="1" x14ac:dyDescent="0.25">
      <c r="A4" s="194" t="s">
        <v>181</v>
      </c>
      <c r="B4" s="200"/>
      <c r="C4" s="155"/>
      <c r="E4" s="196">
        <v>-10491.21</v>
      </c>
    </row>
    <row r="5" spans="1:10" ht="14.25" customHeight="1" x14ac:dyDescent="0.25">
      <c r="A5" s="194" t="s">
        <v>191</v>
      </c>
      <c r="B5" s="200"/>
      <c r="C5" s="155"/>
      <c r="E5" s="196">
        <v>2162.13</v>
      </c>
    </row>
    <row r="6" spans="1:10" ht="14.25" customHeight="1" x14ac:dyDescent="0.25">
      <c r="B6" s="200"/>
      <c r="C6" s="155"/>
    </row>
    <row r="7" spans="1:10" x14ac:dyDescent="0.25">
      <c r="A7" s="194" t="s">
        <v>90</v>
      </c>
      <c r="B7" s="200"/>
      <c r="C7" s="155"/>
      <c r="D7" s="194" t="s">
        <v>177</v>
      </c>
      <c r="E7" s="194" t="s">
        <v>183</v>
      </c>
      <c r="F7" s="194" t="s">
        <v>184</v>
      </c>
      <c r="J7" s="197"/>
    </row>
    <row r="8" spans="1:10" x14ac:dyDescent="0.25">
      <c r="A8" s="197">
        <v>44956</v>
      </c>
      <c r="B8" s="200">
        <f t="shared" ref="B8:B36" si="0">IF(E8&lt;0,0,1)</f>
        <v>1</v>
      </c>
      <c r="C8" s="180" t="str">
        <f t="shared" ref="C8:C36" si="1">IF(E8&lt;0,"debit","credit")</f>
        <v>credit</v>
      </c>
      <c r="D8" s="194" t="s">
        <v>190</v>
      </c>
      <c r="F8" s="196">
        <v>10833.07</v>
      </c>
      <c r="G8" s="194">
        <f t="shared" ref="G8:G36" si="2">IFERROR(VLOOKUP($B$8,B8:E8,4,FALSE),0)</f>
        <v>0</v>
      </c>
      <c r="J8" s="158"/>
    </row>
    <row r="9" spans="1:10" ht="14.25" hidden="1" customHeight="1" x14ac:dyDescent="0.25">
      <c r="A9" s="197">
        <v>44956</v>
      </c>
      <c r="B9" s="200">
        <f t="shared" si="0"/>
        <v>0</v>
      </c>
      <c r="C9" s="180" t="str">
        <f t="shared" si="1"/>
        <v>debit</v>
      </c>
      <c r="D9" s="194" t="s">
        <v>192</v>
      </c>
      <c r="E9" s="194">
        <v>-250</v>
      </c>
      <c r="F9" s="196">
        <v>10583.07</v>
      </c>
      <c r="G9" s="194">
        <f t="shared" si="2"/>
        <v>0</v>
      </c>
    </row>
    <row r="10" spans="1:10" ht="14.25" hidden="1" customHeight="1" x14ac:dyDescent="0.25">
      <c r="A10" s="197">
        <v>44956</v>
      </c>
      <c r="B10" s="200">
        <f t="shared" si="0"/>
        <v>0</v>
      </c>
      <c r="C10" s="180" t="str">
        <f t="shared" si="1"/>
        <v>debit</v>
      </c>
      <c r="D10" s="194" t="s">
        <v>193</v>
      </c>
      <c r="E10" s="194">
        <v>-35</v>
      </c>
      <c r="F10" s="196">
        <v>10548.07</v>
      </c>
      <c r="G10" s="194">
        <f t="shared" si="2"/>
        <v>0</v>
      </c>
    </row>
    <row r="11" spans="1:10" hidden="1" x14ac:dyDescent="0.25">
      <c r="A11" s="197">
        <v>44956</v>
      </c>
      <c r="B11" s="200">
        <f t="shared" si="0"/>
        <v>0</v>
      </c>
      <c r="C11" s="180" t="str">
        <f t="shared" si="1"/>
        <v>debit</v>
      </c>
      <c r="D11" s="194" t="s">
        <v>194</v>
      </c>
      <c r="E11" s="194">
        <v>-204.33</v>
      </c>
      <c r="F11" s="196">
        <v>10343.74</v>
      </c>
      <c r="G11" s="194">
        <f t="shared" si="2"/>
        <v>0</v>
      </c>
      <c r="J11" s="197"/>
    </row>
    <row r="12" spans="1:10" hidden="1" x14ac:dyDescent="0.25">
      <c r="A12" s="197">
        <v>44956</v>
      </c>
      <c r="B12" s="200">
        <f t="shared" si="0"/>
        <v>0</v>
      </c>
      <c r="C12" s="180" t="str">
        <f t="shared" si="1"/>
        <v>debit</v>
      </c>
      <c r="D12" s="194" t="s">
        <v>195</v>
      </c>
      <c r="E12" s="194">
        <v>-105.93</v>
      </c>
      <c r="F12" s="196">
        <v>10237.81</v>
      </c>
      <c r="G12" s="194">
        <f t="shared" si="2"/>
        <v>0</v>
      </c>
    </row>
    <row r="13" spans="1:10" ht="14.25" hidden="1" customHeight="1" x14ac:dyDescent="0.25">
      <c r="A13" s="197">
        <v>44956</v>
      </c>
      <c r="B13" s="200">
        <f t="shared" si="0"/>
        <v>0</v>
      </c>
      <c r="C13" s="180" t="str">
        <f t="shared" si="1"/>
        <v>debit</v>
      </c>
      <c r="D13" s="194" t="s">
        <v>196</v>
      </c>
      <c r="E13" s="196">
        <v>-1300</v>
      </c>
      <c r="F13" s="196">
        <v>8937.81</v>
      </c>
      <c r="G13" s="194">
        <f t="shared" si="2"/>
        <v>0</v>
      </c>
    </row>
    <row r="14" spans="1:10" ht="14.25" hidden="1" customHeight="1" x14ac:dyDescent="0.25">
      <c r="A14" s="197">
        <v>44957</v>
      </c>
      <c r="B14" s="200">
        <f t="shared" si="0"/>
        <v>0</v>
      </c>
      <c r="C14" s="180" t="str">
        <f t="shared" si="1"/>
        <v>debit</v>
      </c>
      <c r="D14" s="194" t="s">
        <v>197</v>
      </c>
      <c r="E14" s="196">
        <v>-3500</v>
      </c>
      <c r="F14" s="196">
        <v>5437.81</v>
      </c>
      <c r="G14" s="194">
        <f t="shared" si="2"/>
        <v>0</v>
      </c>
    </row>
    <row r="15" spans="1:10" hidden="1" x14ac:dyDescent="0.25">
      <c r="A15" s="197">
        <v>44957</v>
      </c>
      <c r="B15" s="200">
        <f t="shared" si="0"/>
        <v>0</v>
      </c>
      <c r="C15" s="180" t="str">
        <f t="shared" si="1"/>
        <v>debit</v>
      </c>
      <c r="D15" s="194" t="s">
        <v>198</v>
      </c>
      <c r="E15" s="194">
        <v>-340</v>
      </c>
      <c r="F15" s="196">
        <v>5097.8100000000004</v>
      </c>
      <c r="G15" s="194">
        <f t="shared" si="2"/>
        <v>0</v>
      </c>
      <c r="J15" s="197"/>
    </row>
    <row r="16" spans="1:10" ht="14.25" hidden="1" customHeight="1" x14ac:dyDescent="0.25">
      <c r="A16" s="197">
        <v>44958</v>
      </c>
      <c r="B16" s="200">
        <f t="shared" si="0"/>
        <v>0</v>
      </c>
      <c r="C16" s="180" t="str">
        <f t="shared" si="1"/>
        <v>debit</v>
      </c>
      <c r="D16" s="194" t="s">
        <v>199</v>
      </c>
      <c r="E16" s="194">
        <v>-22.33</v>
      </c>
      <c r="F16" s="196">
        <v>5075.4799999999996</v>
      </c>
      <c r="G16" s="194">
        <f t="shared" si="2"/>
        <v>0</v>
      </c>
    </row>
    <row r="17" spans="1:10" ht="14.25" hidden="1" customHeight="1" x14ac:dyDescent="0.25">
      <c r="A17" s="197">
        <v>44958</v>
      </c>
      <c r="B17" s="200">
        <f t="shared" si="0"/>
        <v>0</v>
      </c>
      <c r="C17" s="180" t="str">
        <f t="shared" si="1"/>
        <v>debit</v>
      </c>
      <c r="D17" s="194" t="s">
        <v>200</v>
      </c>
      <c r="E17" s="196">
        <v>-2300</v>
      </c>
      <c r="F17" s="196">
        <v>2775.48</v>
      </c>
      <c r="G17" s="194">
        <f t="shared" si="2"/>
        <v>0</v>
      </c>
    </row>
    <row r="18" spans="1:10" ht="14.25" hidden="1" customHeight="1" x14ac:dyDescent="0.25">
      <c r="A18" s="197">
        <v>44958</v>
      </c>
      <c r="B18" s="200">
        <f t="shared" si="0"/>
        <v>0</v>
      </c>
      <c r="C18" s="180" t="str">
        <f t="shared" si="1"/>
        <v>debit</v>
      </c>
      <c r="D18" s="194" t="s">
        <v>201</v>
      </c>
      <c r="E18" s="194">
        <v>-739.73</v>
      </c>
      <c r="F18" s="196">
        <v>2035.75</v>
      </c>
      <c r="G18" s="194">
        <f t="shared" si="2"/>
        <v>0</v>
      </c>
    </row>
    <row r="19" spans="1:10" hidden="1" x14ac:dyDescent="0.25">
      <c r="A19" s="197">
        <v>44959</v>
      </c>
      <c r="B19" s="200">
        <f t="shared" si="0"/>
        <v>0</v>
      </c>
      <c r="C19" s="180" t="str">
        <f t="shared" si="1"/>
        <v>debit</v>
      </c>
      <c r="D19" s="194" t="s">
        <v>202</v>
      </c>
      <c r="E19" s="194">
        <v>-7</v>
      </c>
      <c r="F19" s="196">
        <v>2028.75</v>
      </c>
      <c r="G19" s="194">
        <f t="shared" si="2"/>
        <v>0</v>
      </c>
      <c r="J19" s="197"/>
    </row>
    <row r="20" spans="1:10" ht="14.25" hidden="1" customHeight="1" x14ac:dyDescent="0.25">
      <c r="A20" s="197">
        <v>44960</v>
      </c>
      <c r="B20" s="200">
        <f t="shared" si="0"/>
        <v>0</v>
      </c>
      <c r="C20" s="180" t="str">
        <f t="shared" si="1"/>
        <v>debit</v>
      </c>
      <c r="D20" s="194" t="s">
        <v>203</v>
      </c>
      <c r="E20" s="194">
        <v>-25</v>
      </c>
      <c r="F20" s="196">
        <v>2003.75</v>
      </c>
      <c r="G20" s="194">
        <f t="shared" si="2"/>
        <v>0</v>
      </c>
    </row>
    <row r="21" spans="1:10" ht="14.25" hidden="1" customHeight="1" x14ac:dyDescent="0.25">
      <c r="A21" s="197">
        <v>44963</v>
      </c>
      <c r="B21" s="200">
        <f t="shared" si="0"/>
        <v>0</v>
      </c>
      <c r="C21" s="180" t="str">
        <f t="shared" si="1"/>
        <v>debit</v>
      </c>
      <c r="D21" s="194" t="s">
        <v>204</v>
      </c>
      <c r="E21" s="194">
        <v>-22.33</v>
      </c>
      <c r="F21" s="196">
        <v>1981.42</v>
      </c>
      <c r="G21" s="194">
        <f t="shared" si="2"/>
        <v>0</v>
      </c>
    </row>
    <row r="22" spans="1:10" ht="15.75" customHeight="1" x14ac:dyDescent="0.25">
      <c r="A22" s="197">
        <v>44967</v>
      </c>
      <c r="B22" s="200">
        <f t="shared" si="0"/>
        <v>1</v>
      </c>
      <c r="C22" s="180" t="str">
        <f t="shared" si="1"/>
        <v>credit</v>
      </c>
      <c r="D22" s="194" t="s">
        <v>205</v>
      </c>
      <c r="E22" s="194">
        <v>900.35</v>
      </c>
      <c r="F22" s="196">
        <v>2881.77</v>
      </c>
      <c r="G22" s="194">
        <f t="shared" si="2"/>
        <v>900.35</v>
      </c>
    </row>
    <row r="23" spans="1:10" ht="15.75" hidden="1" customHeight="1" x14ac:dyDescent="0.25">
      <c r="A23" s="197">
        <v>44967</v>
      </c>
      <c r="B23" s="200">
        <f t="shared" si="0"/>
        <v>0</v>
      </c>
      <c r="C23" s="180" t="str">
        <f t="shared" si="1"/>
        <v>debit</v>
      </c>
      <c r="D23" s="194" t="s">
        <v>206</v>
      </c>
      <c r="E23" s="194">
        <v>-900</v>
      </c>
      <c r="F23" s="196">
        <v>1981.77</v>
      </c>
      <c r="G23" s="194">
        <f t="shared" si="2"/>
        <v>0</v>
      </c>
      <c r="J23" s="197"/>
    </row>
    <row r="24" spans="1:10" ht="14.25" hidden="1" customHeight="1" x14ac:dyDescent="0.25">
      <c r="A24" s="197">
        <v>44971</v>
      </c>
      <c r="B24" s="200">
        <f t="shared" si="0"/>
        <v>0</v>
      </c>
      <c r="C24" s="180" t="str">
        <f t="shared" si="1"/>
        <v>debit</v>
      </c>
      <c r="D24" s="194" t="s">
        <v>207</v>
      </c>
      <c r="E24" s="194">
        <v>-60</v>
      </c>
      <c r="F24" s="196">
        <v>1921.77</v>
      </c>
      <c r="G24" s="194">
        <f t="shared" si="2"/>
        <v>0</v>
      </c>
    </row>
    <row r="25" spans="1:10" ht="14.25" hidden="1" customHeight="1" x14ac:dyDescent="0.25">
      <c r="A25" s="197">
        <v>44971</v>
      </c>
      <c r="B25" s="200">
        <f t="shared" si="0"/>
        <v>0</v>
      </c>
      <c r="C25" s="180" t="str">
        <f t="shared" si="1"/>
        <v>debit</v>
      </c>
      <c r="D25" s="194" t="s">
        <v>202</v>
      </c>
      <c r="E25" s="194">
        <v>-80</v>
      </c>
      <c r="F25" s="196">
        <v>1841.77</v>
      </c>
      <c r="G25" s="194">
        <f t="shared" si="2"/>
        <v>0</v>
      </c>
    </row>
    <row r="26" spans="1:10" ht="14.25" hidden="1" customHeight="1" x14ac:dyDescent="0.25">
      <c r="A26" s="197">
        <v>44973</v>
      </c>
      <c r="B26" s="200">
        <f t="shared" si="0"/>
        <v>0</v>
      </c>
      <c r="C26" s="180" t="str">
        <f t="shared" si="1"/>
        <v>debit</v>
      </c>
      <c r="D26" s="194" t="s">
        <v>208</v>
      </c>
      <c r="E26" s="194">
        <v>-7.56</v>
      </c>
      <c r="F26" s="196">
        <v>1834.21</v>
      </c>
      <c r="G26" s="194">
        <f t="shared" si="2"/>
        <v>0</v>
      </c>
    </row>
    <row r="27" spans="1:10" ht="15.75" hidden="1" customHeight="1" x14ac:dyDescent="0.25">
      <c r="A27" s="197">
        <v>44973</v>
      </c>
      <c r="B27" s="200">
        <f t="shared" si="0"/>
        <v>0</v>
      </c>
      <c r="C27" s="180" t="str">
        <f t="shared" si="1"/>
        <v>debit</v>
      </c>
      <c r="D27" s="194" t="s">
        <v>202</v>
      </c>
      <c r="E27" s="194">
        <v>-7</v>
      </c>
      <c r="F27" s="196">
        <v>1827.21</v>
      </c>
      <c r="G27" s="194">
        <f t="shared" si="2"/>
        <v>0</v>
      </c>
      <c r="J27" s="197"/>
    </row>
    <row r="28" spans="1:10" ht="14.25" customHeight="1" x14ac:dyDescent="0.25">
      <c r="A28" s="197">
        <v>44974</v>
      </c>
      <c r="B28" s="200">
        <f t="shared" si="0"/>
        <v>1</v>
      </c>
      <c r="C28" s="180" t="str">
        <f t="shared" si="1"/>
        <v>credit</v>
      </c>
      <c r="D28" s="194" t="s">
        <v>209</v>
      </c>
      <c r="E28" s="194">
        <v>169.92</v>
      </c>
      <c r="F28" s="196">
        <v>1997.13</v>
      </c>
      <c r="G28" s="194">
        <f t="shared" si="2"/>
        <v>169.92</v>
      </c>
    </row>
    <row r="29" spans="1:10" ht="14.25" hidden="1" customHeight="1" x14ac:dyDescent="0.25">
      <c r="A29" s="197">
        <v>44974</v>
      </c>
      <c r="B29" s="200">
        <f t="shared" si="0"/>
        <v>0</v>
      </c>
      <c r="C29" s="180" t="str">
        <f t="shared" si="1"/>
        <v>debit</v>
      </c>
      <c r="D29" s="194" t="s">
        <v>210</v>
      </c>
      <c r="E29" s="194">
        <v>-150</v>
      </c>
      <c r="F29" s="196">
        <v>1847.13</v>
      </c>
      <c r="G29" s="194">
        <f t="shared" si="2"/>
        <v>0</v>
      </c>
    </row>
    <row r="30" spans="1:10" ht="14.25" customHeight="1" x14ac:dyDescent="0.25">
      <c r="A30" s="197">
        <v>44978</v>
      </c>
      <c r="B30" s="200">
        <f t="shared" si="0"/>
        <v>1</v>
      </c>
      <c r="C30" s="180" t="str">
        <f t="shared" si="1"/>
        <v>credit</v>
      </c>
      <c r="D30" s="194" t="s">
        <v>211</v>
      </c>
      <c r="E30" s="194">
        <v>500</v>
      </c>
      <c r="F30" s="196">
        <v>2347.13</v>
      </c>
      <c r="G30" s="194">
        <f t="shared" si="2"/>
        <v>500</v>
      </c>
    </row>
    <row r="31" spans="1:10" ht="15.75" customHeight="1" x14ac:dyDescent="0.25">
      <c r="A31" s="197">
        <v>44978</v>
      </c>
      <c r="B31" s="200">
        <f t="shared" si="0"/>
        <v>1</v>
      </c>
      <c r="C31" s="180" t="str">
        <f t="shared" si="1"/>
        <v>credit</v>
      </c>
      <c r="D31" s="194" t="s">
        <v>212</v>
      </c>
      <c r="E31" s="194">
        <v>250</v>
      </c>
      <c r="F31" s="196">
        <v>2597.13</v>
      </c>
      <c r="G31" s="194">
        <f t="shared" si="2"/>
        <v>250</v>
      </c>
      <c r="J31" s="197"/>
    </row>
    <row r="32" spans="1:10" ht="14.25" hidden="1" customHeight="1" x14ac:dyDescent="0.25">
      <c r="A32" s="197">
        <v>44978</v>
      </c>
      <c r="B32" s="200">
        <f t="shared" si="0"/>
        <v>0</v>
      </c>
      <c r="C32" s="180" t="str">
        <f t="shared" si="1"/>
        <v>debit</v>
      </c>
      <c r="D32" s="194" t="s">
        <v>213</v>
      </c>
      <c r="E32" s="194">
        <v>-105</v>
      </c>
      <c r="F32" s="196">
        <v>2492.13</v>
      </c>
      <c r="G32" s="194">
        <f t="shared" si="2"/>
        <v>0</v>
      </c>
    </row>
    <row r="33" spans="1:10" ht="14.25" hidden="1" customHeight="1" x14ac:dyDescent="0.25">
      <c r="A33" s="197">
        <v>44978</v>
      </c>
      <c r="B33" s="200">
        <f t="shared" si="0"/>
        <v>0</v>
      </c>
      <c r="C33" s="180" t="str">
        <f t="shared" si="1"/>
        <v>debit</v>
      </c>
      <c r="D33" s="194" t="s">
        <v>214</v>
      </c>
      <c r="E33" s="194">
        <v>-65</v>
      </c>
      <c r="F33" s="196">
        <v>2427.13</v>
      </c>
      <c r="G33" s="194">
        <f t="shared" si="2"/>
        <v>0</v>
      </c>
    </row>
    <row r="34" spans="1:10" ht="14.25" hidden="1" customHeight="1" x14ac:dyDescent="0.25">
      <c r="A34" s="197">
        <v>44978</v>
      </c>
      <c r="B34" s="200">
        <f t="shared" si="0"/>
        <v>0</v>
      </c>
      <c r="C34" s="180" t="str">
        <f t="shared" si="1"/>
        <v>debit</v>
      </c>
      <c r="D34" s="194" t="s">
        <v>215</v>
      </c>
      <c r="E34" s="194">
        <v>-40</v>
      </c>
      <c r="F34" s="196">
        <v>2387.13</v>
      </c>
      <c r="G34" s="194">
        <f t="shared" si="2"/>
        <v>0</v>
      </c>
    </row>
    <row r="35" spans="1:10" ht="15.75" hidden="1" customHeight="1" x14ac:dyDescent="0.25">
      <c r="A35" s="197">
        <v>44978</v>
      </c>
      <c r="B35" s="200">
        <f t="shared" si="0"/>
        <v>0</v>
      </c>
      <c r="C35" s="180" t="str">
        <f t="shared" si="1"/>
        <v>debit</v>
      </c>
      <c r="D35" s="194" t="s">
        <v>216</v>
      </c>
      <c r="E35" s="194">
        <v>-25</v>
      </c>
      <c r="F35" s="196">
        <v>2362.13</v>
      </c>
      <c r="G35" s="194">
        <f t="shared" si="2"/>
        <v>0</v>
      </c>
      <c r="J35" s="197"/>
    </row>
    <row r="36" spans="1:10" ht="14.25" hidden="1" customHeight="1" x14ac:dyDescent="0.25">
      <c r="A36" s="197">
        <v>44979</v>
      </c>
      <c r="B36" s="200">
        <f t="shared" si="0"/>
        <v>0</v>
      </c>
      <c r="C36" s="180" t="str">
        <f t="shared" si="1"/>
        <v>debit</v>
      </c>
      <c r="D36" s="194" t="s">
        <v>217</v>
      </c>
      <c r="E36" s="194">
        <v>-200</v>
      </c>
      <c r="F36" s="196">
        <v>2162.13</v>
      </c>
      <c r="G36" s="194">
        <f t="shared" si="2"/>
        <v>0</v>
      </c>
    </row>
    <row r="37" spans="1:10" ht="15.75" customHeight="1" x14ac:dyDescent="0.25">
      <c r="B37" s="200"/>
      <c r="C37" s="155"/>
    </row>
    <row r="38" spans="1:10" ht="15.75" customHeight="1" x14ac:dyDescent="0.25">
      <c r="B38" s="200"/>
      <c r="C38" s="155"/>
    </row>
    <row r="39" spans="1:10" ht="15.75" customHeight="1" x14ac:dyDescent="0.25">
      <c r="B39" s="200"/>
      <c r="C39" s="155"/>
      <c r="J39" s="197"/>
    </row>
    <row r="40" spans="1:10" ht="15.75" customHeight="1" x14ac:dyDescent="0.25">
      <c r="B40" s="200"/>
      <c r="C40" s="155"/>
    </row>
    <row r="41" spans="1:10" ht="15.75" customHeight="1" x14ac:dyDescent="0.25">
      <c r="B41" s="200"/>
      <c r="C41" s="155"/>
    </row>
    <row r="42" spans="1:10" ht="14.25" customHeight="1" x14ac:dyDescent="0.25">
      <c r="B42" s="200"/>
      <c r="C42" s="155"/>
    </row>
    <row r="43" spans="1:10" ht="15.75" customHeight="1" x14ac:dyDescent="0.25">
      <c r="B43" s="200"/>
      <c r="C43" s="155"/>
      <c r="D43" s="158" t="s">
        <v>218</v>
      </c>
      <c r="E43" s="194">
        <v>300</v>
      </c>
      <c r="J43" s="197"/>
    </row>
    <row r="44" spans="1:10" ht="15.75" customHeight="1" x14ac:dyDescent="0.25">
      <c r="B44" s="200"/>
      <c r="C44" s="155"/>
      <c r="E44" s="194">
        <v>900.35</v>
      </c>
    </row>
    <row r="45" spans="1:10" ht="15.75" customHeight="1" x14ac:dyDescent="0.25">
      <c r="B45" s="200"/>
      <c r="C45" s="155"/>
      <c r="E45" s="194">
        <v>169.92</v>
      </c>
    </row>
    <row r="46" spans="1:10" ht="14.25" customHeight="1" x14ac:dyDescent="0.25">
      <c r="B46" s="200"/>
      <c r="C46" s="155"/>
      <c r="D46" s="194" t="s">
        <v>219</v>
      </c>
      <c r="E46" s="194">
        <v>350</v>
      </c>
    </row>
    <row r="47" spans="1:10" ht="15.75" customHeight="1" x14ac:dyDescent="0.25">
      <c r="B47" s="200"/>
      <c r="C47" s="155"/>
      <c r="E47" s="201">
        <f>SUM(E43:E46)</f>
        <v>1720.27</v>
      </c>
      <c r="J47" s="197"/>
    </row>
    <row r="48" spans="1:10" ht="15.75" customHeight="1" x14ac:dyDescent="0.25">
      <c r="A48" s="202"/>
    </row>
    <row r="49" spans="1:11" ht="15.75" customHeight="1" x14ac:dyDescent="0.25">
      <c r="A49" s="203"/>
    </row>
    <row r="50" spans="1:11" ht="15.75" customHeight="1" x14ac:dyDescent="0.25">
      <c r="K50" s="196"/>
    </row>
    <row r="51" spans="1:11" ht="15.75" customHeight="1" x14ac:dyDescent="0.25">
      <c r="J51" s="197"/>
    </row>
    <row r="52" spans="1:11" ht="15.75" customHeight="1" x14ac:dyDescent="0.25">
      <c r="A52" s="202"/>
    </row>
    <row r="53" spans="1:11" ht="15.75" customHeight="1" x14ac:dyDescent="0.25">
      <c r="A53" s="203"/>
    </row>
    <row r="54" spans="1:11" ht="14.25" customHeight="1" x14ac:dyDescent="0.25"/>
    <row r="55" spans="1:11" ht="15.75" customHeight="1" x14ac:dyDescent="0.25">
      <c r="J55" s="197"/>
    </row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5.75" customHeight="1" x14ac:dyDescent="0.25">
      <c r="J59" s="197"/>
    </row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5.75" customHeight="1" x14ac:dyDescent="0.25">
      <c r="J63" s="197"/>
    </row>
    <row r="64" spans="1:11" ht="14.25" customHeight="1" x14ac:dyDescent="0.25"/>
    <row r="65" spans="10:10" ht="14.25" customHeight="1" x14ac:dyDescent="0.25"/>
    <row r="66" spans="10:10" ht="14.25" customHeight="1" x14ac:dyDescent="0.25"/>
    <row r="67" spans="10:10" ht="15.75" customHeight="1" x14ac:dyDescent="0.25">
      <c r="J67" s="197"/>
    </row>
    <row r="68" spans="10:10" ht="14.25" customHeight="1" x14ac:dyDescent="0.25"/>
    <row r="69" spans="10:10" ht="14.25" customHeight="1" x14ac:dyDescent="0.25"/>
    <row r="70" spans="10:10" ht="14.25" customHeight="1" x14ac:dyDescent="0.25"/>
    <row r="71" spans="10:10" ht="15.75" customHeight="1" x14ac:dyDescent="0.25">
      <c r="J71" s="197"/>
    </row>
    <row r="72" spans="10:10" ht="14.25" customHeight="1" x14ac:dyDescent="0.25"/>
    <row r="73" spans="10:10" ht="14.25" customHeight="1" x14ac:dyDescent="0.25"/>
    <row r="74" spans="10:10" ht="14.25" customHeight="1" x14ac:dyDescent="0.25"/>
    <row r="75" spans="10:10" ht="15.75" customHeight="1" x14ac:dyDescent="0.25">
      <c r="J75" s="197"/>
    </row>
    <row r="76" spans="10:10" ht="14.25" customHeight="1" x14ac:dyDescent="0.25"/>
    <row r="77" spans="10:10" ht="14.25" customHeight="1" x14ac:dyDescent="0.25"/>
    <row r="78" spans="10:10" ht="14.25" customHeight="1" x14ac:dyDescent="0.25"/>
    <row r="79" spans="10:10" ht="15.75" customHeight="1" x14ac:dyDescent="0.25">
      <c r="J79" s="197"/>
    </row>
    <row r="80" spans="10:1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6" xr:uid="{00000000-0009-0000-0000-000003000000}">
    <filterColumn colId="2">
      <filters>
        <filter val="credit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6" width="13.42578125" customWidth="1"/>
    <col min="7" max="7" width="14.42578125" customWidth="1"/>
    <col min="8" max="8" width="36.85546875" customWidth="1"/>
    <col min="9" max="9" width="11.5703125" customWidth="1"/>
    <col min="10" max="10" width="15.7109375" customWidth="1"/>
    <col min="11" max="14" width="8.7109375" customWidth="1"/>
  </cols>
  <sheetData>
    <row r="1" spans="1:10" x14ac:dyDescent="0.25">
      <c r="A1" s="156" t="s">
        <v>220</v>
      </c>
    </row>
    <row r="2" spans="1:10" x14ac:dyDescent="0.25">
      <c r="A2" s="156" t="s">
        <v>221</v>
      </c>
    </row>
    <row r="3" spans="1:10" x14ac:dyDescent="0.25">
      <c r="A3" s="156" t="s">
        <v>222</v>
      </c>
      <c r="B3" s="156" t="s">
        <v>223</v>
      </c>
      <c r="C3" s="156" t="s">
        <v>224</v>
      </c>
      <c r="D3" s="156" t="s">
        <v>225</v>
      </c>
      <c r="G3" s="155" t="s">
        <v>124</v>
      </c>
      <c r="H3" s="155" t="s">
        <v>125</v>
      </c>
      <c r="I3" s="155" t="s">
        <v>83</v>
      </c>
    </row>
    <row r="4" spans="1:10" x14ac:dyDescent="0.25">
      <c r="F4" s="156" t="s">
        <v>126</v>
      </c>
      <c r="G4" s="157">
        <f>D6+D7+D8+D9</f>
        <v>46043.409999999996</v>
      </c>
      <c r="H4" s="157">
        <f>D11+D12</f>
        <v>5092.34</v>
      </c>
      <c r="I4" s="157">
        <f t="shared" ref="I4:I6" si="0">G4+H4</f>
        <v>51135.75</v>
      </c>
    </row>
    <row r="5" spans="1:10" x14ac:dyDescent="0.25">
      <c r="A5" s="156" t="s">
        <v>226</v>
      </c>
      <c r="F5" s="158" t="s">
        <v>227</v>
      </c>
      <c r="G5" s="157">
        <v>5000</v>
      </c>
      <c r="H5" s="157">
        <f>D10+1400</f>
        <v>6436</v>
      </c>
      <c r="I5" s="157">
        <f t="shared" si="0"/>
        <v>11436</v>
      </c>
    </row>
    <row r="6" spans="1:10" x14ac:dyDescent="0.25">
      <c r="A6" s="156" t="s">
        <v>228</v>
      </c>
      <c r="B6" s="156" t="s">
        <v>229</v>
      </c>
      <c r="C6" s="156" t="s">
        <v>230</v>
      </c>
      <c r="D6" s="196">
        <v>20483.509999999998</v>
      </c>
      <c r="F6" s="156" t="s">
        <v>231</v>
      </c>
      <c r="G6" s="157">
        <f>VLOOKUP(F6,A5:D29,4,FALSE)</f>
        <v>28434.54</v>
      </c>
      <c r="I6" s="157">
        <f t="shared" si="0"/>
        <v>28434.54</v>
      </c>
      <c r="J6" s="157">
        <f>G5+G6+H7</f>
        <v>47818.22</v>
      </c>
    </row>
    <row r="7" spans="1:10" ht="13.5" customHeight="1" x14ac:dyDescent="0.25">
      <c r="A7" s="156" t="s">
        <v>232</v>
      </c>
      <c r="B7" s="156" t="s">
        <v>233</v>
      </c>
      <c r="C7" s="156" t="s">
        <v>230</v>
      </c>
      <c r="D7" s="196">
        <v>22464.09</v>
      </c>
      <c r="E7" s="194"/>
      <c r="F7" s="156" t="s">
        <v>129</v>
      </c>
      <c r="G7" s="157">
        <f>SUM(G4:G6)</f>
        <v>79477.95</v>
      </c>
      <c r="H7" s="157">
        <f>D13</f>
        <v>14383.68</v>
      </c>
      <c r="I7" s="157">
        <f>SUM(I4:I6)</f>
        <v>91006.290000000008</v>
      </c>
      <c r="J7" s="157">
        <f>G8*0.047</f>
        <v>-1012.99805</v>
      </c>
    </row>
    <row r="8" spans="1:10" ht="14.25" customHeight="1" x14ac:dyDescent="0.25">
      <c r="A8" s="156" t="s">
        <v>234</v>
      </c>
      <c r="B8" s="156" t="s">
        <v>229</v>
      </c>
      <c r="C8" s="156" t="s">
        <v>230</v>
      </c>
      <c r="D8" s="196">
        <v>3030.54</v>
      </c>
      <c r="F8" s="159" t="s">
        <v>235</v>
      </c>
      <c r="G8" s="160">
        <f>-VLOOKUP(F8,A33:D52,4,)</f>
        <v>-21553.15</v>
      </c>
      <c r="H8" s="159"/>
      <c r="I8" s="160">
        <f>G7+G8+H7</f>
        <v>72308.479999999996</v>
      </c>
      <c r="J8" s="159" t="s">
        <v>131</v>
      </c>
    </row>
    <row r="9" spans="1:10" ht="14.25" customHeight="1" x14ac:dyDescent="0.25">
      <c r="A9" s="156" t="s">
        <v>236</v>
      </c>
      <c r="B9" s="156" t="s">
        <v>229</v>
      </c>
      <c r="C9" s="156" t="s">
        <v>230</v>
      </c>
      <c r="D9" s="156">
        <v>65.27</v>
      </c>
      <c r="E9" s="194"/>
      <c r="F9" s="158" t="s">
        <v>132</v>
      </c>
      <c r="G9" s="157">
        <f>I4</f>
        <v>51135.75</v>
      </c>
      <c r="H9" s="157">
        <f>I5</f>
        <v>11436</v>
      </c>
      <c r="I9" s="157">
        <f>G9+H9+I6</f>
        <v>91006.290000000008</v>
      </c>
    </row>
    <row r="10" spans="1:10" ht="14.25" customHeight="1" x14ac:dyDescent="0.25">
      <c r="A10" s="156" t="s">
        <v>237</v>
      </c>
      <c r="B10" s="156" t="s">
        <v>238</v>
      </c>
      <c r="C10" s="156" t="s">
        <v>230</v>
      </c>
      <c r="D10" s="196">
        <v>5036</v>
      </c>
      <c r="E10" s="194"/>
      <c r="F10" s="204" t="s">
        <v>133</v>
      </c>
      <c r="G10" s="205">
        <f>I7</f>
        <v>91006.290000000008</v>
      </c>
    </row>
    <row r="11" spans="1:10" ht="14.25" customHeight="1" x14ac:dyDescent="0.25">
      <c r="A11" s="156" t="s">
        <v>239</v>
      </c>
      <c r="B11" s="156" t="s">
        <v>240</v>
      </c>
      <c r="C11" s="156" t="s">
        <v>230</v>
      </c>
      <c r="D11" s="196">
        <v>1430.26</v>
      </c>
      <c r="E11" s="194"/>
      <c r="F11" s="156" t="s">
        <v>128</v>
      </c>
      <c r="G11" s="156" t="s">
        <v>146</v>
      </c>
      <c r="H11" s="156" t="s">
        <v>147</v>
      </c>
    </row>
    <row r="12" spans="1:10" ht="14.25" customHeight="1" x14ac:dyDescent="0.25">
      <c r="A12" s="156" t="s">
        <v>241</v>
      </c>
      <c r="B12" s="156" t="s">
        <v>240</v>
      </c>
      <c r="C12" s="156" t="s">
        <v>230</v>
      </c>
      <c r="D12" s="196">
        <v>3662.08</v>
      </c>
      <c r="E12" s="194"/>
      <c r="F12" s="157">
        <f>G6</f>
        <v>28434.54</v>
      </c>
      <c r="G12" s="157">
        <f>I5</f>
        <v>11436</v>
      </c>
      <c r="H12" s="157">
        <f>I4</f>
        <v>51135.75</v>
      </c>
      <c r="I12" s="157"/>
    </row>
    <row r="13" spans="1:10" ht="14.25" customHeight="1" x14ac:dyDescent="0.25">
      <c r="A13" s="156" t="s">
        <v>242</v>
      </c>
      <c r="B13" s="156" t="s">
        <v>243</v>
      </c>
      <c r="C13" s="156" t="s">
        <v>230</v>
      </c>
      <c r="D13" s="196">
        <v>14383.68</v>
      </c>
      <c r="E13" s="194"/>
    </row>
    <row r="14" spans="1:10" ht="14.25" customHeight="1" x14ac:dyDescent="0.25">
      <c r="A14" s="156" t="s">
        <v>244</v>
      </c>
      <c r="B14" s="156" t="s">
        <v>245</v>
      </c>
      <c r="C14" s="156" t="s">
        <v>230</v>
      </c>
      <c r="D14" s="196">
        <v>70555.429999999993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246</v>
      </c>
      <c r="E16" s="194"/>
    </row>
    <row r="17" spans="1:12" ht="14.25" customHeight="1" x14ac:dyDescent="0.25">
      <c r="A17" s="156" t="s">
        <v>247</v>
      </c>
      <c r="B17" s="156" t="s">
        <v>248</v>
      </c>
      <c r="C17" s="156" t="s">
        <v>230</v>
      </c>
      <c r="D17" s="156">
        <v>194.15</v>
      </c>
      <c r="E17" s="194"/>
    </row>
    <row r="18" spans="1:12" ht="14.25" customHeight="1" x14ac:dyDescent="0.25">
      <c r="A18" s="156" t="s">
        <v>249</v>
      </c>
      <c r="B18" s="156" t="s">
        <v>229</v>
      </c>
      <c r="C18" s="156" t="s">
        <v>230</v>
      </c>
      <c r="D18" s="156">
        <v>138</v>
      </c>
      <c r="E18" s="194"/>
    </row>
    <row r="19" spans="1:12" ht="14.25" customHeight="1" x14ac:dyDescent="0.25">
      <c r="A19" s="156" t="s">
        <v>250</v>
      </c>
      <c r="B19" s="156" t="s">
        <v>229</v>
      </c>
      <c r="C19" s="156" t="s">
        <v>230</v>
      </c>
      <c r="E19" s="196"/>
    </row>
    <row r="20" spans="1:12" ht="14.25" customHeight="1" x14ac:dyDescent="0.25">
      <c r="A20" s="156" t="s">
        <v>251</v>
      </c>
      <c r="B20" s="156" t="s">
        <v>229</v>
      </c>
      <c r="C20" s="156" t="s">
        <v>230</v>
      </c>
      <c r="D20" s="156">
        <v>520.4</v>
      </c>
      <c r="E20" s="194"/>
    </row>
    <row r="21" spans="1:12" ht="14.25" customHeight="1" x14ac:dyDescent="0.25">
      <c r="A21" s="156" t="s">
        <v>252</v>
      </c>
      <c r="B21" s="156" t="s">
        <v>253</v>
      </c>
      <c r="C21" s="156" t="s">
        <v>230</v>
      </c>
      <c r="D21" s="156">
        <v>0</v>
      </c>
      <c r="E21" s="196"/>
    </row>
    <row r="22" spans="1:12" ht="14.25" customHeight="1" x14ac:dyDescent="0.25">
      <c r="A22" s="156" t="s">
        <v>254</v>
      </c>
      <c r="B22" s="156" t="s">
        <v>229</v>
      </c>
      <c r="C22" s="156" t="s">
        <v>230</v>
      </c>
      <c r="D22" s="196">
        <v>17352</v>
      </c>
      <c r="E22" s="196"/>
    </row>
    <row r="23" spans="1:12" ht="14.25" customHeight="1" x14ac:dyDescent="0.25">
      <c r="A23" s="156" t="s">
        <v>255</v>
      </c>
      <c r="B23" s="156" t="s">
        <v>256</v>
      </c>
      <c r="C23" s="156" t="s">
        <v>230</v>
      </c>
      <c r="D23" s="156">
        <v>178.67</v>
      </c>
      <c r="E23" s="196"/>
    </row>
    <row r="24" spans="1:12" ht="14.25" customHeight="1" x14ac:dyDescent="0.25">
      <c r="A24" s="156" t="s">
        <v>257</v>
      </c>
      <c r="B24" s="156" t="s">
        <v>229</v>
      </c>
      <c r="C24" s="156" t="s">
        <v>230</v>
      </c>
      <c r="D24" s="196">
        <v>10001.15</v>
      </c>
      <c r="E24" s="194"/>
    </row>
    <row r="25" spans="1:12" ht="14.25" customHeight="1" x14ac:dyDescent="0.25">
      <c r="A25" s="156" t="s">
        <v>231</v>
      </c>
      <c r="B25" s="156" t="s">
        <v>245</v>
      </c>
      <c r="C25" s="156" t="s">
        <v>230</v>
      </c>
      <c r="D25" s="196">
        <v>28434.54</v>
      </c>
      <c r="E25" s="196"/>
    </row>
    <row r="26" spans="1:12" ht="14.25" customHeight="1" x14ac:dyDescent="0.25">
      <c r="E26" s="196"/>
    </row>
    <row r="27" spans="1:12" ht="14.25" customHeight="1" x14ac:dyDescent="0.25">
      <c r="A27" s="156" t="s">
        <v>258</v>
      </c>
      <c r="E27" s="194"/>
      <c r="F27" s="196"/>
      <c r="G27" s="194"/>
    </row>
    <row r="28" spans="1:12" ht="14.25" customHeight="1" x14ac:dyDescent="0.25">
      <c r="A28" s="156" t="s">
        <v>259</v>
      </c>
      <c r="B28" s="156" t="s">
        <v>260</v>
      </c>
      <c r="C28" s="156" t="s">
        <v>230</v>
      </c>
      <c r="D28" s="196">
        <v>7500</v>
      </c>
      <c r="E28" s="194"/>
      <c r="F28" s="196"/>
      <c r="G28" s="194"/>
    </row>
    <row r="29" spans="1:12" ht="14.25" customHeight="1" x14ac:dyDescent="0.25">
      <c r="A29" s="156" t="s">
        <v>261</v>
      </c>
      <c r="B29" s="156" t="s">
        <v>245</v>
      </c>
      <c r="C29" s="156" t="s">
        <v>230</v>
      </c>
      <c r="D29" s="196">
        <v>7500</v>
      </c>
      <c r="E29" s="194"/>
      <c r="F29" s="196"/>
      <c r="G29" s="194"/>
    </row>
    <row r="30" spans="1:12" ht="14.25" customHeight="1" x14ac:dyDescent="0.25">
      <c r="E30" s="194"/>
      <c r="F30" s="196"/>
      <c r="G30" s="194" t="s">
        <v>262</v>
      </c>
      <c r="I30" s="206" t="str">
        <f>A7</f>
        <v>Merrill Lynch Merrill Edge-CMA-Edgex2085-CMA-x-2085</v>
      </c>
      <c r="K30" s="206" t="str">
        <f>A6</f>
        <v>Robinhood-Robinhood Brokerage-brokerageCash-x-8271</v>
      </c>
      <c r="L30" s="206" t="str">
        <f>A8</f>
        <v>Chase-Self-Directed-individual-x-3098</v>
      </c>
    </row>
    <row r="31" spans="1:12" ht="14.25" customHeight="1" x14ac:dyDescent="0.25">
      <c r="A31" s="156" t="s">
        <v>263</v>
      </c>
      <c r="B31" s="156" t="s">
        <v>245</v>
      </c>
      <c r="C31" s="156" t="s">
        <v>230</v>
      </c>
      <c r="D31" s="196">
        <v>101397.63</v>
      </c>
      <c r="E31" s="194"/>
      <c r="F31" s="196"/>
      <c r="G31" s="194" t="s">
        <v>264</v>
      </c>
      <c r="H31" s="156">
        <v>190</v>
      </c>
      <c r="I31" s="156">
        <v>347.38</v>
      </c>
      <c r="K31" s="156">
        <f>6.2*173</f>
        <v>1072.6000000000001</v>
      </c>
    </row>
    <row r="32" spans="1:12" ht="14.25" customHeight="1" x14ac:dyDescent="0.25">
      <c r="E32" s="194"/>
      <c r="F32" s="196"/>
      <c r="G32" s="194" t="s">
        <v>265</v>
      </c>
      <c r="H32" s="156">
        <v>150</v>
      </c>
      <c r="I32" s="156">
        <v>110</v>
      </c>
      <c r="J32" s="156">
        <f>H32/36.97</f>
        <v>4.0573437922639979</v>
      </c>
      <c r="K32" s="156">
        <v>152</v>
      </c>
    </row>
    <row r="33" spans="1:14" ht="14.25" customHeight="1" x14ac:dyDescent="0.25">
      <c r="A33" s="156" t="s">
        <v>266</v>
      </c>
      <c r="B33" s="156" t="s">
        <v>223</v>
      </c>
      <c r="C33" s="156" t="s">
        <v>224</v>
      </c>
      <c r="D33" s="156" t="s">
        <v>225</v>
      </c>
      <c r="E33" s="194"/>
      <c r="F33" s="196"/>
      <c r="G33" s="194" t="s">
        <v>267</v>
      </c>
      <c r="H33" s="156">
        <v>20</v>
      </c>
      <c r="K33" s="156">
        <v>450</v>
      </c>
    </row>
    <row r="34" spans="1:14" ht="14.25" customHeight="1" x14ac:dyDescent="0.25">
      <c r="E34" s="194"/>
      <c r="F34" s="196"/>
      <c r="G34" s="194" t="s">
        <v>268</v>
      </c>
      <c r="H34" s="156">
        <v>80</v>
      </c>
      <c r="I34" s="156">
        <v>154.69</v>
      </c>
      <c r="K34" s="156">
        <v>1000</v>
      </c>
    </row>
    <row r="35" spans="1:14" ht="14.25" customHeight="1" x14ac:dyDescent="0.25">
      <c r="A35" s="156" t="s">
        <v>269</v>
      </c>
      <c r="E35" s="194"/>
      <c r="F35" s="196"/>
      <c r="G35" s="194" t="s">
        <v>270</v>
      </c>
      <c r="H35" s="156">
        <v>250</v>
      </c>
      <c r="I35" s="156">
        <v>212.3</v>
      </c>
    </row>
    <row r="36" spans="1:14" ht="14.25" customHeight="1" x14ac:dyDescent="0.25">
      <c r="A36" s="156" t="s">
        <v>271</v>
      </c>
      <c r="B36" s="156" t="s">
        <v>229</v>
      </c>
      <c r="C36" s="156" t="s">
        <v>230</v>
      </c>
      <c r="D36" s="156">
        <v>0</v>
      </c>
      <c r="E36" s="194"/>
      <c r="F36" s="196"/>
      <c r="G36" s="194" t="s">
        <v>272</v>
      </c>
      <c r="H36" s="156">
        <v>450</v>
      </c>
      <c r="K36" s="156">
        <v>1000</v>
      </c>
    </row>
    <row r="37" spans="1:14" ht="14.25" customHeight="1" x14ac:dyDescent="0.25">
      <c r="A37" s="156" t="s">
        <v>273</v>
      </c>
      <c r="B37" s="156" t="s">
        <v>229</v>
      </c>
      <c r="C37" s="156" t="s">
        <v>230</v>
      </c>
      <c r="D37" s="156">
        <v>0</v>
      </c>
      <c r="E37" s="194"/>
      <c r="F37" s="196"/>
      <c r="G37" s="194" t="s">
        <v>274</v>
      </c>
      <c r="H37" s="156">
        <v>322</v>
      </c>
      <c r="I37" s="156">
        <v>494</v>
      </c>
    </row>
    <row r="38" spans="1:14" ht="14.25" customHeight="1" x14ac:dyDescent="0.25">
      <c r="A38" s="156" t="s">
        <v>275</v>
      </c>
      <c r="B38" s="156" t="s">
        <v>248</v>
      </c>
      <c r="C38" s="156" t="s">
        <v>230</v>
      </c>
      <c r="D38" s="196">
        <v>3465.34</v>
      </c>
      <c r="E38" s="207"/>
      <c r="G38" s="194" t="s">
        <v>276</v>
      </c>
      <c r="H38" s="156">
        <v>167</v>
      </c>
      <c r="K38" s="156">
        <f>4*122</f>
        <v>488</v>
      </c>
    </row>
    <row r="39" spans="1:14" ht="14.25" customHeight="1" x14ac:dyDescent="0.25">
      <c r="A39" s="156" t="s">
        <v>277</v>
      </c>
      <c r="B39" s="156" t="s">
        <v>248</v>
      </c>
      <c r="C39" s="156" t="s">
        <v>230</v>
      </c>
      <c r="D39" s="196">
        <v>10318.950000000001</v>
      </c>
      <c r="G39" s="194" t="s">
        <v>278</v>
      </c>
      <c r="K39" s="156">
        <f>3.135147*397</f>
        <v>1244.6533589999999</v>
      </c>
    </row>
    <row r="40" spans="1:14" ht="14.25" customHeight="1" x14ac:dyDescent="0.25">
      <c r="A40" s="156" t="s">
        <v>279</v>
      </c>
      <c r="B40" s="156" t="s">
        <v>280</v>
      </c>
      <c r="C40" s="156" t="s">
        <v>230</v>
      </c>
      <c r="D40" s="156">
        <v>0</v>
      </c>
      <c r="G40" s="194" t="s">
        <v>281</v>
      </c>
      <c r="K40" s="156">
        <v>223</v>
      </c>
      <c r="L40" s="156">
        <f>2*454.5</f>
        <v>909</v>
      </c>
    </row>
    <row r="41" spans="1:14" ht="14.25" customHeight="1" x14ac:dyDescent="0.25">
      <c r="A41" s="156" t="s">
        <v>282</v>
      </c>
      <c r="B41" s="156" t="s">
        <v>283</v>
      </c>
      <c r="C41" s="156" t="s">
        <v>230</v>
      </c>
      <c r="D41" s="156">
        <v>0</v>
      </c>
      <c r="G41" s="194" t="s">
        <v>284</v>
      </c>
      <c r="K41" s="156">
        <v>313</v>
      </c>
    </row>
    <row r="42" spans="1:14" ht="14.25" customHeight="1" x14ac:dyDescent="0.25">
      <c r="A42" s="156" t="s">
        <v>285</v>
      </c>
      <c r="B42" s="156" t="s">
        <v>248</v>
      </c>
      <c r="C42" s="156" t="s">
        <v>230</v>
      </c>
      <c r="D42" s="156">
        <v>-27.28</v>
      </c>
      <c r="E42" s="194"/>
      <c r="G42" s="194" t="s">
        <v>286</v>
      </c>
      <c r="K42" s="156">
        <v>430</v>
      </c>
    </row>
    <row r="43" spans="1:14" ht="14.25" customHeight="1" x14ac:dyDescent="0.25">
      <c r="A43" s="156" t="s">
        <v>287</v>
      </c>
      <c r="B43" s="156" t="s">
        <v>288</v>
      </c>
      <c r="C43" s="156" t="s">
        <v>230</v>
      </c>
      <c r="D43" s="156">
        <v>0</v>
      </c>
      <c r="E43" s="194"/>
      <c r="G43" s="194" t="s">
        <v>289</v>
      </c>
      <c r="K43" s="156">
        <v>300</v>
      </c>
    </row>
    <row r="44" spans="1:14" ht="14.25" customHeight="1" x14ac:dyDescent="0.25">
      <c r="A44" s="156" t="s">
        <v>290</v>
      </c>
      <c r="B44" s="156" t="s">
        <v>280</v>
      </c>
      <c r="C44" s="156" t="s">
        <v>230</v>
      </c>
      <c r="D44" s="156">
        <v>0</v>
      </c>
      <c r="E44" s="194"/>
      <c r="H44" s="156">
        <f t="shared" ref="H44:I44" si="1">SUM(H29:H43)</f>
        <v>1629</v>
      </c>
      <c r="I44" s="156">
        <f t="shared" si="1"/>
        <v>1318.37</v>
      </c>
      <c r="K44" s="156">
        <f t="shared" ref="K44:L44" si="2">SUM(K29:K43)</f>
        <v>6673.2533590000003</v>
      </c>
      <c r="L44" s="156">
        <f t="shared" si="2"/>
        <v>909</v>
      </c>
      <c r="M44" s="156">
        <f>SUM(I44:L44)</f>
        <v>8900.6233590000011</v>
      </c>
    </row>
    <row r="45" spans="1:14" ht="14.25" customHeight="1" x14ac:dyDescent="0.25">
      <c r="A45" s="156" t="s">
        <v>291</v>
      </c>
      <c r="B45" s="156" t="s">
        <v>229</v>
      </c>
      <c r="C45" s="156" t="s">
        <v>230</v>
      </c>
      <c r="D45" s="156">
        <v>266.43</v>
      </c>
      <c r="E45" s="194"/>
    </row>
    <row r="46" spans="1:14" ht="14.25" customHeight="1" x14ac:dyDescent="0.25">
      <c r="A46" s="156" t="s">
        <v>292</v>
      </c>
      <c r="B46" s="156" t="s">
        <v>229</v>
      </c>
      <c r="C46" s="156" t="s">
        <v>230</v>
      </c>
      <c r="D46" s="156">
        <v>0</v>
      </c>
      <c r="E46" s="194"/>
      <c r="I46" s="156" t="s">
        <v>293</v>
      </c>
      <c r="J46" s="156">
        <v>2300</v>
      </c>
      <c r="M46" s="156">
        <f>SUM(J46+M44)</f>
        <v>11200.623359000001</v>
      </c>
      <c r="N46" s="156" t="s">
        <v>294</v>
      </c>
    </row>
    <row r="47" spans="1:14" ht="14.25" customHeight="1" x14ac:dyDescent="0.25">
      <c r="A47" s="156" t="s">
        <v>295</v>
      </c>
      <c r="B47" s="156" t="s">
        <v>229</v>
      </c>
      <c r="C47" s="156" t="s">
        <v>230</v>
      </c>
      <c r="D47" s="156">
        <v>0</v>
      </c>
      <c r="E47" s="194"/>
    </row>
    <row r="48" spans="1:14" ht="14.25" customHeight="1" x14ac:dyDescent="0.25">
      <c r="A48" s="156" t="s">
        <v>296</v>
      </c>
      <c r="B48" s="156" t="s">
        <v>297</v>
      </c>
      <c r="C48" s="156" t="s">
        <v>230</v>
      </c>
      <c r="D48" s="156">
        <v>0</v>
      </c>
    </row>
    <row r="49" spans="1:5" ht="14.25" customHeight="1" x14ac:dyDescent="0.25">
      <c r="A49" s="156" t="s">
        <v>298</v>
      </c>
      <c r="B49" s="156" t="s">
        <v>297</v>
      </c>
      <c r="C49" s="156" t="s">
        <v>230</v>
      </c>
      <c r="D49" s="156">
        <v>0</v>
      </c>
    </row>
    <row r="50" spans="1:5" ht="14.25" customHeight="1" x14ac:dyDescent="0.25">
      <c r="A50" s="156" t="s">
        <v>299</v>
      </c>
      <c r="B50" s="156" t="s">
        <v>297</v>
      </c>
      <c r="C50" s="156" t="s">
        <v>230</v>
      </c>
      <c r="D50" s="196">
        <v>7796.14</v>
      </c>
    </row>
    <row r="51" spans="1:5" ht="14.25" customHeight="1" x14ac:dyDescent="0.25">
      <c r="B51" s="156" t="s">
        <v>245</v>
      </c>
      <c r="C51" s="156" t="s">
        <v>230</v>
      </c>
      <c r="D51" s="196">
        <v>21819.58</v>
      </c>
    </row>
    <row r="52" spans="1:5" ht="14.25" customHeight="1" x14ac:dyDescent="0.25">
      <c r="A52" s="156" t="s">
        <v>235</v>
      </c>
      <c r="C52" s="156" t="s">
        <v>230</v>
      </c>
      <c r="D52" s="196">
        <f>D51-D45</f>
        <v>21553.15</v>
      </c>
    </row>
    <row r="53" spans="1:5" ht="14.25" customHeight="1" x14ac:dyDescent="0.25">
      <c r="A53" s="156" t="s">
        <v>300</v>
      </c>
    </row>
    <row r="54" spans="1:5" ht="14.25" customHeight="1" x14ac:dyDescent="0.25">
      <c r="A54" s="156" t="s">
        <v>301</v>
      </c>
      <c r="B54" s="156" t="s">
        <v>302</v>
      </c>
      <c r="C54" s="156" t="s">
        <v>230</v>
      </c>
      <c r="D54" s="196">
        <v>11700</v>
      </c>
    </row>
    <row r="55" spans="1:5" ht="14.25" customHeight="1" x14ac:dyDescent="0.25">
      <c r="A55" s="156" t="s">
        <v>303</v>
      </c>
      <c r="B55" s="156" t="s">
        <v>304</v>
      </c>
      <c r="C55" s="156" t="s">
        <v>230</v>
      </c>
      <c r="D55" s="196">
        <v>13917.5</v>
      </c>
    </row>
    <row r="56" spans="1:5" ht="14.25" customHeight="1" x14ac:dyDescent="0.25">
      <c r="A56" s="156" t="s">
        <v>305</v>
      </c>
      <c r="B56" s="156" t="s">
        <v>306</v>
      </c>
      <c r="C56" s="156" t="s">
        <v>230</v>
      </c>
      <c r="D56" s="196">
        <v>32199</v>
      </c>
    </row>
    <row r="57" spans="1:5" ht="14.25" customHeight="1" x14ac:dyDescent="0.25">
      <c r="A57" s="156" t="s">
        <v>307</v>
      </c>
      <c r="B57" s="156" t="s">
        <v>308</v>
      </c>
      <c r="C57" s="156" t="s">
        <v>230</v>
      </c>
      <c r="D57" s="196">
        <v>50000</v>
      </c>
    </row>
    <row r="58" spans="1:5" ht="14.25" customHeight="1" x14ac:dyDescent="0.25">
      <c r="A58" s="156" t="s">
        <v>309</v>
      </c>
      <c r="B58" s="156" t="s">
        <v>310</v>
      </c>
      <c r="C58" s="156" t="s">
        <v>230</v>
      </c>
      <c r="D58" s="196">
        <v>5658</v>
      </c>
      <c r="E58" s="196">
        <f>D55+D56+D57</f>
        <v>96116.5</v>
      </c>
    </row>
    <row r="59" spans="1:5" ht="14.25" customHeight="1" x14ac:dyDescent="0.25">
      <c r="A59" s="156" t="s">
        <v>311</v>
      </c>
      <c r="B59" s="156" t="s">
        <v>245</v>
      </c>
      <c r="C59" s="156" t="s">
        <v>230</v>
      </c>
      <c r="D59" s="196">
        <v>113474.5</v>
      </c>
    </row>
    <row r="60" spans="1:5" ht="14.25" customHeight="1" x14ac:dyDescent="0.25"/>
    <row r="61" spans="1:5" ht="14.25" customHeight="1" x14ac:dyDescent="0.25">
      <c r="A61" s="156" t="s">
        <v>312</v>
      </c>
    </row>
    <row r="62" spans="1:5" ht="14.25" customHeight="1" x14ac:dyDescent="0.25">
      <c r="A62" s="156" t="s">
        <v>313</v>
      </c>
      <c r="B62" s="156" t="s">
        <v>302</v>
      </c>
      <c r="C62" s="156" t="s">
        <v>230</v>
      </c>
      <c r="D62" s="196">
        <v>10090</v>
      </c>
    </row>
    <row r="63" spans="1:5" ht="14.25" customHeight="1" x14ac:dyDescent="0.25">
      <c r="A63" s="156" t="s">
        <v>314</v>
      </c>
      <c r="B63" s="156" t="s">
        <v>245</v>
      </c>
      <c r="C63" s="156" t="s">
        <v>230</v>
      </c>
      <c r="D63" s="196">
        <v>10090</v>
      </c>
    </row>
    <row r="64" spans="1:5" ht="14.25" customHeight="1" x14ac:dyDescent="0.25"/>
    <row r="65" spans="1:5" ht="14.25" customHeight="1" x14ac:dyDescent="0.25">
      <c r="A65" s="156" t="s">
        <v>315</v>
      </c>
      <c r="B65" s="156" t="s">
        <v>245</v>
      </c>
      <c r="C65" s="156" t="s">
        <v>230</v>
      </c>
      <c r="D65" s="196">
        <v>145384.07999999999</v>
      </c>
      <c r="E65" s="193">
        <f>G10-D65</f>
        <v>-54377.789999999979</v>
      </c>
    </row>
    <row r="66" spans="1:5" ht="14.25" customHeight="1" x14ac:dyDescent="0.25"/>
    <row r="67" spans="1:5" ht="14.25" customHeight="1" x14ac:dyDescent="0.25">
      <c r="A67" s="156" t="s">
        <v>316</v>
      </c>
      <c r="B67" s="156" t="s">
        <v>245</v>
      </c>
      <c r="C67" s="156" t="s">
        <v>230</v>
      </c>
      <c r="D67" s="196">
        <v>-43986.45</v>
      </c>
    </row>
    <row r="68" spans="1:5" ht="14.25" customHeight="1" x14ac:dyDescent="0.25">
      <c r="B68" s="208"/>
    </row>
    <row r="69" spans="1:5" ht="14.25" customHeight="1" x14ac:dyDescent="0.25">
      <c r="B69" s="208"/>
    </row>
    <row r="70" spans="1:5" ht="14.25" customHeight="1" x14ac:dyDescent="0.25">
      <c r="B70" s="208"/>
    </row>
    <row r="71" spans="1:5" ht="14.25" customHeight="1" x14ac:dyDescent="0.25">
      <c r="B71" s="208"/>
    </row>
    <row r="72" spans="1:5" ht="14.25" customHeight="1" x14ac:dyDescent="0.25">
      <c r="B72" s="208"/>
    </row>
    <row r="73" spans="1:5" ht="14.25" customHeight="1" x14ac:dyDescent="0.25">
      <c r="B73" s="208"/>
    </row>
    <row r="74" spans="1:5" ht="14.25" customHeight="1" x14ac:dyDescent="0.25">
      <c r="B74" s="208"/>
    </row>
    <row r="75" spans="1:5" ht="14.25" customHeight="1" x14ac:dyDescent="0.25">
      <c r="B75" s="208"/>
    </row>
    <row r="76" spans="1:5" ht="14.25" customHeight="1" x14ac:dyDescent="0.25">
      <c r="B76" s="208"/>
    </row>
    <row r="77" spans="1:5" ht="14.25" customHeight="1" x14ac:dyDescent="0.25">
      <c r="B77" s="208"/>
    </row>
    <row r="78" spans="1:5" ht="14.25" customHeight="1" x14ac:dyDescent="0.25">
      <c r="B78" s="208"/>
    </row>
    <row r="79" spans="1:5" ht="14.25" customHeight="1" x14ac:dyDescent="0.25">
      <c r="B79" s="208"/>
    </row>
    <row r="80" spans="1:5" ht="14.25" customHeight="1" x14ac:dyDescent="0.25">
      <c r="B80" s="208"/>
    </row>
    <row r="81" spans="2:2" ht="14.25" customHeight="1" x14ac:dyDescent="0.25">
      <c r="B81" s="208"/>
    </row>
    <row r="82" spans="2:2" ht="14.25" customHeight="1" x14ac:dyDescent="0.25">
      <c r="B82" s="208"/>
    </row>
    <row r="83" spans="2:2" ht="14.25" customHeight="1" x14ac:dyDescent="0.25">
      <c r="B83" s="208"/>
    </row>
    <row r="84" spans="2:2" ht="14.25" customHeight="1" x14ac:dyDescent="0.25">
      <c r="B84" s="208"/>
    </row>
    <row r="85" spans="2:2" ht="14.25" customHeight="1" x14ac:dyDescent="0.25">
      <c r="B85" s="208"/>
    </row>
    <row r="86" spans="2:2" ht="14.25" customHeight="1" x14ac:dyDescent="0.25">
      <c r="B86" s="208"/>
    </row>
    <row r="87" spans="2:2" ht="14.25" customHeight="1" x14ac:dyDescent="0.25">
      <c r="B87" s="208"/>
    </row>
    <row r="88" spans="2:2" ht="14.25" customHeight="1" x14ac:dyDescent="0.25">
      <c r="B88" s="208"/>
    </row>
    <row r="89" spans="2:2" ht="14.25" customHeight="1" x14ac:dyDescent="0.25">
      <c r="B89" s="208"/>
    </row>
    <row r="90" spans="2:2" ht="14.25" customHeight="1" x14ac:dyDescent="0.25">
      <c r="B90" s="208"/>
    </row>
    <row r="91" spans="2:2" ht="14.25" customHeight="1" x14ac:dyDescent="0.25">
      <c r="B91" s="208"/>
    </row>
    <row r="92" spans="2:2" ht="14.25" customHeight="1" x14ac:dyDescent="0.25">
      <c r="B92" s="208"/>
    </row>
    <row r="93" spans="2:2" ht="14.25" customHeight="1" x14ac:dyDescent="0.25">
      <c r="B93" s="208"/>
    </row>
    <row r="94" spans="2:2" ht="14.25" customHeight="1" x14ac:dyDescent="0.25">
      <c r="B94" s="208"/>
    </row>
    <row r="95" spans="2:2" ht="14.25" customHeight="1" x14ac:dyDescent="0.25">
      <c r="B95" s="208"/>
    </row>
    <row r="96" spans="2:2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5.75" customHeight="1" x14ac:dyDescent="0.25"/>
    <row r="269" spans="2:2" ht="15.75" customHeight="1" x14ac:dyDescent="0.25"/>
    <row r="270" spans="2:2" ht="15.75" customHeight="1" x14ac:dyDescent="0.25"/>
    <row r="271" spans="2:2" ht="15.75" customHeight="1" x14ac:dyDescent="0.25"/>
    <row r="272" spans="2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H7" sqref="H7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3.42578125" customWidth="1"/>
    <col min="6" max="6" width="22.7109375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s="156" t="s">
        <v>220</v>
      </c>
    </row>
    <row r="2" spans="1:10" x14ac:dyDescent="0.25">
      <c r="A2" s="156" t="s">
        <v>221</v>
      </c>
    </row>
    <row r="3" spans="1:10" x14ac:dyDescent="0.25">
      <c r="A3" s="156" t="s">
        <v>222</v>
      </c>
      <c r="B3" s="156" t="s">
        <v>223</v>
      </c>
      <c r="C3" s="156" t="s">
        <v>224</v>
      </c>
      <c r="D3" s="156" t="s">
        <v>225</v>
      </c>
      <c r="G3" s="155" t="s">
        <v>124</v>
      </c>
      <c r="H3" s="155" t="s">
        <v>125</v>
      </c>
      <c r="I3" s="155" t="s">
        <v>83</v>
      </c>
    </row>
    <row r="4" spans="1:10" x14ac:dyDescent="0.25">
      <c r="F4" s="156" t="s">
        <v>126</v>
      </c>
      <c r="G4" s="157">
        <f>D6+D7+D8+D9</f>
        <v>36371.61</v>
      </c>
      <c r="H4" s="157">
        <f>D11+D12</f>
        <v>5072.84</v>
      </c>
      <c r="I4" s="157">
        <f t="shared" ref="I4:I6" si="0">G4+H4</f>
        <v>41444.449999999997</v>
      </c>
    </row>
    <row r="5" spans="1:10" x14ac:dyDescent="0.25">
      <c r="A5" s="156" t="s">
        <v>226</v>
      </c>
      <c r="F5" s="158" t="s">
        <v>227</v>
      </c>
      <c r="G5" s="157">
        <v>19200</v>
      </c>
      <c r="H5" s="157">
        <f>D10+1400</f>
        <v>6436</v>
      </c>
      <c r="I5" s="157">
        <f t="shared" si="0"/>
        <v>25636</v>
      </c>
    </row>
    <row r="6" spans="1:10" x14ac:dyDescent="0.25">
      <c r="A6" s="156" t="s">
        <v>228</v>
      </c>
      <c r="B6" s="156" t="s">
        <v>317</v>
      </c>
      <c r="C6" s="156" t="s">
        <v>230</v>
      </c>
      <c r="D6" s="196">
        <v>13511.24</v>
      </c>
      <c r="F6" s="156" t="s">
        <v>231</v>
      </c>
      <c r="G6" s="157">
        <f>VLOOKUP(F6,A5:D32,4,FALSE)</f>
        <v>19668.510000000002</v>
      </c>
      <c r="I6" s="157">
        <f t="shared" si="0"/>
        <v>19668.510000000002</v>
      </c>
      <c r="J6" s="157">
        <f>G5+G6+H7</f>
        <v>53252.19</v>
      </c>
    </row>
    <row r="7" spans="1:10" ht="13.5" customHeight="1" x14ac:dyDescent="0.25">
      <c r="A7" s="156" t="s">
        <v>232</v>
      </c>
      <c r="B7" s="156" t="s">
        <v>317</v>
      </c>
      <c r="C7" s="156" t="s">
        <v>230</v>
      </c>
      <c r="D7" s="196">
        <v>20826.16</v>
      </c>
      <c r="E7" s="194"/>
      <c r="F7" s="156" t="s">
        <v>129</v>
      </c>
      <c r="G7" s="157">
        <f>SUM(G4:G6)</f>
        <v>75240.12</v>
      </c>
      <c r="H7" s="157">
        <f>D13</f>
        <v>14383.68</v>
      </c>
      <c r="I7" s="157">
        <f>SUM(I4:I6)</f>
        <v>86748.959999999992</v>
      </c>
      <c r="J7" s="157">
        <f>G8*0.047</f>
        <v>-853.19100000000003</v>
      </c>
    </row>
    <row r="8" spans="1:10" ht="14.25" customHeight="1" x14ac:dyDescent="0.25">
      <c r="A8" s="156" t="s">
        <v>234</v>
      </c>
      <c r="B8" s="156" t="s">
        <v>317</v>
      </c>
      <c r="C8" s="156" t="s">
        <v>230</v>
      </c>
      <c r="D8" s="196">
        <v>1981.39</v>
      </c>
      <c r="F8" s="159" t="s">
        <v>235</v>
      </c>
      <c r="G8" s="160">
        <f>-VLOOKUP(F8,A36:D55,4,)</f>
        <v>-18153</v>
      </c>
      <c r="H8" s="159"/>
      <c r="I8" s="160">
        <f>G7+G8+H7</f>
        <v>71470.799999999988</v>
      </c>
      <c r="J8" s="159" t="s">
        <v>131</v>
      </c>
    </row>
    <row r="9" spans="1:10" ht="14.25" customHeight="1" x14ac:dyDescent="0.25">
      <c r="A9" s="156" t="s">
        <v>236</v>
      </c>
      <c r="B9" s="156" t="s">
        <v>317</v>
      </c>
      <c r="C9" s="156" t="s">
        <v>230</v>
      </c>
      <c r="D9" s="156">
        <v>52.82</v>
      </c>
      <c r="E9" s="194">
        <f>600+600</f>
        <v>1200</v>
      </c>
      <c r="F9" s="158" t="s">
        <v>318</v>
      </c>
      <c r="G9" s="209">
        <f>E9/montly!D24</f>
        <v>0.348306254892433</v>
      </c>
      <c r="H9" s="157"/>
      <c r="I9" s="157"/>
    </row>
    <row r="10" spans="1:10" ht="14.25" customHeight="1" x14ac:dyDescent="0.25">
      <c r="A10" s="156" t="s">
        <v>237</v>
      </c>
      <c r="B10" s="156" t="s">
        <v>238</v>
      </c>
      <c r="C10" s="156" t="s">
        <v>230</v>
      </c>
      <c r="D10" s="196">
        <v>5036</v>
      </c>
      <c r="E10" s="194"/>
      <c r="F10" s="204" t="s">
        <v>319</v>
      </c>
      <c r="G10" s="205">
        <f>I7</f>
        <v>86748.959999999992</v>
      </c>
      <c r="H10" s="205">
        <f>G10+H7</f>
        <v>101132.63999999998</v>
      </c>
    </row>
    <row r="11" spans="1:10" ht="14.25" customHeight="1" x14ac:dyDescent="0.25">
      <c r="A11" s="156" t="s">
        <v>239</v>
      </c>
      <c r="B11" s="156" t="s">
        <v>320</v>
      </c>
      <c r="C11" s="156" t="s">
        <v>230</v>
      </c>
      <c r="D11" s="196">
        <v>1422.18</v>
      </c>
      <c r="E11" s="194"/>
      <c r="F11" s="156" t="s">
        <v>128</v>
      </c>
      <c r="G11" s="156" t="s">
        <v>321</v>
      </c>
      <c r="H11" s="156" t="s">
        <v>147</v>
      </c>
      <c r="I11" s="156" t="s">
        <v>322</v>
      </c>
    </row>
    <row r="12" spans="1:10" ht="14.25" customHeight="1" x14ac:dyDescent="0.25">
      <c r="A12" s="156" t="s">
        <v>241</v>
      </c>
      <c r="B12" s="156" t="s">
        <v>320</v>
      </c>
      <c r="C12" s="156" t="s">
        <v>230</v>
      </c>
      <c r="D12" s="196">
        <v>3650.66</v>
      </c>
      <c r="E12" s="194"/>
      <c r="F12" s="157">
        <f>G6</f>
        <v>19668.510000000002</v>
      </c>
      <c r="G12" s="157">
        <f>I5</f>
        <v>25636</v>
      </c>
      <c r="H12" s="157">
        <f>I4</f>
        <v>41444.449999999997</v>
      </c>
      <c r="I12" s="157">
        <f>H7</f>
        <v>14383.68</v>
      </c>
      <c r="J12" s="157">
        <f>SUM(F12:I12)</f>
        <v>101132.63999999998</v>
      </c>
    </row>
    <row r="13" spans="1:10" ht="14.25" customHeight="1" x14ac:dyDescent="0.25">
      <c r="A13" s="156" t="s">
        <v>242</v>
      </c>
      <c r="B13" s="156" t="s">
        <v>243</v>
      </c>
      <c r="C13" s="156" t="s">
        <v>230</v>
      </c>
      <c r="D13" s="196">
        <v>14383.68</v>
      </c>
      <c r="E13" s="194"/>
    </row>
    <row r="14" spans="1:10" ht="14.25" customHeight="1" x14ac:dyDescent="0.25">
      <c r="A14" s="156" t="s">
        <v>244</v>
      </c>
      <c r="B14" s="156" t="s">
        <v>245</v>
      </c>
      <c r="C14" s="156" t="s">
        <v>230</v>
      </c>
      <c r="D14" s="196">
        <v>60864.13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246</v>
      </c>
      <c r="E16" s="194"/>
    </row>
    <row r="17" spans="1:7" ht="14.25" customHeight="1" x14ac:dyDescent="0.25">
      <c r="A17" s="156" t="s">
        <v>247</v>
      </c>
      <c r="B17" s="156" t="s">
        <v>317</v>
      </c>
      <c r="C17" s="156" t="s">
        <v>230</v>
      </c>
      <c r="D17" s="196">
        <v>5966.15</v>
      </c>
      <c r="E17" s="194"/>
    </row>
    <row r="18" spans="1:7" ht="14.25" customHeight="1" x14ac:dyDescent="0.25">
      <c r="A18" s="156" t="s">
        <v>249</v>
      </c>
      <c r="B18" s="156" t="s">
        <v>317</v>
      </c>
      <c r="C18" s="156" t="s">
        <v>230</v>
      </c>
      <c r="D18" s="156">
        <v>59.47</v>
      </c>
      <c r="E18" s="194"/>
    </row>
    <row r="19" spans="1:7" ht="14.25" customHeight="1" x14ac:dyDescent="0.25">
      <c r="A19" s="156" t="s">
        <v>250</v>
      </c>
      <c r="B19" s="156" t="s">
        <v>317</v>
      </c>
      <c r="C19" s="156" t="s">
        <v>230</v>
      </c>
      <c r="D19" s="156">
        <v>95.65</v>
      </c>
      <c r="E19" s="196"/>
    </row>
    <row r="20" spans="1:7" ht="14.25" customHeight="1" x14ac:dyDescent="0.25">
      <c r="A20" s="156" t="s">
        <v>251</v>
      </c>
      <c r="B20" s="156" t="s">
        <v>317</v>
      </c>
      <c r="C20" s="156" t="s">
        <v>230</v>
      </c>
      <c r="D20" s="156">
        <v>520.4</v>
      </c>
      <c r="E20" s="194"/>
    </row>
    <row r="21" spans="1:7" ht="14.25" customHeight="1" x14ac:dyDescent="0.25">
      <c r="A21" s="156" t="s">
        <v>252</v>
      </c>
      <c r="B21" s="156" t="s">
        <v>253</v>
      </c>
      <c r="C21" s="156" t="s">
        <v>230</v>
      </c>
      <c r="D21" s="156">
        <v>0</v>
      </c>
      <c r="E21" s="196"/>
    </row>
    <row r="22" spans="1:7" ht="14.25" customHeight="1" x14ac:dyDescent="0.25">
      <c r="A22" s="156" t="s">
        <v>323</v>
      </c>
      <c r="B22" s="156" t="s">
        <v>317</v>
      </c>
      <c r="C22" s="156" t="s">
        <v>230</v>
      </c>
      <c r="D22" s="156">
        <v>549.59</v>
      </c>
      <c r="E22" s="196"/>
    </row>
    <row r="23" spans="1:7" ht="14.25" customHeight="1" x14ac:dyDescent="0.25">
      <c r="A23" s="156" t="s">
        <v>254</v>
      </c>
      <c r="B23" s="156" t="s">
        <v>317</v>
      </c>
      <c r="C23" s="156" t="s">
        <v>230</v>
      </c>
      <c r="D23" s="196">
        <v>2942</v>
      </c>
      <c r="E23" s="196"/>
    </row>
    <row r="24" spans="1:7" ht="14.25" customHeight="1" x14ac:dyDescent="0.25">
      <c r="A24" s="156" t="s">
        <v>324</v>
      </c>
      <c r="B24" s="156" t="s">
        <v>317</v>
      </c>
      <c r="C24" s="156" t="s">
        <v>230</v>
      </c>
      <c r="D24" s="196">
        <v>5163.2700000000004</v>
      </c>
      <c r="E24" s="196"/>
    </row>
    <row r="25" spans="1:7" ht="14.25" customHeight="1" x14ac:dyDescent="0.25">
      <c r="A25" s="156" t="s">
        <v>255</v>
      </c>
      <c r="B25" s="156" t="s">
        <v>325</v>
      </c>
      <c r="C25" s="156" t="s">
        <v>230</v>
      </c>
      <c r="D25" s="156">
        <v>179.34</v>
      </c>
      <c r="E25" s="196"/>
    </row>
    <row r="26" spans="1:7" ht="14.25" customHeight="1" x14ac:dyDescent="0.25">
      <c r="A26" s="156" t="s">
        <v>257</v>
      </c>
      <c r="B26" s="156" t="s">
        <v>317</v>
      </c>
      <c r="C26" s="156" t="s">
        <v>230</v>
      </c>
      <c r="D26" s="196">
        <v>10001.15</v>
      </c>
      <c r="E26" s="194"/>
    </row>
    <row r="27" spans="1:7" ht="14.25" customHeight="1" x14ac:dyDescent="0.25">
      <c r="B27" s="156" t="s">
        <v>245</v>
      </c>
      <c r="C27" s="156" t="s">
        <v>230</v>
      </c>
      <c r="D27" s="196">
        <v>25477.02</v>
      </c>
      <c r="E27" s="196"/>
    </row>
    <row r="28" spans="1:7" ht="14.25" customHeight="1" x14ac:dyDescent="0.25">
      <c r="A28" s="156" t="s">
        <v>231</v>
      </c>
      <c r="D28" s="196">
        <f>D17+D23+D25+D26+D18+D20+D21</f>
        <v>19668.510000000002</v>
      </c>
      <c r="E28" s="196"/>
    </row>
    <row r="29" spans="1:7" ht="14.25" customHeight="1" x14ac:dyDescent="0.25">
      <c r="E29" s="196"/>
    </row>
    <row r="30" spans="1:7" ht="14.25" customHeight="1" x14ac:dyDescent="0.25">
      <c r="A30" s="156" t="s">
        <v>258</v>
      </c>
      <c r="E30" s="194"/>
      <c r="F30" s="196"/>
      <c r="G30" s="194"/>
    </row>
    <row r="31" spans="1:7" ht="14.25" customHeight="1" x14ac:dyDescent="0.25">
      <c r="A31" s="156" t="s">
        <v>259</v>
      </c>
      <c r="B31" s="156" t="s">
        <v>260</v>
      </c>
      <c r="C31" s="156" t="s">
        <v>230</v>
      </c>
      <c r="D31" s="196">
        <v>7500</v>
      </c>
      <c r="E31" s="194"/>
      <c r="F31" s="196"/>
      <c r="G31" s="194"/>
    </row>
    <row r="32" spans="1:7" ht="14.25" customHeight="1" x14ac:dyDescent="0.25">
      <c r="A32" s="156" t="s">
        <v>261</v>
      </c>
      <c r="B32" s="156" t="s">
        <v>245</v>
      </c>
      <c r="C32" s="156" t="s">
        <v>230</v>
      </c>
      <c r="D32" s="196">
        <v>7500</v>
      </c>
      <c r="E32" s="194"/>
      <c r="F32" s="196"/>
      <c r="G32" s="194"/>
    </row>
    <row r="33" spans="1:13" ht="14.25" customHeight="1" x14ac:dyDescent="0.25">
      <c r="E33" s="194"/>
      <c r="F33" s="196"/>
      <c r="G33" s="194" t="s">
        <v>262</v>
      </c>
      <c r="I33" s="206" t="str">
        <f>A7</f>
        <v>Merrill Lynch Merrill Edge-CMA-Edgex2085-CMA-x-2085</v>
      </c>
      <c r="K33" s="206" t="str">
        <f>A6</f>
        <v>Robinhood-Robinhood Brokerage-brokerageCash-x-8271</v>
      </c>
      <c r="L33" s="206" t="str">
        <f>A8</f>
        <v>Chase-Self-Directed-individual-x-3098</v>
      </c>
    </row>
    <row r="34" spans="1:13" ht="14.25" customHeight="1" x14ac:dyDescent="0.25">
      <c r="A34" s="156" t="s">
        <v>263</v>
      </c>
      <c r="B34" s="156" t="s">
        <v>245</v>
      </c>
      <c r="C34" s="156" t="s">
        <v>230</v>
      </c>
      <c r="D34" s="196">
        <v>93841.15</v>
      </c>
      <c r="E34" s="194"/>
      <c r="F34" s="196"/>
      <c r="G34" s="194" t="s">
        <v>264</v>
      </c>
      <c r="H34" s="156">
        <v>190</v>
      </c>
      <c r="I34" s="156">
        <v>347.38</v>
      </c>
      <c r="K34" s="156">
        <f>6.2*173</f>
        <v>1072.6000000000001</v>
      </c>
    </row>
    <row r="35" spans="1:13" ht="14.25" customHeight="1" x14ac:dyDescent="0.25">
      <c r="E35" s="194"/>
      <c r="F35" s="196"/>
      <c r="G35" s="194" t="s">
        <v>265</v>
      </c>
      <c r="H35" s="156">
        <v>150</v>
      </c>
      <c r="I35" s="156">
        <v>110</v>
      </c>
      <c r="J35" s="156">
        <f>H35/36.97</f>
        <v>4.0573437922639979</v>
      </c>
      <c r="K35" s="156">
        <v>152</v>
      </c>
    </row>
    <row r="36" spans="1:13" ht="14.25" customHeight="1" x14ac:dyDescent="0.25">
      <c r="A36" s="156" t="s">
        <v>266</v>
      </c>
      <c r="B36" s="156" t="s">
        <v>223</v>
      </c>
      <c r="C36" s="156" t="s">
        <v>224</v>
      </c>
      <c r="D36" s="156" t="s">
        <v>225</v>
      </c>
      <c r="E36" s="194"/>
      <c r="F36" s="196"/>
      <c r="G36" s="194" t="s">
        <v>267</v>
      </c>
      <c r="H36" s="156">
        <v>20</v>
      </c>
      <c r="K36" s="156">
        <v>450</v>
      </c>
    </row>
    <row r="37" spans="1:13" ht="14.25" customHeight="1" x14ac:dyDescent="0.25">
      <c r="E37" s="194"/>
      <c r="F37" s="196"/>
      <c r="G37" s="194" t="s">
        <v>268</v>
      </c>
      <c r="H37" s="156">
        <v>80</v>
      </c>
      <c r="I37" s="156">
        <v>154.69</v>
      </c>
      <c r="K37" s="156">
        <v>1000</v>
      </c>
    </row>
    <row r="38" spans="1:13" ht="14.25" customHeight="1" x14ac:dyDescent="0.25">
      <c r="A38" s="156" t="s">
        <v>269</v>
      </c>
      <c r="E38" s="194"/>
      <c r="F38" s="196"/>
      <c r="G38" s="194" t="s">
        <v>270</v>
      </c>
      <c r="H38" s="156">
        <v>250</v>
      </c>
      <c r="I38" s="156">
        <v>212.3</v>
      </c>
    </row>
    <row r="39" spans="1:13" ht="14.25" customHeight="1" x14ac:dyDescent="0.25">
      <c r="A39" s="156" t="s">
        <v>271</v>
      </c>
      <c r="B39" s="156" t="s">
        <v>317</v>
      </c>
      <c r="C39" s="156" t="s">
        <v>230</v>
      </c>
      <c r="D39" s="156">
        <v>0</v>
      </c>
      <c r="E39" s="194"/>
      <c r="F39" s="196"/>
      <c r="G39" s="194" t="s">
        <v>272</v>
      </c>
      <c r="H39" s="156">
        <v>450</v>
      </c>
      <c r="K39" s="156">
        <v>1000</v>
      </c>
    </row>
    <row r="40" spans="1:13" ht="14.25" customHeight="1" x14ac:dyDescent="0.25">
      <c r="A40" s="156" t="s">
        <v>273</v>
      </c>
      <c r="B40" s="156" t="s">
        <v>317</v>
      </c>
      <c r="C40" s="156" t="s">
        <v>230</v>
      </c>
      <c r="D40" s="156">
        <v>0</v>
      </c>
      <c r="E40" s="194"/>
      <c r="F40" s="196"/>
      <c r="G40" s="194" t="s">
        <v>274</v>
      </c>
      <c r="H40" s="156">
        <v>322</v>
      </c>
      <c r="I40" s="156">
        <v>494</v>
      </c>
    </row>
    <row r="41" spans="1:13" ht="14.25" customHeight="1" x14ac:dyDescent="0.25">
      <c r="A41" s="156" t="s">
        <v>275</v>
      </c>
      <c r="B41" s="156" t="s">
        <v>317</v>
      </c>
      <c r="C41" s="156" t="s">
        <v>230</v>
      </c>
      <c r="D41" s="196">
        <v>7261.38</v>
      </c>
      <c r="E41" s="207"/>
      <c r="G41" s="194" t="s">
        <v>276</v>
      </c>
      <c r="H41" s="156">
        <v>167</v>
      </c>
      <c r="K41" s="156">
        <f>4*122</f>
        <v>488</v>
      </c>
    </row>
    <row r="42" spans="1:13" ht="14.25" customHeight="1" x14ac:dyDescent="0.25">
      <c r="A42" s="156" t="s">
        <v>277</v>
      </c>
      <c r="B42" s="156" t="s">
        <v>317</v>
      </c>
      <c r="C42" s="156" t="s">
        <v>230</v>
      </c>
      <c r="D42" s="196">
        <v>3008.7</v>
      </c>
      <c r="G42" s="194" t="s">
        <v>278</v>
      </c>
      <c r="K42" s="156">
        <f>3.135147*397</f>
        <v>1244.6533589999999</v>
      </c>
    </row>
    <row r="43" spans="1:13" ht="14.25" customHeight="1" x14ac:dyDescent="0.25">
      <c r="A43" s="156" t="s">
        <v>279</v>
      </c>
      <c r="B43" s="156" t="s">
        <v>280</v>
      </c>
      <c r="C43" s="156" t="s">
        <v>230</v>
      </c>
      <c r="D43" s="156">
        <v>0</v>
      </c>
      <c r="G43" s="194" t="s">
        <v>281</v>
      </c>
      <c r="K43" s="156">
        <v>223</v>
      </c>
      <c r="L43" s="156">
        <f>2*454.5</f>
        <v>909</v>
      </c>
    </row>
    <row r="44" spans="1:13" ht="14.25" customHeight="1" x14ac:dyDescent="0.25">
      <c r="A44" s="156" t="s">
        <v>282</v>
      </c>
      <c r="B44" s="156" t="s">
        <v>283</v>
      </c>
      <c r="C44" s="156" t="s">
        <v>230</v>
      </c>
      <c r="D44" s="156">
        <v>0</v>
      </c>
      <c r="G44" s="194" t="s">
        <v>284</v>
      </c>
      <c r="K44" s="156">
        <v>313</v>
      </c>
    </row>
    <row r="45" spans="1:13" ht="14.25" customHeight="1" x14ac:dyDescent="0.25">
      <c r="A45" s="156" t="s">
        <v>285</v>
      </c>
      <c r="B45" s="156" t="s">
        <v>317</v>
      </c>
      <c r="C45" s="156" t="s">
        <v>230</v>
      </c>
      <c r="D45" s="156">
        <v>-27.28</v>
      </c>
      <c r="E45" s="194"/>
      <c r="G45" s="194" t="s">
        <v>286</v>
      </c>
      <c r="K45" s="156">
        <v>430</v>
      </c>
    </row>
    <row r="46" spans="1:13" ht="14.25" customHeight="1" x14ac:dyDescent="0.25">
      <c r="A46" s="156" t="s">
        <v>287</v>
      </c>
      <c r="B46" s="156" t="s">
        <v>288</v>
      </c>
      <c r="C46" s="156" t="s">
        <v>230</v>
      </c>
      <c r="D46" s="156">
        <v>0</v>
      </c>
      <c r="E46" s="194"/>
      <c r="G46" s="194" t="s">
        <v>289</v>
      </c>
      <c r="K46" s="156">
        <v>300</v>
      </c>
    </row>
    <row r="47" spans="1:13" ht="14.25" customHeight="1" x14ac:dyDescent="0.25">
      <c r="A47" s="156" t="s">
        <v>290</v>
      </c>
      <c r="B47" s="156" t="s">
        <v>280</v>
      </c>
      <c r="C47" s="156" t="s">
        <v>230</v>
      </c>
      <c r="D47" s="156">
        <v>0</v>
      </c>
      <c r="E47" s="194"/>
      <c r="H47" s="156">
        <f t="shared" ref="H47:I47" si="1">SUM(H32:H46)</f>
        <v>1629</v>
      </c>
      <c r="I47" s="156">
        <f t="shared" si="1"/>
        <v>1318.37</v>
      </c>
      <c r="K47" s="156">
        <f t="shared" ref="K47:L47" si="2">SUM(K32:K46)</f>
        <v>6673.2533590000003</v>
      </c>
      <c r="L47" s="156">
        <f t="shared" si="2"/>
        <v>909</v>
      </c>
      <c r="M47" s="156">
        <f t="shared" ref="M47:M48" si="3">SUM(I47:L47)</f>
        <v>8900.6233590000011</v>
      </c>
    </row>
    <row r="48" spans="1:13" ht="14.25" customHeight="1" x14ac:dyDescent="0.25">
      <c r="A48" s="156" t="s">
        <v>291</v>
      </c>
      <c r="B48" s="156" t="s">
        <v>317</v>
      </c>
      <c r="C48" s="156" t="s">
        <v>230</v>
      </c>
      <c r="D48" s="156">
        <v>166.4</v>
      </c>
      <c r="E48" s="194"/>
      <c r="H48" s="210" t="s">
        <v>326</v>
      </c>
      <c r="I48" s="156">
        <v>1400</v>
      </c>
      <c r="K48" s="156">
        <v>6777</v>
      </c>
      <c r="L48" s="156">
        <v>944</v>
      </c>
      <c r="M48" s="156">
        <f t="shared" si="3"/>
        <v>9121</v>
      </c>
    </row>
    <row r="49" spans="1:14" ht="14.25" customHeight="1" x14ac:dyDescent="0.25">
      <c r="A49" s="156" t="s">
        <v>292</v>
      </c>
      <c r="B49" s="156" t="s">
        <v>317</v>
      </c>
      <c r="C49" s="156" t="s">
        <v>230</v>
      </c>
      <c r="D49" s="156">
        <v>0</v>
      </c>
      <c r="E49" s="194"/>
      <c r="I49" s="156" t="s">
        <v>293</v>
      </c>
      <c r="J49" s="156">
        <v>2300</v>
      </c>
      <c r="M49" s="156">
        <f>SUM(J49+M47)</f>
        <v>11200.623359000001</v>
      </c>
      <c r="N49" s="156" t="s">
        <v>294</v>
      </c>
    </row>
    <row r="50" spans="1:14" ht="14.25" customHeight="1" x14ac:dyDescent="0.25">
      <c r="A50" s="156" t="s">
        <v>295</v>
      </c>
      <c r="B50" s="156" t="s">
        <v>317</v>
      </c>
      <c r="C50" s="156" t="s">
        <v>230</v>
      </c>
      <c r="D50" s="156">
        <v>0</v>
      </c>
      <c r="E50" s="194"/>
    </row>
    <row r="51" spans="1:14" ht="14.25" customHeight="1" x14ac:dyDescent="0.25">
      <c r="A51" s="156" t="s">
        <v>296</v>
      </c>
      <c r="B51" s="156" t="s">
        <v>327</v>
      </c>
      <c r="C51" s="156" t="s">
        <v>230</v>
      </c>
      <c r="D51" s="156">
        <v>0</v>
      </c>
    </row>
    <row r="52" spans="1:14" ht="14.25" customHeight="1" x14ac:dyDescent="0.25">
      <c r="A52" s="156" t="s">
        <v>298</v>
      </c>
      <c r="B52" s="156" t="s">
        <v>327</v>
      </c>
      <c r="C52" s="156" t="s">
        <v>230</v>
      </c>
      <c r="D52" s="156">
        <v>0</v>
      </c>
    </row>
    <row r="53" spans="1:14" ht="14.25" customHeight="1" x14ac:dyDescent="0.25">
      <c r="A53" s="156" t="s">
        <v>299</v>
      </c>
      <c r="B53" s="156" t="s">
        <v>327</v>
      </c>
      <c r="C53" s="156" t="s">
        <v>230</v>
      </c>
      <c r="D53" s="196">
        <v>7910.2</v>
      </c>
    </row>
    <row r="54" spans="1:14" ht="14.25" customHeight="1" x14ac:dyDescent="0.25">
      <c r="B54" s="156" t="s">
        <v>245</v>
      </c>
      <c r="C54" s="156" t="s">
        <v>230</v>
      </c>
      <c r="D54" s="196">
        <v>18319.400000000001</v>
      </c>
    </row>
    <row r="55" spans="1:14" ht="14.25" customHeight="1" x14ac:dyDescent="0.25">
      <c r="A55" s="156" t="s">
        <v>235</v>
      </c>
      <c r="C55" s="156" t="s">
        <v>230</v>
      </c>
      <c r="D55" s="196">
        <f>D54-D48</f>
        <v>18153</v>
      </c>
    </row>
    <row r="56" spans="1:14" ht="14.25" customHeight="1" x14ac:dyDescent="0.25">
      <c r="A56" s="156" t="s">
        <v>300</v>
      </c>
    </row>
    <row r="57" spans="1:14" ht="14.25" customHeight="1" x14ac:dyDescent="0.25">
      <c r="A57" s="156" t="s">
        <v>328</v>
      </c>
      <c r="B57" s="156" t="s">
        <v>329</v>
      </c>
      <c r="C57" s="156" t="s">
        <v>230</v>
      </c>
      <c r="D57" s="196">
        <v>2000</v>
      </c>
    </row>
    <row r="58" spans="1:14" ht="14.25" customHeight="1" x14ac:dyDescent="0.25">
      <c r="A58" s="156" t="s">
        <v>330</v>
      </c>
      <c r="B58" s="156" t="s">
        <v>329</v>
      </c>
      <c r="C58" s="156" t="s">
        <v>230</v>
      </c>
      <c r="D58" s="196">
        <v>1932.87</v>
      </c>
    </row>
    <row r="59" spans="1:14" ht="14.25" customHeight="1" x14ac:dyDescent="0.25">
      <c r="A59" s="156" t="s">
        <v>331</v>
      </c>
      <c r="B59" s="156" t="s">
        <v>329</v>
      </c>
      <c r="C59" s="156" t="s">
        <v>230</v>
      </c>
      <c r="D59" s="196">
        <v>8589</v>
      </c>
    </row>
    <row r="60" spans="1:14" ht="14.25" customHeight="1" x14ac:dyDescent="0.25">
      <c r="A60" s="156" t="s">
        <v>332</v>
      </c>
      <c r="B60" s="156" t="s">
        <v>329</v>
      </c>
      <c r="C60" s="156" t="s">
        <v>230</v>
      </c>
      <c r="D60" s="196">
        <v>11843</v>
      </c>
    </row>
    <row r="61" spans="1:14" ht="14.25" customHeight="1" x14ac:dyDescent="0.25">
      <c r="A61" s="156" t="s">
        <v>333</v>
      </c>
      <c r="B61" s="156" t="s">
        <v>329</v>
      </c>
      <c r="C61" s="156" t="s">
        <v>230</v>
      </c>
      <c r="D61" s="196">
        <v>8657</v>
      </c>
    </row>
    <row r="62" spans="1:14" ht="14.25" customHeight="1" x14ac:dyDescent="0.25">
      <c r="A62" s="156" t="s">
        <v>334</v>
      </c>
      <c r="B62" s="156" t="s">
        <v>329</v>
      </c>
      <c r="C62" s="156" t="s">
        <v>230</v>
      </c>
      <c r="D62" s="156">
        <v>531</v>
      </c>
    </row>
    <row r="63" spans="1:14" ht="14.25" customHeight="1" x14ac:dyDescent="0.25">
      <c r="A63" s="156" t="s">
        <v>330</v>
      </c>
      <c r="B63" s="156" t="s">
        <v>335</v>
      </c>
      <c r="C63" s="156" t="s">
        <v>230</v>
      </c>
      <c r="D63" s="196">
        <v>1932.87</v>
      </c>
    </row>
    <row r="64" spans="1:14" ht="14.25" customHeight="1" x14ac:dyDescent="0.25">
      <c r="A64" s="156" t="s">
        <v>336</v>
      </c>
      <c r="B64" s="156" t="s">
        <v>329</v>
      </c>
      <c r="C64" s="156" t="s">
        <v>230</v>
      </c>
      <c r="D64" s="196">
        <v>4500</v>
      </c>
    </row>
    <row r="65" spans="1:10" ht="14.25" customHeight="1" x14ac:dyDescent="0.3">
      <c r="A65" s="156" t="s">
        <v>337</v>
      </c>
      <c r="B65" s="156" t="s">
        <v>329</v>
      </c>
      <c r="C65" s="156" t="s">
        <v>230</v>
      </c>
      <c r="D65" s="156">
        <v>907.59</v>
      </c>
      <c r="G65" s="211" t="s">
        <v>338</v>
      </c>
      <c r="H65" s="212">
        <f>SUM(F68:J68)</f>
        <v>137111.54999999999</v>
      </c>
    </row>
    <row r="66" spans="1:10" ht="14.25" customHeight="1" x14ac:dyDescent="0.25">
      <c r="A66" s="156" t="s">
        <v>339</v>
      </c>
      <c r="B66" s="156" t="s">
        <v>329</v>
      </c>
      <c r="C66" s="156" t="s">
        <v>230</v>
      </c>
      <c r="D66" s="156">
        <v>636.20000000000005</v>
      </c>
    </row>
    <row r="67" spans="1:10" ht="14.25" customHeight="1" x14ac:dyDescent="0.25">
      <c r="A67" s="156" t="s">
        <v>340</v>
      </c>
      <c r="B67" s="156" t="s">
        <v>329</v>
      </c>
      <c r="C67" s="156" t="s">
        <v>230</v>
      </c>
      <c r="D67" s="196">
        <v>4500</v>
      </c>
      <c r="F67" s="156" t="s">
        <v>341</v>
      </c>
      <c r="G67" s="156" t="str">
        <f>A79</f>
        <v>Loan BPS Collen Fund-Personal</v>
      </c>
      <c r="H67" s="156" t="str">
        <f>A80</f>
        <v>NYS Loan Masters Edu-Personal</v>
      </c>
      <c r="I67" s="156" t="str">
        <f>A81</f>
        <v>TEACh Grant-Personal</v>
      </c>
      <c r="J67" s="156" t="str">
        <f>A55</f>
        <v xml:space="preserve">			Cards TOTAL</v>
      </c>
    </row>
    <row r="68" spans="1:10" ht="14.25" customHeight="1" x14ac:dyDescent="0.25">
      <c r="A68" s="156" t="s">
        <v>342</v>
      </c>
      <c r="B68" s="156" t="s">
        <v>329</v>
      </c>
      <c r="C68" s="156" t="s">
        <v>230</v>
      </c>
      <c r="D68" s="196">
        <v>5896.67</v>
      </c>
      <c r="F68" s="196">
        <f>E78</f>
        <v>87683.05</v>
      </c>
      <c r="G68" s="196">
        <f>D79</f>
        <v>11700</v>
      </c>
      <c r="H68" s="196">
        <f>D80</f>
        <v>13917.5</v>
      </c>
      <c r="I68" s="196">
        <f>D81</f>
        <v>5658</v>
      </c>
      <c r="J68" s="196">
        <f>D55</f>
        <v>18153</v>
      </c>
    </row>
    <row r="69" spans="1:10" ht="14.25" customHeight="1" x14ac:dyDescent="0.25">
      <c r="A69" s="156" t="s">
        <v>343</v>
      </c>
      <c r="B69" s="156" t="s">
        <v>329</v>
      </c>
      <c r="C69" s="156" t="s">
        <v>230</v>
      </c>
      <c r="D69" s="196">
        <v>5500</v>
      </c>
    </row>
    <row r="70" spans="1:10" ht="14.25" customHeight="1" x14ac:dyDescent="0.25">
      <c r="A70" s="156" t="s">
        <v>344</v>
      </c>
      <c r="B70" s="156" t="s">
        <v>329</v>
      </c>
      <c r="C70" s="156" t="s">
        <v>230</v>
      </c>
      <c r="D70" s="196">
        <v>6613.65</v>
      </c>
    </row>
    <row r="71" spans="1:10" ht="14.25" customHeight="1" x14ac:dyDescent="0.25">
      <c r="A71" s="156" t="s">
        <v>345</v>
      </c>
      <c r="B71" s="156" t="s">
        <v>335</v>
      </c>
      <c r="C71" s="156" t="s">
        <v>230</v>
      </c>
      <c r="D71" s="196">
        <v>6429</v>
      </c>
    </row>
    <row r="72" spans="1:10" ht="14.25" customHeight="1" x14ac:dyDescent="0.25">
      <c r="A72" s="156" t="s">
        <v>328</v>
      </c>
      <c r="B72" s="156" t="s">
        <v>335</v>
      </c>
      <c r="C72" s="156" t="s">
        <v>230</v>
      </c>
      <c r="D72" s="196">
        <v>2000</v>
      </c>
    </row>
    <row r="73" spans="1:10" ht="14.25" customHeight="1" x14ac:dyDescent="0.25">
      <c r="A73" s="156" t="s">
        <v>346</v>
      </c>
      <c r="B73" s="156" t="s">
        <v>335</v>
      </c>
      <c r="C73" s="156" t="s">
        <v>230</v>
      </c>
      <c r="D73" s="196">
        <v>1400</v>
      </c>
    </row>
    <row r="74" spans="1:10" ht="14.25" customHeight="1" x14ac:dyDescent="0.25">
      <c r="A74" s="156" t="s">
        <v>347</v>
      </c>
      <c r="B74" s="156" t="s">
        <v>335</v>
      </c>
      <c r="C74" s="156" t="s">
        <v>230</v>
      </c>
      <c r="D74" s="196">
        <v>1936.1</v>
      </c>
    </row>
    <row r="75" spans="1:10" ht="14.25" customHeight="1" x14ac:dyDescent="0.25">
      <c r="A75" s="156" t="s">
        <v>345</v>
      </c>
      <c r="B75" s="156" t="s">
        <v>329</v>
      </c>
      <c r="C75" s="156" t="s">
        <v>230</v>
      </c>
      <c r="D75" s="196">
        <v>6429</v>
      </c>
    </row>
    <row r="76" spans="1:10" ht="14.25" customHeight="1" x14ac:dyDescent="0.25">
      <c r="A76" s="156" t="s">
        <v>347</v>
      </c>
      <c r="B76" s="156" t="s">
        <v>329</v>
      </c>
      <c r="C76" s="156" t="s">
        <v>230</v>
      </c>
      <c r="D76" s="196">
        <v>1936.1</v>
      </c>
    </row>
    <row r="77" spans="1:10" ht="14.25" customHeight="1" x14ac:dyDescent="0.25">
      <c r="A77" s="156" t="s">
        <v>346</v>
      </c>
      <c r="B77" s="156" t="s">
        <v>329</v>
      </c>
      <c r="C77" s="156" t="s">
        <v>230</v>
      </c>
      <c r="D77" s="196">
        <v>1400</v>
      </c>
    </row>
    <row r="78" spans="1:10" ht="14.25" customHeight="1" x14ac:dyDescent="0.25">
      <c r="A78" s="156" t="s">
        <v>348</v>
      </c>
      <c r="B78" s="156" t="s">
        <v>329</v>
      </c>
      <c r="C78" s="156" t="s">
        <v>230</v>
      </c>
      <c r="D78" s="196">
        <v>2113</v>
      </c>
      <c r="E78" s="196">
        <f>SUM(D57:D78)</f>
        <v>87683.05</v>
      </c>
    </row>
    <row r="79" spans="1:10" ht="14.25" customHeight="1" x14ac:dyDescent="0.25">
      <c r="A79" s="156" t="s">
        <v>301</v>
      </c>
      <c r="B79" s="156" t="s">
        <v>302</v>
      </c>
      <c r="C79" s="156" t="s">
        <v>230</v>
      </c>
      <c r="D79" s="196">
        <v>11700</v>
      </c>
    </row>
    <row r="80" spans="1:10" ht="14.25" customHeight="1" x14ac:dyDescent="0.25">
      <c r="A80" s="156" t="s">
        <v>303</v>
      </c>
      <c r="B80" s="156" t="s">
        <v>304</v>
      </c>
      <c r="C80" s="156" t="s">
        <v>230</v>
      </c>
      <c r="D80" s="196">
        <v>13917.5</v>
      </c>
    </row>
    <row r="81" spans="1:6" ht="14.25" customHeight="1" x14ac:dyDescent="0.25">
      <c r="A81" s="156" t="s">
        <v>309</v>
      </c>
      <c r="B81" s="156" t="s">
        <v>310</v>
      </c>
      <c r="C81" s="156" t="s">
        <v>230</v>
      </c>
      <c r="D81" s="196">
        <v>5658</v>
      </c>
    </row>
    <row r="82" spans="1:6" ht="14.25" customHeight="1" x14ac:dyDescent="0.25">
      <c r="A82" s="156" t="s">
        <v>311</v>
      </c>
      <c r="B82" s="156" t="s">
        <v>245</v>
      </c>
      <c r="C82" s="156" t="s">
        <v>230</v>
      </c>
      <c r="D82" s="213">
        <v>113474.5</v>
      </c>
    </row>
    <row r="83" spans="1:6" ht="14.25" customHeight="1" x14ac:dyDescent="0.25"/>
    <row r="84" spans="1:6" ht="14.25" customHeight="1" x14ac:dyDescent="0.25">
      <c r="A84" s="156" t="s">
        <v>312</v>
      </c>
    </row>
    <row r="85" spans="1:6" ht="14.25" customHeight="1" x14ac:dyDescent="0.25">
      <c r="A85" s="156" t="s">
        <v>313</v>
      </c>
      <c r="B85" s="156" t="s">
        <v>302</v>
      </c>
      <c r="C85" s="156" t="s">
        <v>230</v>
      </c>
      <c r="D85" s="196">
        <v>10090</v>
      </c>
    </row>
    <row r="86" spans="1:6" ht="14.25" customHeight="1" x14ac:dyDescent="0.25">
      <c r="A86" s="156" t="s">
        <v>314</v>
      </c>
      <c r="B86" s="156" t="s">
        <v>245</v>
      </c>
      <c r="C86" s="156" t="s">
        <v>230</v>
      </c>
      <c r="D86" s="196">
        <v>10090</v>
      </c>
    </row>
    <row r="87" spans="1:6" ht="14.25" customHeight="1" x14ac:dyDescent="0.25"/>
    <row r="88" spans="1:6" ht="14.25" customHeight="1" x14ac:dyDescent="0.25">
      <c r="A88" s="156" t="s">
        <v>315</v>
      </c>
      <c r="B88" s="156" t="s">
        <v>245</v>
      </c>
      <c r="C88" s="156" t="s">
        <v>230</v>
      </c>
      <c r="D88" s="213">
        <v>145384.07999999999</v>
      </c>
      <c r="E88" s="157">
        <f>G10-D88</f>
        <v>-58635.119999999995</v>
      </c>
    </row>
    <row r="89" spans="1:6" ht="14.25" customHeight="1" x14ac:dyDescent="0.25"/>
    <row r="90" spans="1:6" ht="14.25" customHeight="1" x14ac:dyDescent="0.25">
      <c r="A90" s="156" t="s">
        <v>316</v>
      </c>
      <c r="B90" s="156" t="s">
        <v>245</v>
      </c>
      <c r="C90" s="156" t="s">
        <v>230</v>
      </c>
      <c r="D90" s="213">
        <v>-43986.45</v>
      </c>
      <c r="E90" s="214">
        <f>H10-H65</f>
        <v>-35978.910000000003</v>
      </c>
      <c r="F90" s="158" t="s">
        <v>349</v>
      </c>
    </row>
    <row r="91" spans="1:6" ht="14.25" customHeight="1" x14ac:dyDescent="0.25">
      <c r="B91" s="208"/>
    </row>
    <row r="92" spans="1:6" ht="14.25" customHeight="1" x14ac:dyDescent="0.25">
      <c r="B92" s="208"/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5.75" customHeight="1" x14ac:dyDescent="0.25"/>
    <row r="292" spans="2:2" ht="15.75" customHeight="1" x14ac:dyDescent="0.25"/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2"/>
  <sheetViews>
    <sheetView zoomScale="85" zoomScaleNormal="85" workbookViewId="0">
      <selection activeCell="M10" sqref="M10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t="s">
        <v>470</v>
      </c>
    </row>
    <row r="2" spans="1:10" x14ac:dyDescent="0.25">
      <c r="A2" s="156" t="s">
        <v>221</v>
      </c>
    </row>
    <row r="3" spans="1:10" x14ac:dyDescent="0.25">
      <c r="A3" s="156" t="s">
        <v>222</v>
      </c>
      <c r="B3" s="156" t="s">
        <v>223</v>
      </c>
      <c r="C3" s="156" t="s">
        <v>224</v>
      </c>
      <c r="D3" s="156" t="s">
        <v>225</v>
      </c>
      <c r="G3" s="155" t="s">
        <v>124</v>
      </c>
      <c r="H3" s="155" t="s">
        <v>125</v>
      </c>
      <c r="I3" s="155" t="s">
        <v>83</v>
      </c>
    </row>
    <row r="4" spans="1:10" x14ac:dyDescent="0.25">
      <c r="F4" s="156" t="s">
        <v>126</v>
      </c>
      <c r="G4" s="157">
        <f>D6+D7+D8+D9</f>
        <v>38932.61</v>
      </c>
      <c r="H4" s="157">
        <f>D13+D14+D11+D12</f>
        <v>5245.7</v>
      </c>
      <c r="I4" s="157">
        <f>G4+H4</f>
        <v>44178.31</v>
      </c>
    </row>
    <row r="5" spans="1:10" x14ac:dyDescent="0.25">
      <c r="A5" s="156" t="s">
        <v>226</v>
      </c>
      <c r="F5" s="158" t="s">
        <v>227</v>
      </c>
      <c r="G5" s="157">
        <v>29400</v>
      </c>
      <c r="H5" s="157">
        <f>D10+1400</f>
        <v>6436</v>
      </c>
      <c r="I5" s="157">
        <f>G5+H5</f>
        <v>35836</v>
      </c>
    </row>
    <row r="6" spans="1:10" x14ac:dyDescent="0.25">
      <c r="A6" t="s">
        <v>228</v>
      </c>
      <c r="B6" t="s">
        <v>472</v>
      </c>
      <c r="C6" t="s">
        <v>230</v>
      </c>
      <c r="D6" s="217">
        <v>14587.83</v>
      </c>
      <c r="F6" s="156" t="s">
        <v>231</v>
      </c>
      <c r="G6" s="157">
        <f>VLOOKUP(F6,A5:D34,4,FALSE)</f>
        <v>17673.280000000002</v>
      </c>
      <c r="I6" s="157">
        <f t="shared" ref="I6" si="0">G6+H6</f>
        <v>17673.280000000002</v>
      </c>
      <c r="J6" s="157">
        <f>G5+G6+H7</f>
        <v>61456.959999999999</v>
      </c>
    </row>
    <row r="7" spans="1:10" ht="13.5" customHeight="1" x14ac:dyDescent="0.25">
      <c r="A7" t="s">
        <v>232</v>
      </c>
      <c r="B7" t="s">
        <v>472</v>
      </c>
      <c r="C7" t="s">
        <v>230</v>
      </c>
      <c r="D7" s="217">
        <v>22238.17</v>
      </c>
      <c r="E7" s="194"/>
      <c r="F7" s="156" t="s">
        <v>129</v>
      </c>
      <c r="G7" s="157">
        <f>SUM(G4:G6)</f>
        <v>86005.89</v>
      </c>
      <c r="H7" s="157">
        <f>D15</f>
        <v>14383.68</v>
      </c>
      <c r="I7" s="157">
        <f>SUM(I4:I6)</f>
        <v>97687.59</v>
      </c>
      <c r="J7" s="157">
        <f>G8*0.047</f>
        <v>-841.13502999999992</v>
      </c>
    </row>
    <row r="8" spans="1:10" ht="14.25" customHeight="1" x14ac:dyDescent="0.25">
      <c r="A8" t="s">
        <v>234</v>
      </c>
      <c r="B8" t="s">
        <v>472</v>
      </c>
      <c r="C8" t="s">
        <v>230</v>
      </c>
      <c r="D8" s="217">
        <v>2054.08</v>
      </c>
      <c r="F8" s="159" t="s">
        <v>235</v>
      </c>
      <c r="G8" s="160">
        <f>-VLOOKUP(F8,A38:D57,4,)</f>
        <v>-17896.489999999998</v>
      </c>
      <c r="H8" s="159"/>
      <c r="I8" s="160">
        <f>G7+G8+H7</f>
        <v>82493.079999999987</v>
      </c>
      <c r="J8" s="159" t="s">
        <v>131</v>
      </c>
    </row>
    <row r="9" spans="1:10" ht="14.25" customHeight="1" x14ac:dyDescent="0.25">
      <c r="A9" t="s">
        <v>474</v>
      </c>
      <c r="B9" t="s">
        <v>472</v>
      </c>
      <c r="C9" t="s">
        <v>230</v>
      </c>
      <c r="D9">
        <v>52.53</v>
      </c>
      <c r="E9" s="194"/>
      <c r="F9" s="158"/>
      <c r="G9" s="157"/>
      <c r="H9" s="157"/>
      <c r="I9" s="157"/>
    </row>
    <row r="10" spans="1:10" ht="14.25" customHeight="1" x14ac:dyDescent="0.3">
      <c r="A10" t="s">
        <v>237</v>
      </c>
      <c r="B10" t="s">
        <v>238</v>
      </c>
      <c r="C10" t="s">
        <v>230</v>
      </c>
      <c r="D10" s="217">
        <v>5036</v>
      </c>
      <c r="E10" s="194"/>
      <c r="F10" s="218" t="s">
        <v>319</v>
      </c>
      <c r="G10" s="219">
        <f>I7</f>
        <v>97687.59</v>
      </c>
      <c r="H10" s="219">
        <f>G10+H7</f>
        <v>112071.26999999999</v>
      </c>
    </row>
    <row r="11" spans="1:10" x14ac:dyDescent="0.25">
      <c r="A11" t="s">
        <v>471</v>
      </c>
      <c r="B11" t="s">
        <v>472</v>
      </c>
      <c r="C11" t="s">
        <v>230</v>
      </c>
      <c r="D11">
        <v>1.21</v>
      </c>
      <c r="E11" s="194"/>
      <c r="F11" s="156" t="s">
        <v>128</v>
      </c>
      <c r="G11" s="156" t="s">
        <v>321</v>
      </c>
      <c r="H11" s="156" t="s">
        <v>147</v>
      </c>
      <c r="I11" s="156" t="s">
        <v>322</v>
      </c>
    </row>
    <row r="12" spans="1:10" x14ac:dyDescent="0.25">
      <c r="A12" t="s">
        <v>473</v>
      </c>
      <c r="B12" t="s">
        <v>472</v>
      </c>
      <c r="C12" t="s">
        <v>230</v>
      </c>
      <c r="D12">
        <v>2.02</v>
      </c>
      <c r="E12" s="194"/>
      <c r="F12" s="157">
        <f>G6</f>
        <v>17673.280000000002</v>
      </c>
      <c r="G12" s="157">
        <f>I5</f>
        <v>35836</v>
      </c>
      <c r="H12" s="157">
        <f>I4</f>
        <v>44178.31</v>
      </c>
      <c r="I12" s="157">
        <f>H7</f>
        <v>14383.68</v>
      </c>
      <c r="J12" s="157">
        <f>SUM(F12:I12)</f>
        <v>112071.26999999999</v>
      </c>
    </row>
    <row r="13" spans="1:10" ht="14.25" customHeight="1" x14ac:dyDescent="0.25">
      <c r="A13" t="s">
        <v>239</v>
      </c>
      <c r="B13" t="s">
        <v>475</v>
      </c>
      <c r="C13" t="s">
        <v>230</v>
      </c>
      <c r="D13" s="217">
        <v>1489.08</v>
      </c>
      <c r="E13" s="194"/>
      <c r="G13" s="223"/>
    </row>
    <row r="14" spans="1:10" ht="14.25" customHeight="1" x14ac:dyDescent="0.25">
      <c r="A14" t="s">
        <v>241</v>
      </c>
      <c r="B14" t="s">
        <v>475</v>
      </c>
      <c r="C14" t="s">
        <v>230</v>
      </c>
      <c r="D14" s="217">
        <v>3753.39</v>
      </c>
      <c r="E14" s="194"/>
    </row>
    <row r="15" spans="1:10" ht="14.25" customHeight="1" x14ac:dyDescent="0.25">
      <c r="A15" t="s">
        <v>242</v>
      </c>
      <c r="B15" t="s">
        <v>243</v>
      </c>
      <c r="C15" t="s">
        <v>230</v>
      </c>
      <c r="D15" s="217">
        <v>14383.68</v>
      </c>
      <c r="E15" s="194"/>
    </row>
    <row r="16" spans="1:10" ht="14.25" customHeight="1" x14ac:dyDescent="0.25">
      <c r="A16" t="s">
        <v>244</v>
      </c>
      <c r="B16" t="s">
        <v>245</v>
      </c>
      <c r="C16" t="s">
        <v>230</v>
      </c>
      <c r="D16" s="217">
        <v>63597.99</v>
      </c>
      <c r="E16" s="194"/>
    </row>
    <row r="17" spans="1:7" ht="14.25" customHeight="1" x14ac:dyDescent="0.25">
      <c r="E17" s="194"/>
    </row>
    <row r="18" spans="1:7" ht="14.25" customHeight="1" x14ac:dyDescent="0.25">
      <c r="A18" s="156" t="s">
        <v>246</v>
      </c>
      <c r="E18" s="194"/>
    </row>
    <row r="19" spans="1:7" ht="14.25" customHeight="1" x14ac:dyDescent="0.25">
      <c r="A19" s="156" t="s">
        <v>247</v>
      </c>
      <c r="B19" t="s">
        <v>472</v>
      </c>
      <c r="C19" t="s">
        <v>230</v>
      </c>
      <c r="D19">
        <v>500.64</v>
      </c>
      <c r="E19" s="194"/>
    </row>
    <row r="20" spans="1:7" ht="14.25" customHeight="1" x14ac:dyDescent="0.25">
      <c r="A20" s="156" t="s">
        <v>249</v>
      </c>
      <c r="B20" t="s">
        <v>472</v>
      </c>
      <c r="C20" t="s">
        <v>230</v>
      </c>
      <c r="D20">
        <v>50.74</v>
      </c>
      <c r="E20" s="194"/>
    </row>
    <row r="21" spans="1:7" ht="14.25" customHeight="1" x14ac:dyDescent="0.25">
      <c r="A21" s="156" t="s">
        <v>250</v>
      </c>
      <c r="B21" t="s">
        <v>472</v>
      </c>
      <c r="C21" t="s">
        <v>230</v>
      </c>
      <c r="D21">
        <v>120.66</v>
      </c>
      <c r="E21" s="196"/>
    </row>
    <row r="22" spans="1:7" ht="14.25" customHeight="1" x14ac:dyDescent="0.25">
      <c r="A22" s="156" t="s">
        <v>251</v>
      </c>
      <c r="B22" t="s">
        <v>472</v>
      </c>
      <c r="C22" t="s">
        <v>230</v>
      </c>
      <c r="D22">
        <v>520.27</v>
      </c>
      <c r="E22" s="194"/>
    </row>
    <row r="23" spans="1:7" ht="14.25" customHeight="1" x14ac:dyDescent="0.25">
      <c r="A23" s="156" t="s">
        <v>252</v>
      </c>
      <c r="B23" t="s">
        <v>253</v>
      </c>
      <c r="C23" t="s">
        <v>230</v>
      </c>
      <c r="D23">
        <v>0</v>
      </c>
      <c r="E23" s="196"/>
    </row>
    <row r="24" spans="1:7" ht="14.25" customHeight="1" x14ac:dyDescent="0.25">
      <c r="A24" s="156" t="s">
        <v>323</v>
      </c>
      <c r="B24" t="s">
        <v>472</v>
      </c>
      <c r="C24" t="s">
        <v>230</v>
      </c>
      <c r="D24">
        <v>333.81</v>
      </c>
      <c r="E24" s="196"/>
    </row>
    <row r="25" spans="1:7" ht="14.25" customHeight="1" x14ac:dyDescent="0.25">
      <c r="A25" s="156" t="s">
        <v>254</v>
      </c>
      <c r="B25" t="s">
        <v>472</v>
      </c>
      <c r="C25" t="s">
        <v>230</v>
      </c>
      <c r="D25" s="217">
        <v>15921.43</v>
      </c>
      <c r="E25" s="196"/>
    </row>
    <row r="26" spans="1:7" ht="14.25" customHeight="1" x14ac:dyDescent="0.25">
      <c r="A26" s="156" t="s">
        <v>324</v>
      </c>
      <c r="B26" t="s">
        <v>472</v>
      </c>
      <c r="C26" t="s">
        <v>230</v>
      </c>
      <c r="D26">
        <v>164.32</v>
      </c>
      <c r="E26" s="196"/>
    </row>
    <row r="27" spans="1:7" ht="14.25" customHeight="1" x14ac:dyDescent="0.25">
      <c r="A27" s="156" t="s">
        <v>255</v>
      </c>
      <c r="B27" t="s">
        <v>476</v>
      </c>
      <c r="C27" t="s">
        <v>230</v>
      </c>
      <c r="D27">
        <v>179.97</v>
      </c>
      <c r="E27" s="196"/>
    </row>
    <row r="28" spans="1:7" ht="14.25" customHeight="1" x14ac:dyDescent="0.25">
      <c r="A28" s="156" t="s">
        <v>257</v>
      </c>
      <c r="B28" t="s">
        <v>472</v>
      </c>
      <c r="C28" t="s">
        <v>230</v>
      </c>
      <c r="D28">
        <v>500.23</v>
      </c>
      <c r="E28" s="194"/>
    </row>
    <row r="29" spans="1:7" ht="14.25" customHeight="1" x14ac:dyDescent="0.25">
      <c r="B29" s="156" t="s">
        <v>245</v>
      </c>
      <c r="C29" s="156" t="s">
        <v>230</v>
      </c>
      <c r="D29" s="217">
        <v>18292.07</v>
      </c>
      <c r="E29" s="196"/>
    </row>
    <row r="30" spans="1:7" ht="14.25" customHeight="1" x14ac:dyDescent="0.25">
      <c r="A30" s="156" t="s">
        <v>231</v>
      </c>
      <c r="D30" s="196">
        <f>D19+D25+D27+D28+D20+D22+D23</f>
        <v>17673.280000000002</v>
      </c>
      <c r="E30" s="196"/>
    </row>
    <row r="31" spans="1:7" ht="14.25" customHeight="1" x14ac:dyDescent="0.25">
      <c r="E31" s="196"/>
    </row>
    <row r="32" spans="1:7" ht="14.25" customHeight="1" x14ac:dyDescent="0.25">
      <c r="A32" s="156" t="s">
        <v>258</v>
      </c>
      <c r="E32" s="194"/>
      <c r="F32" s="196"/>
      <c r="G32" s="194"/>
    </row>
    <row r="33" spans="1:12" ht="14.25" customHeight="1" x14ac:dyDescent="0.25">
      <c r="A33" s="156" t="s">
        <v>259</v>
      </c>
      <c r="B33" s="156" t="s">
        <v>260</v>
      </c>
      <c r="C33" s="156" t="s">
        <v>230</v>
      </c>
      <c r="D33" s="196">
        <v>7500</v>
      </c>
      <c r="E33" s="194"/>
      <c r="F33" s="196"/>
      <c r="G33" s="194"/>
    </row>
    <row r="34" spans="1:12" ht="14.25" customHeight="1" x14ac:dyDescent="0.25">
      <c r="A34" s="156" t="s">
        <v>261</v>
      </c>
      <c r="B34" s="156" t="s">
        <v>245</v>
      </c>
      <c r="C34" s="156" t="s">
        <v>230</v>
      </c>
      <c r="D34" s="196">
        <v>7500</v>
      </c>
      <c r="E34" s="194"/>
      <c r="F34" s="196"/>
      <c r="G34" s="194"/>
    </row>
    <row r="35" spans="1:12" ht="14.25" customHeight="1" x14ac:dyDescent="0.25">
      <c r="E35" s="194"/>
      <c r="F35" s="196"/>
      <c r="G35" s="194" t="s">
        <v>262</v>
      </c>
      <c r="I35" s="206" t="str">
        <f>A7</f>
        <v>Merrill Lynch Merrill Edge-CMA-Edgex2085-CMA-x-2085</v>
      </c>
      <c r="K35" s="206" t="str">
        <f>A6</f>
        <v>Robinhood-Robinhood Brokerage-brokerageCash-x-8271</v>
      </c>
      <c r="L35" s="206" t="str">
        <f>A8</f>
        <v>Chase-Self-Directed-individual-x-3098</v>
      </c>
    </row>
    <row r="36" spans="1:12" ht="14.25" customHeight="1" x14ac:dyDescent="0.25">
      <c r="A36" s="156" t="s">
        <v>263</v>
      </c>
      <c r="B36" s="156" t="s">
        <v>245</v>
      </c>
      <c r="C36" s="156" t="s">
        <v>230</v>
      </c>
      <c r="D36" s="217">
        <v>89390.06</v>
      </c>
      <c r="E36" s="194"/>
      <c r="F36" s="196"/>
      <c r="G36" s="194" t="s">
        <v>264</v>
      </c>
      <c r="H36" s="156">
        <v>190</v>
      </c>
      <c r="I36" s="156">
        <v>347.38</v>
      </c>
      <c r="K36" s="156">
        <f>6.2*173</f>
        <v>1072.6000000000001</v>
      </c>
    </row>
    <row r="37" spans="1:12" ht="14.25" customHeight="1" x14ac:dyDescent="0.25">
      <c r="E37" s="194"/>
      <c r="F37" s="196"/>
      <c r="G37" s="194" t="s">
        <v>265</v>
      </c>
      <c r="H37" s="156">
        <v>150</v>
      </c>
      <c r="I37" s="156">
        <v>110</v>
      </c>
      <c r="J37" s="156">
        <f>H37/36.97</f>
        <v>4.0573437922639979</v>
      </c>
      <c r="K37" s="156">
        <v>152</v>
      </c>
    </row>
    <row r="38" spans="1:12" ht="14.25" customHeight="1" x14ac:dyDescent="0.25">
      <c r="A38" s="156" t="s">
        <v>266</v>
      </c>
      <c r="B38" s="156" t="s">
        <v>223</v>
      </c>
      <c r="C38" s="156" t="s">
        <v>224</v>
      </c>
      <c r="D38" s="156" t="s">
        <v>225</v>
      </c>
      <c r="E38" s="194"/>
      <c r="F38" s="196"/>
      <c r="G38" s="194" t="s">
        <v>267</v>
      </c>
      <c r="H38" s="156">
        <v>20</v>
      </c>
      <c r="K38" s="156">
        <v>450</v>
      </c>
    </row>
    <row r="39" spans="1:12" ht="14.25" customHeight="1" x14ac:dyDescent="0.25">
      <c r="E39" s="194"/>
      <c r="F39" s="196"/>
      <c r="G39" s="194" t="s">
        <v>268</v>
      </c>
      <c r="H39" s="156">
        <v>80</v>
      </c>
      <c r="I39" s="156">
        <v>154.69</v>
      </c>
      <c r="K39" s="156">
        <v>1000</v>
      </c>
    </row>
    <row r="40" spans="1:12" ht="14.25" customHeight="1" x14ac:dyDescent="0.25">
      <c r="A40" s="156" t="s">
        <v>269</v>
      </c>
      <c r="E40" s="194"/>
      <c r="F40" s="196"/>
      <c r="G40" s="194" t="s">
        <v>270</v>
      </c>
      <c r="H40" s="156">
        <v>250</v>
      </c>
      <c r="I40" s="156">
        <v>212.3</v>
      </c>
    </row>
    <row r="41" spans="1:12" ht="14.25" customHeight="1" x14ac:dyDescent="0.25">
      <c r="A41" t="s">
        <v>477</v>
      </c>
      <c r="B41" t="s">
        <v>472</v>
      </c>
      <c r="C41" t="s">
        <v>230</v>
      </c>
      <c r="D41">
        <v>-11.65</v>
      </c>
      <c r="E41" s="194"/>
      <c r="F41" s="196"/>
      <c r="G41" s="194" t="s">
        <v>272</v>
      </c>
      <c r="H41" s="156">
        <v>450</v>
      </c>
      <c r="K41" s="156">
        <v>1000</v>
      </c>
    </row>
    <row r="42" spans="1:12" ht="14.25" customHeight="1" x14ac:dyDescent="0.25">
      <c r="A42" t="s">
        <v>478</v>
      </c>
      <c r="B42" t="s">
        <v>472</v>
      </c>
      <c r="C42" t="s">
        <v>230</v>
      </c>
      <c r="D42">
        <v>-18.41</v>
      </c>
      <c r="E42" s="194"/>
      <c r="F42" s="196"/>
      <c r="G42" s="194" t="s">
        <v>274</v>
      </c>
      <c r="H42" s="156">
        <v>322</v>
      </c>
      <c r="I42" s="156">
        <v>494</v>
      </c>
    </row>
    <row r="43" spans="1:12" ht="14.25" customHeight="1" x14ac:dyDescent="0.25">
      <c r="A43" t="s">
        <v>479</v>
      </c>
      <c r="B43" t="s">
        <v>472</v>
      </c>
      <c r="C43" t="s">
        <v>230</v>
      </c>
      <c r="D43" s="217">
        <v>9935.65</v>
      </c>
      <c r="E43" s="207"/>
      <c r="G43" s="194" t="s">
        <v>276</v>
      </c>
      <c r="H43" s="156">
        <v>167</v>
      </c>
      <c r="K43" s="156">
        <f>4*122</f>
        <v>488</v>
      </c>
    </row>
    <row r="44" spans="1:12" ht="14.25" customHeight="1" x14ac:dyDescent="0.25">
      <c r="A44" t="s">
        <v>277</v>
      </c>
      <c r="B44" t="s">
        <v>472</v>
      </c>
      <c r="C44" t="s">
        <v>230</v>
      </c>
      <c r="D44">
        <v>21.24</v>
      </c>
      <c r="G44" s="194" t="s">
        <v>278</v>
      </c>
      <c r="K44" s="156">
        <f>3.135147*397</f>
        <v>1244.6533589999999</v>
      </c>
    </row>
    <row r="45" spans="1:12" ht="14.25" customHeight="1" x14ac:dyDescent="0.25">
      <c r="A45" t="s">
        <v>279</v>
      </c>
      <c r="B45" t="s">
        <v>280</v>
      </c>
      <c r="C45" t="s">
        <v>230</v>
      </c>
      <c r="D45">
        <v>0</v>
      </c>
      <c r="G45" s="194" t="s">
        <v>281</v>
      </c>
      <c r="K45" s="156">
        <v>223</v>
      </c>
      <c r="L45" s="156">
        <f>2*454.5</f>
        <v>909</v>
      </c>
    </row>
    <row r="46" spans="1:12" ht="14.25" customHeight="1" x14ac:dyDescent="0.25">
      <c r="A46" t="s">
        <v>282</v>
      </c>
      <c r="B46" t="s">
        <v>283</v>
      </c>
      <c r="C46" t="s">
        <v>230</v>
      </c>
      <c r="D46">
        <v>0</v>
      </c>
      <c r="G46" s="194" t="s">
        <v>284</v>
      </c>
      <c r="K46" s="156">
        <v>313</v>
      </c>
    </row>
    <row r="47" spans="1:12" ht="14.25" customHeight="1" x14ac:dyDescent="0.25">
      <c r="A47" t="s">
        <v>285</v>
      </c>
      <c r="B47" t="s">
        <v>472</v>
      </c>
      <c r="C47" t="s">
        <v>230</v>
      </c>
      <c r="D47">
        <v>-27.28</v>
      </c>
      <c r="E47" s="194"/>
      <c r="G47" s="194" t="s">
        <v>286</v>
      </c>
      <c r="K47" s="156">
        <v>430</v>
      </c>
    </row>
    <row r="48" spans="1:12" ht="14.25" customHeight="1" x14ac:dyDescent="0.25">
      <c r="A48" t="s">
        <v>287</v>
      </c>
      <c r="B48" t="s">
        <v>288</v>
      </c>
      <c r="C48" t="s">
        <v>230</v>
      </c>
      <c r="D48">
        <v>0</v>
      </c>
      <c r="E48" s="194"/>
      <c r="G48" s="194" t="s">
        <v>289</v>
      </c>
      <c r="K48" s="156">
        <v>300</v>
      </c>
    </row>
    <row r="49" spans="1:14" ht="14.25" customHeight="1" x14ac:dyDescent="0.25">
      <c r="A49" t="s">
        <v>290</v>
      </c>
      <c r="B49" t="s">
        <v>280</v>
      </c>
      <c r="C49" t="s">
        <v>230</v>
      </c>
      <c r="D49">
        <v>0</v>
      </c>
      <c r="E49" s="194"/>
      <c r="H49" s="156">
        <f t="shared" ref="H49:I49" si="1">SUM(H34:H48)</f>
        <v>1629</v>
      </c>
      <c r="I49" s="156">
        <f t="shared" si="1"/>
        <v>1318.37</v>
      </c>
      <c r="K49" s="156">
        <f t="shared" ref="K49:L49" si="2">SUM(K34:K48)</f>
        <v>6673.2533590000003</v>
      </c>
      <c r="L49" s="156">
        <f t="shared" si="2"/>
        <v>909</v>
      </c>
      <c r="M49" s="156">
        <f t="shared" ref="M49:M50" si="3">SUM(I49:L49)</f>
        <v>8900.6233590000011</v>
      </c>
    </row>
    <row r="50" spans="1:14" ht="14.25" customHeight="1" x14ac:dyDescent="0.25">
      <c r="A50" t="s">
        <v>291</v>
      </c>
      <c r="B50" t="s">
        <v>472</v>
      </c>
      <c r="C50" t="s">
        <v>230</v>
      </c>
      <c r="D50">
        <v>528.79</v>
      </c>
      <c r="E50" s="194"/>
      <c r="H50" s="210" t="s">
        <v>326</v>
      </c>
      <c r="I50" s="156">
        <v>1400</v>
      </c>
      <c r="K50" s="156">
        <v>6777</v>
      </c>
      <c r="L50" s="156">
        <v>944</v>
      </c>
      <c r="M50" s="156">
        <f t="shared" si="3"/>
        <v>9121</v>
      </c>
    </row>
    <row r="51" spans="1:14" ht="14.25" customHeight="1" x14ac:dyDescent="0.25">
      <c r="A51" t="s">
        <v>292</v>
      </c>
      <c r="B51" t="s">
        <v>472</v>
      </c>
      <c r="C51" t="s">
        <v>230</v>
      </c>
      <c r="D51">
        <v>0</v>
      </c>
      <c r="E51" s="194"/>
      <c r="I51" s="156" t="s">
        <v>293</v>
      </c>
      <c r="J51" s="156">
        <v>2300</v>
      </c>
      <c r="M51" s="156">
        <f>SUM(J51+M49)</f>
        <v>11200.623359000001</v>
      </c>
      <c r="N51" s="156" t="s">
        <v>294</v>
      </c>
    </row>
    <row r="52" spans="1:14" ht="14.25" customHeight="1" x14ac:dyDescent="0.25">
      <c r="A52" t="s">
        <v>295</v>
      </c>
      <c r="B52" t="s">
        <v>472</v>
      </c>
      <c r="C52" t="s">
        <v>230</v>
      </c>
      <c r="D52">
        <v>0</v>
      </c>
      <c r="E52" s="194"/>
    </row>
    <row r="53" spans="1:14" ht="14.25" customHeight="1" x14ac:dyDescent="0.25">
      <c r="A53" t="s">
        <v>296</v>
      </c>
      <c r="B53" t="s">
        <v>480</v>
      </c>
      <c r="C53" t="s">
        <v>230</v>
      </c>
      <c r="D53">
        <v>0</v>
      </c>
    </row>
    <row r="54" spans="1:14" ht="14.25" customHeight="1" x14ac:dyDescent="0.25">
      <c r="A54" t="s">
        <v>298</v>
      </c>
      <c r="B54" t="s">
        <v>480</v>
      </c>
      <c r="C54" t="s">
        <v>230</v>
      </c>
      <c r="D54">
        <v>0</v>
      </c>
    </row>
    <row r="55" spans="1:14" ht="14.25" customHeight="1" x14ac:dyDescent="0.25">
      <c r="A55" t="s">
        <v>299</v>
      </c>
      <c r="B55" t="s">
        <v>480</v>
      </c>
      <c r="C55" t="s">
        <v>230</v>
      </c>
      <c r="D55" s="217">
        <v>7996.94</v>
      </c>
    </row>
    <row r="56" spans="1:14" ht="14.25" customHeight="1" x14ac:dyDescent="0.25">
      <c r="B56" s="156" t="s">
        <v>245</v>
      </c>
      <c r="C56" s="156" t="s">
        <v>230</v>
      </c>
      <c r="D56" s="217">
        <v>18425.28</v>
      </c>
    </row>
    <row r="57" spans="1:14" ht="14.25" customHeight="1" x14ac:dyDescent="0.25">
      <c r="A57" s="156" t="s">
        <v>235</v>
      </c>
      <c r="C57" s="156" t="s">
        <v>230</v>
      </c>
      <c r="D57" s="196">
        <f>D56-D50</f>
        <v>17896.489999999998</v>
      </c>
    </row>
    <row r="58" spans="1:14" ht="14.25" customHeight="1" x14ac:dyDescent="0.25">
      <c r="A58" s="156" t="s">
        <v>300</v>
      </c>
    </row>
    <row r="59" spans="1:14" ht="14.25" customHeight="1" x14ac:dyDescent="0.25">
      <c r="A59" s="156" t="s">
        <v>328</v>
      </c>
      <c r="B59" t="s">
        <v>480</v>
      </c>
      <c r="C59" s="156" t="s">
        <v>230</v>
      </c>
      <c r="D59" s="217">
        <v>2000</v>
      </c>
      <c r="E59" s="217"/>
    </row>
    <row r="60" spans="1:14" ht="14.25" customHeight="1" x14ac:dyDescent="0.25">
      <c r="A60" s="156" t="s">
        <v>330</v>
      </c>
      <c r="B60" t="s">
        <v>480</v>
      </c>
      <c r="C60" s="156" t="s">
        <v>230</v>
      </c>
      <c r="D60" s="217">
        <v>1932.87</v>
      </c>
      <c r="E60" s="217"/>
    </row>
    <row r="61" spans="1:14" ht="14.25" customHeight="1" x14ac:dyDescent="0.25">
      <c r="A61" s="156" t="s">
        <v>331</v>
      </c>
      <c r="B61" t="s">
        <v>480</v>
      </c>
      <c r="C61" s="156" t="s">
        <v>230</v>
      </c>
      <c r="D61" s="217">
        <v>8589</v>
      </c>
      <c r="E61" s="217"/>
    </row>
    <row r="62" spans="1:14" ht="14.25" customHeight="1" x14ac:dyDescent="0.25">
      <c r="A62" s="156" t="s">
        <v>332</v>
      </c>
      <c r="B62" t="s">
        <v>480</v>
      </c>
      <c r="C62" s="156" t="s">
        <v>230</v>
      </c>
      <c r="D62" s="217">
        <v>11843</v>
      </c>
      <c r="E62" s="217"/>
    </row>
    <row r="63" spans="1:14" ht="14.25" customHeight="1" x14ac:dyDescent="0.25">
      <c r="A63" s="156" t="s">
        <v>333</v>
      </c>
      <c r="B63" t="s">
        <v>480</v>
      </c>
      <c r="C63" s="156" t="s">
        <v>230</v>
      </c>
      <c r="D63" s="217">
        <v>8657</v>
      </c>
      <c r="E63" s="217"/>
    </row>
    <row r="64" spans="1:14" ht="14.25" customHeight="1" x14ac:dyDescent="0.25">
      <c r="A64" s="156" t="s">
        <v>334</v>
      </c>
      <c r="B64" t="s">
        <v>480</v>
      </c>
      <c r="C64" s="156" t="s">
        <v>230</v>
      </c>
      <c r="D64">
        <v>531</v>
      </c>
    </row>
    <row r="65" spans="1:10" ht="14.25" customHeight="1" x14ac:dyDescent="0.25">
      <c r="A65" s="156" t="s">
        <v>330</v>
      </c>
      <c r="B65" t="s">
        <v>335</v>
      </c>
      <c r="C65" s="156" t="s">
        <v>230</v>
      </c>
      <c r="D65" s="217">
        <v>1932.87</v>
      </c>
      <c r="E65" s="217"/>
    </row>
    <row r="66" spans="1:10" ht="14.25" customHeight="1" x14ac:dyDescent="0.25">
      <c r="A66" s="156" t="s">
        <v>336</v>
      </c>
      <c r="B66" t="s">
        <v>480</v>
      </c>
      <c r="C66" s="156" t="s">
        <v>230</v>
      </c>
      <c r="D66" s="217">
        <v>4500</v>
      </c>
      <c r="E66" s="217"/>
    </row>
    <row r="67" spans="1:10" ht="14.25" customHeight="1" x14ac:dyDescent="0.3">
      <c r="A67" s="156" t="s">
        <v>337</v>
      </c>
      <c r="B67" t="s">
        <v>480</v>
      </c>
      <c r="C67" s="156" t="s">
        <v>230</v>
      </c>
      <c r="D67">
        <v>907.59</v>
      </c>
      <c r="G67" s="211" t="s">
        <v>338</v>
      </c>
      <c r="H67" s="212">
        <f>SUM(F70:J70)</f>
        <v>136855.04000000001</v>
      </c>
    </row>
    <row r="68" spans="1:10" ht="14.25" customHeight="1" x14ac:dyDescent="0.25">
      <c r="A68" s="156" t="s">
        <v>339</v>
      </c>
      <c r="B68" t="s">
        <v>480</v>
      </c>
      <c r="C68" s="156" t="s">
        <v>230</v>
      </c>
      <c r="D68">
        <v>636.20000000000005</v>
      </c>
    </row>
    <row r="69" spans="1:10" ht="14.25" customHeight="1" x14ac:dyDescent="0.25">
      <c r="A69" s="156" t="s">
        <v>340</v>
      </c>
      <c r="B69" t="s">
        <v>480</v>
      </c>
      <c r="C69" s="156" t="s">
        <v>230</v>
      </c>
      <c r="D69" s="217">
        <v>4500</v>
      </c>
      <c r="E69" s="217"/>
      <c r="F69" s="156" t="s">
        <v>341</v>
      </c>
      <c r="G69" s="156" t="str">
        <f>A81</f>
        <v>Loan BPS Collen Fund-Personal/Nopay till further noitice</v>
      </c>
      <c r="H69" s="156" t="str">
        <f>A82</f>
        <v>NYS Loan Masters Edu-Personal</v>
      </c>
      <c r="I69" s="156" t="str">
        <f>A83</f>
        <v>TEACh Grant-Personal</v>
      </c>
      <c r="J69" s="156" t="str">
        <f>A57</f>
        <v xml:space="preserve">			Cards TOTAL</v>
      </c>
    </row>
    <row r="70" spans="1:10" ht="14.25" customHeight="1" x14ac:dyDescent="0.25">
      <c r="A70" s="156" t="s">
        <v>342</v>
      </c>
      <c r="B70" t="s">
        <v>480</v>
      </c>
      <c r="C70" s="156" t="s">
        <v>230</v>
      </c>
      <c r="D70" s="217">
        <v>5896.67</v>
      </c>
      <c r="E70" s="217"/>
      <c r="F70" s="196">
        <f>E80</f>
        <v>87683.05</v>
      </c>
      <c r="G70" s="196">
        <f>D81</f>
        <v>11700</v>
      </c>
      <c r="H70" s="196">
        <f>D82</f>
        <v>13917.5</v>
      </c>
      <c r="I70" s="196">
        <f>D83</f>
        <v>5658</v>
      </c>
      <c r="J70" s="196">
        <f>D57</f>
        <v>17896.489999999998</v>
      </c>
    </row>
    <row r="71" spans="1:10" ht="14.25" customHeight="1" x14ac:dyDescent="0.25">
      <c r="A71" s="156" t="s">
        <v>343</v>
      </c>
      <c r="B71" t="s">
        <v>480</v>
      </c>
      <c r="C71" s="156" t="s">
        <v>230</v>
      </c>
      <c r="D71" s="217">
        <v>5500</v>
      </c>
      <c r="E71" s="217"/>
    </row>
    <row r="72" spans="1:10" ht="14.25" customHeight="1" x14ac:dyDescent="0.25">
      <c r="A72" s="156" t="s">
        <v>344</v>
      </c>
      <c r="B72" t="s">
        <v>480</v>
      </c>
      <c r="C72" s="156" t="s">
        <v>230</v>
      </c>
      <c r="D72" s="217">
        <v>6613.65</v>
      </c>
      <c r="E72" s="217"/>
    </row>
    <row r="73" spans="1:10" ht="14.25" customHeight="1" x14ac:dyDescent="0.25">
      <c r="A73" s="156" t="s">
        <v>345</v>
      </c>
      <c r="B73" t="s">
        <v>335</v>
      </c>
      <c r="C73" s="156" t="s">
        <v>230</v>
      </c>
      <c r="D73" s="217">
        <v>6429</v>
      </c>
      <c r="E73" s="217"/>
    </row>
    <row r="74" spans="1:10" ht="14.25" customHeight="1" x14ac:dyDescent="0.25">
      <c r="A74" s="156" t="s">
        <v>328</v>
      </c>
      <c r="B74" t="s">
        <v>335</v>
      </c>
      <c r="C74" s="156" t="s">
        <v>230</v>
      </c>
      <c r="D74" s="217">
        <v>2000</v>
      </c>
      <c r="E74" s="217"/>
    </row>
    <row r="75" spans="1:10" ht="14.25" customHeight="1" x14ac:dyDescent="0.25">
      <c r="A75" s="156" t="s">
        <v>346</v>
      </c>
      <c r="B75" t="s">
        <v>335</v>
      </c>
      <c r="C75" s="156" t="s">
        <v>230</v>
      </c>
      <c r="D75" s="217">
        <v>1400</v>
      </c>
      <c r="E75" s="217"/>
    </row>
    <row r="76" spans="1:10" ht="14.25" customHeight="1" x14ac:dyDescent="0.25">
      <c r="A76" s="156" t="s">
        <v>347</v>
      </c>
      <c r="B76" t="s">
        <v>335</v>
      </c>
      <c r="C76" s="156" t="s">
        <v>230</v>
      </c>
      <c r="D76" s="217">
        <v>1936.1</v>
      </c>
      <c r="E76" s="217"/>
    </row>
    <row r="77" spans="1:10" ht="14.25" customHeight="1" x14ac:dyDescent="0.25">
      <c r="A77" s="156" t="s">
        <v>345</v>
      </c>
      <c r="B77" t="s">
        <v>480</v>
      </c>
      <c r="C77" s="156" t="s">
        <v>230</v>
      </c>
      <c r="D77" s="217">
        <v>6429</v>
      </c>
      <c r="E77" s="217"/>
    </row>
    <row r="78" spans="1:10" ht="14.25" customHeight="1" x14ac:dyDescent="0.25">
      <c r="A78" s="156" t="s">
        <v>347</v>
      </c>
      <c r="B78" t="s">
        <v>480</v>
      </c>
      <c r="C78" s="156" t="s">
        <v>230</v>
      </c>
      <c r="D78" s="217">
        <v>1936.1</v>
      </c>
      <c r="E78" s="217"/>
    </row>
    <row r="79" spans="1:10" ht="14.25" customHeight="1" x14ac:dyDescent="0.25">
      <c r="A79" s="156" t="s">
        <v>346</v>
      </c>
      <c r="B79" t="s">
        <v>480</v>
      </c>
      <c r="C79" s="156" t="s">
        <v>230</v>
      </c>
      <c r="D79" s="217">
        <v>1400</v>
      </c>
      <c r="E79" s="217"/>
    </row>
    <row r="80" spans="1:10" ht="14.25" customHeight="1" x14ac:dyDescent="0.25">
      <c r="A80" s="156" t="s">
        <v>348</v>
      </c>
      <c r="B80" t="s">
        <v>480</v>
      </c>
      <c r="C80" s="156" t="s">
        <v>230</v>
      </c>
      <c r="D80" s="217">
        <v>2113</v>
      </c>
      <c r="E80" s="196">
        <f>SUM(D59:D80)</f>
        <v>87683.05</v>
      </c>
    </row>
    <row r="81" spans="1:6" ht="14.25" customHeight="1" x14ac:dyDescent="0.25">
      <c r="A81" s="220" t="s">
        <v>481</v>
      </c>
      <c r="B81" t="s">
        <v>302</v>
      </c>
      <c r="C81" s="156" t="s">
        <v>230</v>
      </c>
      <c r="D81" s="217">
        <v>11700</v>
      </c>
    </row>
    <row r="82" spans="1:6" ht="14.25" customHeight="1" x14ac:dyDescent="0.25">
      <c r="A82" s="156" t="s">
        <v>303</v>
      </c>
      <c r="B82" t="s">
        <v>304</v>
      </c>
      <c r="C82" s="156" t="s">
        <v>230</v>
      </c>
      <c r="D82" s="217">
        <v>13917.5</v>
      </c>
    </row>
    <row r="83" spans="1:6" ht="14.25" customHeight="1" x14ac:dyDescent="0.25">
      <c r="A83" s="156" t="s">
        <v>309</v>
      </c>
      <c r="B83" t="s">
        <v>310</v>
      </c>
      <c r="C83" s="156" t="s">
        <v>230</v>
      </c>
      <c r="D83" s="217">
        <v>5658</v>
      </c>
    </row>
    <row r="84" spans="1:6" ht="14.25" customHeight="1" x14ac:dyDescent="0.25">
      <c r="A84" s="156" t="s">
        <v>311</v>
      </c>
      <c r="B84" s="156" t="s">
        <v>245</v>
      </c>
      <c r="C84" s="156" t="s">
        <v>230</v>
      </c>
      <c r="D84" s="217">
        <v>118958.55</v>
      </c>
    </row>
    <row r="85" spans="1:6" ht="14.25" customHeight="1" x14ac:dyDescent="0.25"/>
    <row r="86" spans="1:6" ht="14.25" customHeight="1" x14ac:dyDescent="0.25">
      <c r="A86" s="156" t="s">
        <v>312</v>
      </c>
    </row>
    <row r="87" spans="1:6" ht="14.25" customHeight="1" x14ac:dyDescent="0.25">
      <c r="A87" s="156" t="s">
        <v>313</v>
      </c>
      <c r="B87" s="156" t="s">
        <v>302</v>
      </c>
      <c r="C87" s="156" t="s">
        <v>230</v>
      </c>
      <c r="D87" s="196">
        <v>10090</v>
      </c>
    </row>
    <row r="88" spans="1:6" ht="14.25" customHeight="1" x14ac:dyDescent="0.25">
      <c r="A88" s="156" t="s">
        <v>314</v>
      </c>
      <c r="B88" s="156" t="s">
        <v>245</v>
      </c>
      <c r="C88" s="156" t="s">
        <v>230</v>
      </c>
      <c r="D88" s="196">
        <v>10090</v>
      </c>
    </row>
    <row r="89" spans="1:6" ht="14.25" customHeight="1" x14ac:dyDescent="0.25"/>
    <row r="90" spans="1:6" ht="14.25" customHeight="1" x14ac:dyDescent="0.25">
      <c r="A90" s="156" t="s">
        <v>315</v>
      </c>
      <c r="B90" s="156" t="s">
        <v>245</v>
      </c>
      <c r="C90" s="156" t="s">
        <v>230</v>
      </c>
      <c r="D90" s="217">
        <v>147473.82999999999</v>
      </c>
      <c r="E90" s="157">
        <f>G10-D90</f>
        <v>-49786.239999999991</v>
      </c>
    </row>
    <row r="91" spans="1:6" ht="14.25" customHeight="1" x14ac:dyDescent="0.25"/>
    <row r="92" spans="1:6" ht="14.25" customHeight="1" x14ac:dyDescent="0.25">
      <c r="A92" s="156" t="s">
        <v>316</v>
      </c>
      <c r="B92" s="156" t="s">
        <v>245</v>
      </c>
      <c r="C92" s="156" t="s">
        <v>230</v>
      </c>
      <c r="D92" s="217">
        <v>-58083.77</v>
      </c>
      <c r="E92" s="214">
        <f>H10-H67</f>
        <v>-24783.770000000019</v>
      </c>
      <c r="F92" s="158" t="s">
        <v>349</v>
      </c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7F1D-1BAA-452F-AC9C-1D203A586B79}">
  <dimension ref="A1:N1003"/>
  <sheetViews>
    <sheetView topLeftCell="A15" zoomScale="85" zoomScaleNormal="85" workbookViewId="0">
      <selection activeCell="H60" sqref="H60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1" width="14.28515625" bestFit="1" customWidth="1"/>
    <col min="12" max="14" width="8.7109375" customWidth="1"/>
  </cols>
  <sheetData>
    <row r="1" spans="1:10" x14ac:dyDescent="0.25">
      <c r="A1" t="s">
        <v>490</v>
      </c>
    </row>
    <row r="2" spans="1:10" x14ac:dyDescent="0.25">
      <c r="A2" t="s">
        <v>221</v>
      </c>
    </row>
    <row r="3" spans="1:10" x14ac:dyDescent="0.25">
      <c r="A3" t="s">
        <v>222</v>
      </c>
      <c r="B3" t="s">
        <v>223</v>
      </c>
      <c r="C3" t="s">
        <v>224</v>
      </c>
      <c r="D3" t="s">
        <v>225</v>
      </c>
      <c r="G3" s="155" t="s">
        <v>487</v>
      </c>
      <c r="H3" s="155" t="s">
        <v>488</v>
      </c>
      <c r="I3" s="155" t="s">
        <v>486</v>
      </c>
    </row>
    <row r="4" spans="1:10" x14ac:dyDescent="0.25">
      <c r="F4" s="156" t="s">
        <v>126</v>
      </c>
      <c r="G4" s="157">
        <f>D6+D7+D8+D9</f>
        <v>41002.15</v>
      </c>
      <c r="H4" s="157">
        <f>D13+D14+D11+D12</f>
        <v>5231.7400000000007</v>
      </c>
      <c r="I4" s="157">
        <f>G4+H4</f>
        <v>46233.89</v>
      </c>
    </row>
    <row r="5" spans="1:10" x14ac:dyDescent="0.25">
      <c r="A5" s="156" t="s">
        <v>226</v>
      </c>
      <c r="F5" s="158" t="s">
        <v>227</v>
      </c>
      <c r="G5" s="157">
        <v>45500</v>
      </c>
      <c r="H5" s="157">
        <f>D10+1400</f>
        <v>6436</v>
      </c>
      <c r="I5" s="157">
        <f>G5+H5</f>
        <v>51936</v>
      </c>
    </row>
    <row r="6" spans="1:10" x14ac:dyDescent="0.25">
      <c r="A6" t="s">
        <v>228</v>
      </c>
      <c r="B6" t="s">
        <v>491</v>
      </c>
      <c r="C6" t="s">
        <v>230</v>
      </c>
      <c r="D6" s="217">
        <v>15396.28</v>
      </c>
      <c r="F6" s="156" t="s">
        <v>231</v>
      </c>
      <c r="G6" s="157">
        <f>VLOOKUP(F6,A5:D35,4,FALSE)</f>
        <v>3646.71</v>
      </c>
      <c r="I6" s="157">
        <f>G6</f>
        <v>3646.71</v>
      </c>
      <c r="J6" s="157">
        <f>G5+G6+H7</f>
        <v>64986.39</v>
      </c>
    </row>
    <row r="7" spans="1:10" ht="13.5" customHeight="1" x14ac:dyDescent="0.25">
      <c r="A7" t="s">
        <v>232</v>
      </c>
      <c r="B7" t="s">
        <v>491</v>
      </c>
      <c r="C7" t="s">
        <v>230</v>
      </c>
      <c r="D7" s="217">
        <v>23447.47</v>
      </c>
      <c r="E7" s="194"/>
      <c r="F7" s="156" t="s">
        <v>485</v>
      </c>
      <c r="G7" s="157"/>
      <c r="H7" s="157">
        <f>D15</f>
        <v>15839.68</v>
      </c>
      <c r="I7" s="157">
        <f>SUM(I4:I6)</f>
        <v>101816.6</v>
      </c>
      <c r="J7" s="157">
        <f>G9*0.047</f>
        <v>-927.31986999999992</v>
      </c>
    </row>
    <row r="8" spans="1:10" ht="14.25" customHeight="1" x14ac:dyDescent="0.25">
      <c r="A8" t="s">
        <v>234</v>
      </c>
      <c r="B8" t="s">
        <v>492</v>
      </c>
      <c r="C8" t="s">
        <v>230</v>
      </c>
      <c r="D8" s="217">
        <v>2113.35</v>
      </c>
      <c r="F8" s="156" t="s">
        <v>489</v>
      </c>
      <c r="G8" s="157">
        <f>SUM(G4:G7)</f>
        <v>90148.86</v>
      </c>
      <c r="H8" s="157">
        <f>SUM(H4:H7)</f>
        <v>27507.420000000002</v>
      </c>
    </row>
    <row r="9" spans="1:10" ht="14.25" customHeight="1" x14ac:dyDescent="0.25">
      <c r="A9" t="s">
        <v>474</v>
      </c>
      <c r="B9" t="s">
        <v>491</v>
      </c>
      <c r="C9" t="s">
        <v>230</v>
      </c>
      <c r="D9">
        <v>45.05</v>
      </c>
      <c r="E9" s="194"/>
      <c r="F9" s="159" t="s">
        <v>235</v>
      </c>
      <c r="G9" s="160">
        <f>-VLOOKUP(F9,A39:D58,4,)</f>
        <v>-19730.21</v>
      </c>
      <c r="H9" s="159"/>
      <c r="I9" s="160">
        <f>G8+G9+H7</f>
        <v>86258.329999999987</v>
      </c>
      <c r="J9" s="159" t="s">
        <v>131</v>
      </c>
    </row>
    <row r="10" spans="1:10" ht="14.25" customHeight="1" x14ac:dyDescent="0.25">
      <c r="A10" t="s">
        <v>237</v>
      </c>
      <c r="B10" t="s">
        <v>238</v>
      </c>
      <c r="C10" t="s">
        <v>230</v>
      </c>
      <c r="D10" s="217">
        <v>5036</v>
      </c>
      <c r="E10" s="194"/>
      <c r="F10" s="158"/>
      <c r="G10" s="157"/>
      <c r="H10" s="157"/>
      <c r="I10" s="157"/>
    </row>
    <row r="11" spans="1:10" ht="18.75" x14ac:dyDescent="0.3">
      <c r="A11" t="s">
        <v>471</v>
      </c>
      <c r="B11" t="s">
        <v>491</v>
      </c>
      <c r="C11" t="s">
        <v>230</v>
      </c>
      <c r="D11">
        <v>1.21</v>
      </c>
      <c r="E11" s="194"/>
      <c r="F11" s="218" t="s">
        <v>319</v>
      </c>
      <c r="G11" s="219">
        <f>I7</f>
        <v>101816.6</v>
      </c>
      <c r="H11" s="219">
        <f>G11+H7</f>
        <v>117656.28</v>
      </c>
    </row>
    <row r="12" spans="1:10" x14ac:dyDescent="0.25">
      <c r="A12" t="s">
        <v>473</v>
      </c>
      <c r="B12" t="s">
        <v>491</v>
      </c>
      <c r="C12" t="s">
        <v>230</v>
      </c>
      <c r="D12">
        <v>2.02</v>
      </c>
      <c r="E12" s="194"/>
      <c r="F12" s="156" t="s">
        <v>128</v>
      </c>
      <c r="G12" s="156" t="s">
        <v>321</v>
      </c>
      <c r="H12" s="156" t="s">
        <v>147</v>
      </c>
      <c r="I12" s="156" t="s">
        <v>322</v>
      </c>
      <c r="J12" s="156" t="s">
        <v>501</v>
      </c>
    </row>
    <row r="13" spans="1:10" ht="14.25" customHeight="1" x14ac:dyDescent="0.25">
      <c r="A13" t="s">
        <v>239</v>
      </c>
      <c r="B13" t="s">
        <v>493</v>
      </c>
      <c r="C13" t="s">
        <v>230</v>
      </c>
      <c r="D13" s="217">
        <v>1484.78</v>
      </c>
      <c r="E13" s="194"/>
      <c r="F13" s="157">
        <f>G6</f>
        <v>3646.71</v>
      </c>
      <c r="G13" s="157">
        <f>I5</f>
        <v>51936</v>
      </c>
      <c r="H13" s="157">
        <f>I4</f>
        <v>46233.89</v>
      </c>
      <c r="I13" s="157">
        <f>H7</f>
        <v>15839.68</v>
      </c>
      <c r="J13" s="157">
        <f>SUM(F13:I13)</f>
        <v>117656.28</v>
      </c>
    </row>
    <row r="14" spans="1:10" ht="14.25" customHeight="1" x14ac:dyDescent="0.25">
      <c r="A14" t="s">
        <v>241</v>
      </c>
      <c r="B14" t="s">
        <v>493</v>
      </c>
      <c r="C14" t="s">
        <v>230</v>
      </c>
      <c r="D14" s="217">
        <v>3743.73</v>
      </c>
      <c r="E14" s="194"/>
    </row>
    <row r="15" spans="1:10" ht="14.25" customHeight="1" x14ac:dyDescent="0.25">
      <c r="A15" t="s">
        <v>242</v>
      </c>
      <c r="B15" t="s">
        <v>243</v>
      </c>
      <c r="C15" t="s">
        <v>230</v>
      </c>
      <c r="D15" s="217">
        <v>15839.68</v>
      </c>
      <c r="E15" s="194"/>
    </row>
    <row r="16" spans="1:10" ht="14.25" customHeight="1" x14ac:dyDescent="0.25">
      <c r="A16" t="s">
        <v>494</v>
      </c>
      <c r="B16" t="s">
        <v>495</v>
      </c>
      <c r="C16" t="s">
        <v>230</v>
      </c>
      <c r="D16" s="217">
        <v>29400</v>
      </c>
      <c r="E16" s="194"/>
    </row>
    <row r="17" spans="1:5" ht="14.25" customHeight="1" x14ac:dyDescent="0.25">
      <c r="A17" t="s">
        <v>244</v>
      </c>
      <c r="B17" t="s">
        <v>245</v>
      </c>
      <c r="C17" t="s">
        <v>230</v>
      </c>
      <c r="D17" s="217">
        <v>95053.57</v>
      </c>
      <c r="E17" s="194"/>
    </row>
    <row r="18" spans="1:5" ht="14.25" customHeight="1" x14ac:dyDescent="0.25">
      <c r="E18" s="194"/>
    </row>
    <row r="19" spans="1:5" ht="14.25" customHeight="1" x14ac:dyDescent="0.25">
      <c r="A19" s="156" t="s">
        <v>246</v>
      </c>
      <c r="E19" s="194"/>
    </row>
    <row r="20" spans="1:5" ht="14.25" customHeight="1" x14ac:dyDescent="0.25">
      <c r="A20" s="156" t="s">
        <v>247</v>
      </c>
      <c r="B20" t="s">
        <v>491</v>
      </c>
      <c r="C20" t="s">
        <v>230</v>
      </c>
      <c r="D20">
        <v>499.61</v>
      </c>
      <c r="E20" s="194"/>
    </row>
    <row r="21" spans="1:5" ht="14.25" customHeight="1" x14ac:dyDescent="0.25">
      <c r="A21" s="156" t="s">
        <v>249</v>
      </c>
      <c r="B21" t="s">
        <v>491</v>
      </c>
      <c r="C21" t="s">
        <v>230</v>
      </c>
      <c r="D21">
        <v>51.02</v>
      </c>
      <c r="E21" s="194"/>
    </row>
    <row r="22" spans="1:5" ht="14.25" customHeight="1" x14ac:dyDescent="0.25">
      <c r="A22" s="156" t="s">
        <v>250</v>
      </c>
      <c r="B22" t="s">
        <v>491</v>
      </c>
      <c r="C22" t="s">
        <v>230</v>
      </c>
      <c r="D22">
        <v>50.67</v>
      </c>
      <c r="E22" s="196"/>
    </row>
    <row r="23" spans="1:5" ht="14.25" customHeight="1" x14ac:dyDescent="0.25">
      <c r="A23" s="156" t="s">
        <v>251</v>
      </c>
      <c r="B23" t="s">
        <v>491</v>
      </c>
      <c r="C23" t="s">
        <v>230</v>
      </c>
      <c r="D23">
        <v>520</v>
      </c>
      <c r="E23" s="194"/>
    </row>
    <row r="24" spans="1:5" ht="14.25" customHeight="1" x14ac:dyDescent="0.25">
      <c r="A24" s="156" t="s">
        <v>252</v>
      </c>
      <c r="B24" t="s">
        <v>253</v>
      </c>
      <c r="C24" t="s">
        <v>230</v>
      </c>
      <c r="D24">
        <v>0</v>
      </c>
      <c r="E24" s="196"/>
    </row>
    <row r="25" spans="1:5" ht="14.25" customHeight="1" x14ac:dyDescent="0.25">
      <c r="A25" s="156" t="s">
        <v>323</v>
      </c>
      <c r="B25" t="s">
        <v>491</v>
      </c>
      <c r="C25" t="s">
        <v>230</v>
      </c>
      <c r="D25">
        <v>264.83999999999997</v>
      </c>
      <c r="E25" s="196"/>
    </row>
    <row r="26" spans="1:5" ht="14.25" customHeight="1" x14ac:dyDescent="0.25">
      <c r="A26" s="156" t="s">
        <v>254</v>
      </c>
      <c r="B26" t="s">
        <v>491</v>
      </c>
      <c r="C26" t="s">
        <v>230</v>
      </c>
      <c r="D26" s="217">
        <v>2400.4499999999998</v>
      </c>
      <c r="E26" s="196"/>
    </row>
    <row r="27" spans="1:5" ht="14.25" customHeight="1" x14ac:dyDescent="0.25">
      <c r="A27" s="156" t="s">
        <v>324</v>
      </c>
      <c r="B27" t="s">
        <v>491</v>
      </c>
      <c r="C27" t="s">
        <v>230</v>
      </c>
      <c r="D27">
        <v>170.6</v>
      </c>
      <c r="E27" s="196"/>
    </row>
    <row r="28" spans="1:5" ht="14.25" customHeight="1" x14ac:dyDescent="0.25">
      <c r="A28" s="156" t="s">
        <v>255</v>
      </c>
      <c r="B28" t="s">
        <v>496</v>
      </c>
      <c r="C28" t="s">
        <v>230</v>
      </c>
      <c r="D28">
        <v>180.63</v>
      </c>
      <c r="E28" s="196"/>
    </row>
    <row r="29" spans="1:5" ht="14.25" customHeight="1" x14ac:dyDescent="0.25">
      <c r="A29" s="156" t="s">
        <v>257</v>
      </c>
      <c r="B29" t="s">
        <v>491</v>
      </c>
      <c r="C29" t="s">
        <v>230</v>
      </c>
      <c r="D29">
        <v>-5</v>
      </c>
      <c r="E29" s="194"/>
    </row>
    <row r="30" spans="1:5" ht="14.25" customHeight="1" x14ac:dyDescent="0.25">
      <c r="B30" s="156" t="s">
        <v>245</v>
      </c>
      <c r="C30" s="156" t="s">
        <v>230</v>
      </c>
      <c r="D30" s="217">
        <v>4132.82</v>
      </c>
      <c r="E30" s="196"/>
    </row>
    <row r="31" spans="1:5" ht="14.25" customHeight="1" x14ac:dyDescent="0.25">
      <c r="A31" s="156" t="s">
        <v>231</v>
      </c>
      <c r="D31" s="196">
        <f>D20+D26+D28+D29+D21+D23+D24</f>
        <v>3646.71</v>
      </c>
      <c r="E31" s="196"/>
    </row>
    <row r="32" spans="1:5" ht="14.25" customHeight="1" x14ac:dyDescent="0.25">
      <c r="E32" s="196"/>
    </row>
    <row r="33" spans="1:12" ht="14.25" customHeight="1" x14ac:dyDescent="0.25">
      <c r="A33" s="156" t="s">
        <v>258</v>
      </c>
      <c r="E33" s="194"/>
      <c r="F33" s="196"/>
      <c r="G33" s="194"/>
    </row>
    <row r="34" spans="1:12" ht="14.25" customHeight="1" x14ac:dyDescent="0.25">
      <c r="A34" s="156" t="s">
        <v>259</v>
      </c>
      <c r="B34" s="156" t="s">
        <v>260</v>
      </c>
      <c r="C34" s="156" t="s">
        <v>230</v>
      </c>
      <c r="D34" s="196">
        <v>7500</v>
      </c>
      <c r="E34" s="194"/>
      <c r="F34" s="196"/>
      <c r="G34" s="194"/>
    </row>
    <row r="35" spans="1:12" ht="14.25" customHeight="1" x14ac:dyDescent="0.25">
      <c r="A35" s="156" t="s">
        <v>261</v>
      </c>
      <c r="B35" s="156" t="s">
        <v>245</v>
      </c>
      <c r="C35" s="156" t="s">
        <v>230</v>
      </c>
      <c r="D35" s="196">
        <v>7500</v>
      </c>
      <c r="E35" s="194"/>
      <c r="F35" s="196"/>
      <c r="G35" s="194"/>
    </row>
    <row r="36" spans="1:12" ht="14.25" customHeight="1" x14ac:dyDescent="0.25">
      <c r="E36" s="194"/>
      <c r="F36" s="196"/>
      <c r="G36" s="194" t="s">
        <v>262</v>
      </c>
      <c r="I36" s="206" t="str">
        <f>A7</f>
        <v>Merrill Lynch Merrill Edge-CMA-Edgex2085-CMA-x-2085</v>
      </c>
      <c r="K36" s="206" t="str">
        <f>A6</f>
        <v>Robinhood-Robinhood Brokerage-brokerageCash-x-8271</v>
      </c>
      <c r="L36" s="206" t="str">
        <f>A8</f>
        <v>Chase-Self-Directed-individual-x-3098</v>
      </c>
    </row>
    <row r="37" spans="1:12" ht="14.25" customHeight="1" x14ac:dyDescent="0.25">
      <c r="A37" s="156" t="s">
        <v>263</v>
      </c>
      <c r="B37" s="156" t="s">
        <v>245</v>
      </c>
      <c r="C37" s="156" t="s">
        <v>230</v>
      </c>
      <c r="D37" s="217">
        <v>106686.39</v>
      </c>
      <c r="E37" s="194"/>
      <c r="F37" s="196"/>
      <c r="G37" s="194" t="s">
        <v>264</v>
      </c>
      <c r="H37" s="156">
        <v>190</v>
      </c>
      <c r="I37" s="156">
        <v>347.38</v>
      </c>
      <c r="K37" s="156">
        <f>6.2*173</f>
        <v>1072.6000000000001</v>
      </c>
    </row>
    <row r="38" spans="1:12" ht="14.25" customHeight="1" x14ac:dyDescent="0.25">
      <c r="E38" s="194"/>
      <c r="F38" s="196"/>
      <c r="G38" s="194" t="s">
        <v>265</v>
      </c>
      <c r="H38" s="156">
        <v>150</v>
      </c>
      <c r="I38" s="156">
        <v>110</v>
      </c>
      <c r="J38" s="156">
        <f>H38/36.97</f>
        <v>4.0573437922639979</v>
      </c>
      <c r="K38" s="156">
        <v>152</v>
      </c>
    </row>
    <row r="39" spans="1:12" ht="14.25" customHeight="1" x14ac:dyDescent="0.25">
      <c r="A39" s="156" t="s">
        <v>266</v>
      </c>
      <c r="B39" s="156" t="s">
        <v>223</v>
      </c>
      <c r="C39" s="156" t="s">
        <v>224</v>
      </c>
      <c r="D39" s="156" t="s">
        <v>225</v>
      </c>
      <c r="E39" s="194"/>
      <c r="F39" s="196"/>
      <c r="G39" s="194" t="s">
        <v>267</v>
      </c>
      <c r="H39" s="156">
        <v>20</v>
      </c>
      <c r="K39" s="156">
        <v>450</v>
      </c>
    </row>
    <row r="40" spans="1:12" ht="14.25" customHeight="1" x14ac:dyDescent="0.25">
      <c r="E40" s="194"/>
      <c r="F40" s="196"/>
      <c r="G40" s="194" t="s">
        <v>268</v>
      </c>
      <c r="H40" s="156">
        <v>80</v>
      </c>
      <c r="I40" s="156">
        <v>154.69</v>
      </c>
      <c r="K40" s="156">
        <v>1000</v>
      </c>
    </row>
    <row r="41" spans="1:12" ht="14.25" customHeight="1" x14ac:dyDescent="0.25">
      <c r="A41" s="156" t="s">
        <v>269</v>
      </c>
      <c r="E41" s="194"/>
      <c r="F41" s="196"/>
      <c r="G41" s="194" t="s">
        <v>270</v>
      </c>
      <c r="H41" s="156">
        <v>250</v>
      </c>
      <c r="I41" s="156">
        <v>212.3</v>
      </c>
    </row>
    <row r="42" spans="1:12" ht="14.25" customHeight="1" x14ac:dyDescent="0.25">
      <c r="A42" t="s">
        <v>477</v>
      </c>
      <c r="B42" t="s">
        <v>491</v>
      </c>
      <c r="C42" t="s">
        <v>230</v>
      </c>
      <c r="D42">
        <v>-8.66</v>
      </c>
      <c r="E42" s="194"/>
      <c r="F42" s="196"/>
      <c r="G42" s="194" t="s">
        <v>272</v>
      </c>
      <c r="H42" s="156">
        <v>450</v>
      </c>
      <c r="K42" s="156">
        <v>1000</v>
      </c>
    </row>
    <row r="43" spans="1:12" ht="14.25" customHeight="1" x14ac:dyDescent="0.25">
      <c r="A43" t="s">
        <v>478</v>
      </c>
      <c r="B43" t="s">
        <v>491</v>
      </c>
      <c r="C43" t="s">
        <v>230</v>
      </c>
      <c r="D43">
        <v>-18.41</v>
      </c>
      <c r="E43" s="194"/>
      <c r="F43" s="196"/>
      <c r="G43" s="194" t="s">
        <v>274</v>
      </c>
      <c r="H43" s="156">
        <v>322</v>
      </c>
      <c r="I43" s="156">
        <v>494</v>
      </c>
    </row>
    <row r="44" spans="1:12" ht="14.25" customHeight="1" x14ac:dyDescent="0.25">
      <c r="A44" t="s">
        <v>479</v>
      </c>
      <c r="B44" t="s">
        <v>491</v>
      </c>
      <c r="C44" t="s">
        <v>230</v>
      </c>
      <c r="D44" s="217">
        <v>11866.62</v>
      </c>
      <c r="E44" s="207"/>
      <c r="G44" s="194" t="s">
        <v>276</v>
      </c>
      <c r="H44" s="156">
        <v>167</v>
      </c>
      <c r="K44" s="156">
        <f>4*122</f>
        <v>488</v>
      </c>
    </row>
    <row r="45" spans="1:12" ht="14.25" customHeight="1" x14ac:dyDescent="0.25">
      <c r="A45" t="s">
        <v>277</v>
      </c>
      <c r="B45" t="s">
        <v>491</v>
      </c>
      <c r="C45" t="s">
        <v>230</v>
      </c>
      <c r="D45">
        <v>0</v>
      </c>
      <c r="G45" s="194" t="s">
        <v>278</v>
      </c>
      <c r="K45" s="156">
        <f>3.135147*397</f>
        <v>1244.6533589999999</v>
      </c>
    </row>
    <row r="46" spans="1:12" ht="14.25" customHeight="1" x14ac:dyDescent="0.25">
      <c r="A46" t="s">
        <v>279</v>
      </c>
      <c r="B46" t="s">
        <v>280</v>
      </c>
      <c r="C46" t="s">
        <v>230</v>
      </c>
      <c r="D46">
        <v>0</v>
      </c>
      <c r="G46" s="194" t="s">
        <v>281</v>
      </c>
      <c r="K46" s="156">
        <v>223</v>
      </c>
      <c r="L46" s="156">
        <f>2*454.5</f>
        <v>909</v>
      </c>
    </row>
    <row r="47" spans="1:12" ht="14.25" customHeight="1" x14ac:dyDescent="0.25">
      <c r="A47" t="s">
        <v>282</v>
      </c>
      <c r="B47" t="s">
        <v>283</v>
      </c>
      <c r="C47" t="s">
        <v>230</v>
      </c>
      <c r="D47">
        <v>0</v>
      </c>
      <c r="G47" s="194" t="s">
        <v>284</v>
      </c>
      <c r="K47" s="156">
        <v>313</v>
      </c>
    </row>
    <row r="48" spans="1:12" ht="14.25" customHeight="1" x14ac:dyDescent="0.25">
      <c r="A48" t="s">
        <v>285</v>
      </c>
      <c r="B48" t="s">
        <v>491</v>
      </c>
      <c r="C48" t="s">
        <v>230</v>
      </c>
      <c r="D48">
        <v>-27.28</v>
      </c>
      <c r="E48" s="194"/>
      <c r="G48" s="194" t="s">
        <v>286</v>
      </c>
      <c r="K48" s="156">
        <v>430</v>
      </c>
    </row>
    <row r="49" spans="1:14" ht="14.25" customHeight="1" x14ac:dyDescent="0.25">
      <c r="A49" t="s">
        <v>287</v>
      </c>
      <c r="B49" t="s">
        <v>288</v>
      </c>
      <c r="C49" t="s">
        <v>230</v>
      </c>
      <c r="D49">
        <v>0</v>
      </c>
      <c r="E49" s="194"/>
      <c r="G49" s="194" t="s">
        <v>289</v>
      </c>
      <c r="K49" s="156">
        <v>300</v>
      </c>
    </row>
    <row r="50" spans="1:14" ht="14.25" customHeight="1" x14ac:dyDescent="0.25">
      <c r="A50" t="s">
        <v>290</v>
      </c>
      <c r="B50" t="s">
        <v>280</v>
      </c>
      <c r="C50" t="s">
        <v>230</v>
      </c>
      <c r="D50">
        <v>0</v>
      </c>
      <c r="E50" s="194"/>
      <c r="H50" s="156">
        <f t="shared" ref="H50:I50" si="0">SUM(H35:H49)</f>
        <v>1629</v>
      </c>
      <c r="I50" s="156">
        <f t="shared" si="0"/>
        <v>1318.37</v>
      </c>
      <c r="K50" s="156">
        <f t="shared" ref="K50:L50" si="1">SUM(K35:K49)</f>
        <v>6673.2533590000003</v>
      </c>
      <c r="L50" s="156">
        <f t="shared" si="1"/>
        <v>909</v>
      </c>
      <c r="M50" s="156">
        <f t="shared" ref="M50:M51" si="2">SUM(I50:L50)</f>
        <v>8900.6233590000011</v>
      </c>
    </row>
    <row r="51" spans="1:14" ht="14.25" customHeight="1" x14ac:dyDescent="0.25">
      <c r="A51" t="s">
        <v>291</v>
      </c>
      <c r="B51" t="s">
        <v>491</v>
      </c>
      <c r="C51" t="s">
        <v>230</v>
      </c>
      <c r="D51">
        <v>806.64</v>
      </c>
      <c r="E51" s="194"/>
      <c r="H51" s="210" t="s">
        <v>326</v>
      </c>
      <c r="I51" s="156">
        <v>1400</v>
      </c>
      <c r="K51" s="156">
        <v>6777</v>
      </c>
      <c r="L51" s="156">
        <v>944</v>
      </c>
      <c r="M51" s="156">
        <f t="shared" si="2"/>
        <v>9121</v>
      </c>
    </row>
    <row r="52" spans="1:14" ht="14.25" customHeight="1" x14ac:dyDescent="0.25">
      <c r="A52" t="s">
        <v>292</v>
      </c>
      <c r="B52" t="s">
        <v>497</v>
      </c>
      <c r="C52" t="s">
        <v>230</v>
      </c>
      <c r="D52">
        <v>0</v>
      </c>
      <c r="E52" s="194"/>
      <c r="I52" s="156" t="s">
        <v>293</v>
      </c>
      <c r="J52" s="156">
        <v>2300</v>
      </c>
      <c r="M52" s="156">
        <f>SUM(J52+M50)</f>
        <v>11200.623359000001</v>
      </c>
      <c r="N52" s="156" t="s">
        <v>294</v>
      </c>
    </row>
    <row r="53" spans="1:14" ht="14.25" customHeight="1" x14ac:dyDescent="0.25">
      <c r="A53" t="s">
        <v>295</v>
      </c>
      <c r="B53" t="s">
        <v>497</v>
      </c>
      <c r="C53" t="s">
        <v>230</v>
      </c>
      <c r="D53">
        <v>0</v>
      </c>
      <c r="E53" s="194"/>
    </row>
    <row r="54" spans="1:14" ht="14.25" customHeight="1" x14ac:dyDescent="0.25">
      <c r="A54" t="s">
        <v>296</v>
      </c>
      <c r="B54" t="s">
        <v>491</v>
      </c>
      <c r="C54" t="s">
        <v>230</v>
      </c>
      <c r="D54">
        <v>0</v>
      </c>
    </row>
    <row r="55" spans="1:14" ht="14.25" customHeight="1" x14ac:dyDescent="0.25">
      <c r="A55" t="s">
        <v>298</v>
      </c>
      <c r="B55" t="s">
        <v>491</v>
      </c>
      <c r="C55" t="s">
        <v>230</v>
      </c>
      <c r="D55">
        <v>0</v>
      </c>
    </row>
    <row r="56" spans="1:14" ht="14.25" customHeight="1" x14ac:dyDescent="0.25">
      <c r="A56" t="s">
        <v>299</v>
      </c>
      <c r="B56" t="s">
        <v>491</v>
      </c>
      <c r="C56" t="s">
        <v>230</v>
      </c>
      <c r="D56" s="217">
        <v>7917.94</v>
      </c>
    </row>
    <row r="57" spans="1:14" ht="14.25" customHeight="1" x14ac:dyDescent="0.25">
      <c r="B57" s="156" t="s">
        <v>245</v>
      </c>
      <c r="C57" s="156" t="s">
        <v>230</v>
      </c>
      <c r="D57" s="217">
        <v>20536.849999999999</v>
      </c>
    </row>
    <row r="58" spans="1:14" ht="14.25" customHeight="1" x14ac:dyDescent="0.25">
      <c r="A58" s="156" t="s">
        <v>235</v>
      </c>
      <c r="C58" s="156" t="s">
        <v>230</v>
      </c>
      <c r="D58" s="196">
        <f>D57-D51</f>
        <v>19730.21</v>
      </c>
    </row>
    <row r="59" spans="1:14" ht="14.25" customHeight="1" x14ac:dyDescent="0.25">
      <c r="A59" s="156" t="s">
        <v>300</v>
      </c>
    </row>
    <row r="60" spans="1:14" ht="14.25" customHeight="1" x14ac:dyDescent="0.25">
      <c r="A60" t="s">
        <v>328</v>
      </c>
      <c r="B60" t="s">
        <v>498</v>
      </c>
      <c r="C60" t="s">
        <v>230</v>
      </c>
      <c r="D60" s="217">
        <v>2000</v>
      </c>
      <c r="E60" s="217"/>
    </row>
    <row r="61" spans="1:14" ht="14.25" customHeight="1" x14ac:dyDescent="0.25">
      <c r="A61" t="s">
        <v>330</v>
      </c>
      <c r="B61" t="s">
        <v>498</v>
      </c>
      <c r="C61" t="s">
        <v>230</v>
      </c>
      <c r="D61" s="217">
        <v>1904.12</v>
      </c>
      <c r="E61" s="217"/>
    </row>
    <row r="62" spans="1:14" ht="14.25" customHeight="1" x14ac:dyDescent="0.25">
      <c r="A62" t="s">
        <v>331</v>
      </c>
      <c r="B62" t="s">
        <v>498</v>
      </c>
      <c r="C62" t="s">
        <v>230</v>
      </c>
      <c r="D62" s="217">
        <v>8589</v>
      </c>
      <c r="E62" s="217"/>
    </row>
    <row r="63" spans="1:14" ht="14.25" customHeight="1" x14ac:dyDescent="0.25">
      <c r="A63" t="s">
        <v>332</v>
      </c>
      <c r="B63" t="s">
        <v>498</v>
      </c>
      <c r="C63" t="s">
        <v>230</v>
      </c>
      <c r="D63" s="217">
        <v>11843</v>
      </c>
      <c r="E63" s="217"/>
    </row>
    <row r="64" spans="1:14" ht="14.25" customHeight="1" x14ac:dyDescent="0.25">
      <c r="A64" t="s">
        <v>333</v>
      </c>
      <c r="B64" t="s">
        <v>498</v>
      </c>
      <c r="C64" t="s">
        <v>230</v>
      </c>
      <c r="D64" s="217">
        <v>8657</v>
      </c>
      <c r="E64" s="217"/>
    </row>
    <row r="65" spans="1:11" ht="14.25" customHeight="1" x14ac:dyDescent="0.25">
      <c r="A65" t="s">
        <v>334</v>
      </c>
      <c r="B65" t="s">
        <v>498</v>
      </c>
      <c r="C65" t="s">
        <v>230</v>
      </c>
      <c r="D65">
        <v>531</v>
      </c>
    </row>
    <row r="66" spans="1:11" ht="14.25" customHeight="1" x14ac:dyDescent="0.25">
      <c r="A66" t="s">
        <v>330</v>
      </c>
      <c r="B66" t="s">
        <v>335</v>
      </c>
      <c r="C66" t="s">
        <v>230</v>
      </c>
      <c r="D66" s="217">
        <v>1932.87</v>
      </c>
      <c r="E66" s="217"/>
    </row>
    <row r="67" spans="1:11" ht="14.25" customHeight="1" x14ac:dyDescent="0.25">
      <c r="A67" t="s">
        <v>336</v>
      </c>
      <c r="B67" t="s">
        <v>498</v>
      </c>
      <c r="C67" t="s">
        <v>230</v>
      </c>
      <c r="D67" s="217">
        <v>4500</v>
      </c>
      <c r="E67" s="217"/>
    </row>
    <row r="68" spans="1:11" ht="14.25" customHeight="1" x14ac:dyDescent="0.3">
      <c r="A68" t="s">
        <v>337</v>
      </c>
      <c r="B68" t="s">
        <v>498</v>
      </c>
      <c r="C68" t="s">
        <v>230</v>
      </c>
      <c r="D68">
        <v>907.59</v>
      </c>
      <c r="G68" s="211" t="s">
        <v>338</v>
      </c>
      <c r="H68" s="212">
        <f>SUM(F71:J71)</f>
        <v>138605.26</v>
      </c>
    </row>
    <row r="69" spans="1:11" ht="14.25" customHeight="1" x14ac:dyDescent="0.25">
      <c r="A69" t="s">
        <v>339</v>
      </c>
      <c r="B69" t="s">
        <v>498</v>
      </c>
      <c r="C69" t="s">
        <v>230</v>
      </c>
      <c r="D69">
        <v>610.25</v>
      </c>
    </row>
    <row r="70" spans="1:11" ht="14.25" customHeight="1" x14ac:dyDescent="0.3">
      <c r="A70" t="s">
        <v>340</v>
      </c>
      <c r="B70" t="s">
        <v>498</v>
      </c>
      <c r="C70" t="s">
        <v>230</v>
      </c>
      <c r="D70" s="217">
        <v>4500</v>
      </c>
      <c r="E70" s="217"/>
      <c r="F70" s="156" t="s">
        <v>341</v>
      </c>
      <c r="G70" s="156" t="str">
        <f>A82</f>
        <v>Loan BPS Collen Fund-Personal/Nopay till further noitice</v>
      </c>
      <c r="H70" s="156" t="str">
        <f>A83</f>
        <v>NYS Loan Masters Edu-Personal</v>
      </c>
      <c r="I70" s="156" t="str">
        <f>A84</f>
        <v>TEACh Grant-Personal</v>
      </c>
      <c r="J70" s="156" t="str">
        <f>A58</f>
        <v xml:space="preserve">			Cards TOTAL</v>
      </c>
      <c r="K70" s="211" t="s">
        <v>338</v>
      </c>
    </row>
    <row r="71" spans="1:11" ht="14.25" customHeight="1" x14ac:dyDescent="0.3">
      <c r="A71" t="s">
        <v>342</v>
      </c>
      <c r="B71" t="s">
        <v>498</v>
      </c>
      <c r="C71" t="s">
        <v>230</v>
      </c>
      <c r="D71" s="217">
        <v>5896.67</v>
      </c>
      <c r="E71" s="217"/>
      <c r="F71" s="196">
        <f>E81</f>
        <v>87599.55</v>
      </c>
      <c r="G71" s="196">
        <f>D82</f>
        <v>11700</v>
      </c>
      <c r="H71" s="196">
        <f>D83</f>
        <v>13917.5</v>
      </c>
      <c r="I71" s="196">
        <f>D84</f>
        <v>5658</v>
      </c>
      <c r="J71" s="196">
        <f>D58</f>
        <v>19730.21</v>
      </c>
      <c r="K71" s="212">
        <f>H68</f>
        <v>138605.26</v>
      </c>
    </row>
    <row r="72" spans="1:11" ht="14.25" customHeight="1" x14ac:dyDescent="0.25">
      <c r="A72" t="s">
        <v>343</v>
      </c>
      <c r="B72" t="s">
        <v>498</v>
      </c>
      <c r="C72" t="s">
        <v>230</v>
      </c>
      <c r="D72" s="217">
        <v>5500</v>
      </c>
      <c r="E72" s="217"/>
    </row>
    <row r="73" spans="1:11" ht="14.25" customHeight="1" x14ac:dyDescent="0.25">
      <c r="A73" t="s">
        <v>344</v>
      </c>
      <c r="B73" t="s">
        <v>498</v>
      </c>
      <c r="C73" t="s">
        <v>230</v>
      </c>
      <c r="D73" s="217">
        <v>6613.65</v>
      </c>
      <c r="E73" s="217"/>
    </row>
    <row r="74" spans="1:11" ht="14.25" customHeight="1" x14ac:dyDescent="0.25">
      <c r="A74" t="s">
        <v>345</v>
      </c>
      <c r="B74" t="s">
        <v>335</v>
      </c>
      <c r="C74" t="s">
        <v>230</v>
      </c>
      <c r="D74" s="217">
        <v>6429</v>
      </c>
      <c r="E74" s="217"/>
    </row>
    <row r="75" spans="1:11" ht="14.25" customHeight="1" x14ac:dyDescent="0.25">
      <c r="A75" t="s">
        <v>328</v>
      </c>
      <c r="B75" t="s">
        <v>335</v>
      </c>
      <c r="C75" t="s">
        <v>230</v>
      </c>
      <c r="D75" s="217">
        <v>2000</v>
      </c>
      <c r="E75" s="217"/>
    </row>
    <row r="76" spans="1:11" ht="14.25" customHeight="1" x14ac:dyDescent="0.25">
      <c r="A76" t="s">
        <v>346</v>
      </c>
      <c r="B76" t="s">
        <v>335</v>
      </c>
      <c r="C76" t="s">
        <v>230</v>
      </c>
      <c r="D76" s="217">
        <v>1400</v>
      </c>
      <c r="E76" s="217"/>
    </row>
    <row r="77" spans="1:11" ht="14.25" customHeight="1" x14ac:dyDescent="0.25">
      <c r="A77" t="s">
        <v>347</v>
      </c>
      <c r="B77" t="s">
        <v>335</v>
      </c>
      <c r="C77" t="s">
        <v>230</v>
      </c>
      <c r="D77" s="217">
        <v>1936.1</v>
      </c>
      <c r="E77" s="217"/>
    </row>
    <row r="78" spans="1:11" ht="14.25" customHeight="1" x14ac:dyDescent="0.25">
      <c r="A78" t="s">
        <v>345</v>
      </c>
      <c r="B78" t="s">
        <v>498</v>
      </c>
      <c r="C78" t="s">
        <v>230</v>
      </c>
      <c r="D78" s="217">
        <v>6429</v>
      </c>
      <c r="E78" s="217"/>
    </row>
    <row r="79" spans="1:11" ht="14.25" customHeight="1" x14ac:dyDescent="0.25">
      <c r="A79" t="s">
        <v>347</v>
      </c>
      <c r="B79" t="s">
        <v>498</v>
      </c>
      <c r="C79" t="s">
        <v>230</v>
      </c>
      <c r="D79" s="217">
        <v>1907.3</v>
      </c>
      <c r="E79" s="217"/>
    </row>
    <row r="80" spans="1:11" ht="14.25" customHeight="1" x14ac:dyDescent="0.25">
      <c r="A80" t="s">
        <v>346</v>
      </c>
      <c r="B80" t="s">
        <v>498</v>
      </c>
      <c r="C80" t="s">
        <v>230</v>
      </c>
      <c r="D80" s="217">
        <v>1400</v>
      </c>
      <c r="E80" s="217"/>
    </row>
    <row r="81" spans="1:6" ht="14.25" customHeight="1" x14ac:dyDescent="0.25">
      <c r="A81" t="s">
        <v>348</v>
      </c>
      <c r="B81" t="s">
        <v>498</v>
      </c>
      <c r="C81" t="s">
        <v>230</v>
      </c>
      <c r="D81" s="217">
        <v>2113</v>
      </c>
      <c r="E81" s="196">
        <f>SUM(D60:D81)</f>
        <v>87599.55</v>
      </c>
    </row>
    <row r="82" spans="1:6" ht="14.25" customHeight="1" x14ac:dyDescent="0.25">
      <c r="A82" t="s">
        <v>500</v>
      </c>
      <c r="B82" t="s">
        <v>302</v>
      </c>
      <c r="C82" t="s">
        <v>230</v>
      </c>
      <c r="D82" s="217">
        <v>11700</v>
      </c>
      <c r="E82" t="s">
        <v>499</v>
      </c>
    </row>
    <row r="83" spans="1:6" ht="14.25" customHeight="1" x14ac:dyDescent="0.25">
      <c r="A83" t="s">
        <v>303</v>
      </c>
      <c r="B83" t="s">
        <v>304</v>
      </c>
      <c r="C83" t="s">
        <v>230</v>
      </c>
      <c r="D83" s="217">
        <v>13917.5</v>
      </c>
    </row>
    <row r="84" spans="1:6" ht="14.25" customHeight="1" x14ac:dyDescent="0.25">
      <c r="A84" t="s">
        <v>309</v>
      </c>
      <c r="B84" t="s">
        <v>310</v>
      </c>
      <c r="C84" t="s">
        <v>230</v>
      </c>
      <c r="D84" s="217">
        <v>5658</v>
      </c>
    </row>
    <row r="85" spans="1:6" ht="14.25" customHeight="1" x14ac:dyDescent="0.25">
      <c r="A85" t="s">
        <v>311</v>
      </c>
      <c r="B85" t="s">
        <v>245</v>
      </c>
      <c r="C85" t="s">
        <v>230</v>
      </c>
      <c r="D85" s="217">
        <v>118875.05</v>
      </c>
    </row>
    <row r="86" spans="1:6" ht="14.25" customHeight="1" x14ac:dyDescent="0.25"/>
    <row r="87" spans="1:6" ht="14.25" customHeight="1" x14ac:dyDescent="0.25">
      <c r="A87" s="156" t="s">
        <v>312</v>
      </c>
    </row>
    <row r="88" spans="1:6" ht="14.25" customHeight="1" x14ac:dyDescent="0.25">
      <c r="A88" s="156" t="s">
        <v>313</v>
      </c>
      <c r="B88" s="156" t="s">
        <v>302</v>
      </c>
      <c r="C88" s="156" t="s">
        <v>230</v>
      </c>
      <c r="D88" s="196">
        <v>10090</v>
      </c>
    </row>
    <row r="89" spans="1:6" ht="14.25" customHeight="1" x14ac:dyDescent="0.25">
      <c r="A89" s="156" t="s">
        <v>314</v>
      </c>
      <c r="B89" s="156" t="s">
        <v>245</v>
      </c>
      <c r="C89" s="156" t="s">
        <v>230</v>
      </c>
      <c r="D89" s="196">
        <v>10090</v>
      </c>
    </row>
    <row r="90" spans="1:6" ht="14.25" customHeight="1" x14ac:dyDescent="0.25"/>
    <row r="91" spans="1:6" ht="14.25" customHeight="1" x14ac:dyDescent="0.25">
      <c r="A91" s="156" t="s">
        <v>315</v>
      </c>
      <c r="B91" s="156" t="s">
        <v>245</v>
      </c>
      <c r="C91" s="156" t="s">
        <v>230</v>
      </c>
      <c r="D91" s="217">
        <v>149501.9</v>
      </c>
      <c r="E91" s="157">
        <f>G11-D91</f>
        <v>-47685.299999999988</v>
      </c>
    </row>
    <row r="92" spans="1:6" ht="14.25" customHeight="1" x14ac:dyDescent="0.25"/>
    <row r="93" spans="1:6" ht="14.25" customHeight="1" x14ac:dyDescent="0.25">
      <c r="A93" s="156" t="s">
        <v>316</v>
      </c>
      <c r="B93" s="156" t="s">
        <v>245</v>
      </c>
      <c r="C93" s="156" t="s">
        <v>230</v>
      </c>
      <c r="D93" s="217">
        <v>-42815.51</v>
      </c>
      <c r="E93" s="214">
        <f>H11-H68</f>
        <v>-20948.98000000001</v>
      </c>
      <c r="F93" s="158" t="s">
        <v>349</v>
      </c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4.25" customHeight="1" x14ac:dyDescent="0.25">
      <c r="B293" s="208"/>
    </row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8.5703125" customWidth="1"/>
    <col min="4" max="4" width="83.42578125" customWidth="1"/>
    <col min="5" max="7" width="8.7109375" customWidth="1"/>
  </cols>
  <sheetData>
    <row r="1" spans="1:7" ht="14.25" customHeight="1" x14ac:dyDescent="0.25">
      <c r="A1" s="156" t="s">
        <v>177</v>
      </c>
      <c r="C1" s="156" t="s">
        <v>178</v>
      </c>
    </row>
    <row r="2" spans="1:7" ht="14.25" customHeight="1" x14ac:dyDescent="0.25">
      <c r="A2" s="156" t="s">
        <v>350</v>
      </c>
      <c r="C2" s="196">
        <v>1405.34</v>
      </c>
    </row>
    <row r="3" spans="1:7" ht="14.25" customHeight="1" x14ac:dyDescent="0.25">
      <c r="A3" s="156" t="s">
        <v>180</v>
      </c>
      <c r="C3" s="196">
        <v>2551.56</v>
      </c>
    </row>
    <row r="4" spans="1:7" ht="14.25" customHeight="1" x14ac:dyDescent="0.25">
      <c r="A4" s="156" t="s">
        <v>181</v>
      </c>
      <c r="C4" s="196">
        <v>-3573.76</v>
      </c>
    </row>
    <row r="5" spans="1:7" ht="14.25" customHeight="1" x14ac:dyDescent="0.25">
      <c r="A5" s="156" t="s">
        <v>351</v>
      </c>
      <c r="C5" s="156">
        <v>383.14</v>
      </c>
    </row>
    <row r="6" spans="1:7" ht="13.5" customHeight="1" x14ac:dyDescent="0.25"/>
    <row r="7" spans="1:7" ht="13.5" customHeight="1" x14ac:dyDescent="0.25">
      <c r="A7" s="156" t="s">
        <v>90</v>
      </c>
      <c r="D7" s="156" t="s">
        <v>177</v>
      </c>
      <c r="E7" s="156" t="s">
        <v>183</v>
      </c>
      <c r="F7" s="156" t="s">
        <v>184</v>
      </c>
    </row>
    <row r="8" spans="1:7" ht="14.25" hidden="1" customHeight="1" x14ac:dyDescent="0.25">
      <c r="A8" s="197">
        <v>45107</v>
      </c>
      <c r="B8" s="208">
        <f t="shared" ref="B8:B40" si="0">IF(E8&lt;0,0,1)</f>
        <v>1</v>
      </c>
      <c r="C8" s="194" t="str">
        <f t="shared" ref="C8:C40" si="1">IF(E8&lt;0,"debit","credit")</f>
        <v>credit</v>
      </c>
      <c r="D8" s="156" t="s">
        <v>352</v>
      </c>
      <c r="F8" s="196">
        <v>1405.34</v>
      </c>
      <c r="G8" s="156">
        <f t="shared" ref="G8:G26" si="2">IFERROR(VLOOKUP($B$8,B8:E8,4,FALSE),0)</f>
        <v>0</v>
      </c>
    </row>
    <row r="9" spans="1:7" ht="14.25" hidden="1" customHeight="1" x14ac:dyDescent="0.25">
      <c r="A9" s="197">
        <v>45107</v>
      </c>
      <c r="B9" s="208">
        <f t="shared" si="0"/>
        <v>1</v>
      </c>
      <c r="C9" s="194" t="str">
        <f t="shared" si="1"/>
        <v>credit</v>
      </c>
      <c r="D9" s="156" t="s">
        <v>353</v>
      </c>
      <c r="E9" s="156">
        <v>150</v>
      </c>
      <c r="F9" s="196">
        <v>1555.34</v>
      </c>
      <c r="G9" s="156">
        <f t="shared" si="2"/>
        <v>150</v>
      </c>
    </row>
    <row r="10" spans="1:7" ht="14.25" hidden="1" customHeight="1" x14ac:dyDescent="0.25">
      <c r="A10" s="197">
        <v>45107</v>
      </c>
      <c r="B10" s="208">
        <f t="shared" si="0"/>
        <v>0</v>
      </c>
      <c r="C10" s="194" t="str">
        <f t="shared" si="1"/>
        <v>debit</v>
      </c>
      <c r="D10" s="156" t="s">
        <v>354</v>
      </c>
      <c r="E10" s="156">
        <v>-200</v>
      </c>
      <c r="F10" s="196">
        <v>1355.34</v>
      </c>
      <c r="G10" s="156">
        <f t="shared" si="2"/>
        <v>0</v>
      </c>
    </row>
    <row r="11" spans="1:7" ht="14.25" hidden="1" customHeight="1" x14ac:dyDescent="0.25">
      <c r="A11" s="197">
        <v>45107</v>
      </c>
      <c r="B11" s="208">
        <f t="shared" si="0"/>
        <v>0</v>
      </c>
      <c r="C11" s="194" t="str">
        <f t="shared" si="1"/>
        <v>debit</v>
      </c>
      <c r="D11" s="156" t="s">
        <v>355</v>
      </c>
      <c r="E11" s="156">
        <v>-444.79</v>
      </c>
      <c r="F11" s="196">
        <v>910.55</v>
      </c>
      <c r="G11" s="156">
        <f t="shared" si="2"/>
        <v>0</v>
      </c>
    </row>
    <row r="12" spans="1:7" ht="14.25" hidden="1" customHeight="1" x14ac:dyDescent="0.25">
      <c r="A12" s="197">
        <v>45107</v>
      </c>
      <c r="B12" s="208">
        <f t="shared" si="0"/>
        <v>0</v>
      </c>
      <c r="C12" s="194" t="str">
        <f t="shared" si="1"/>
        <v>debit</v>
      </c>
      <c r="D12" s="156" t="s">
        <v>356</v>
      </c>
      <c r="E12" s="156">
        <v>-35</v>
      </c>
      <c r="F12" s="196">
        <v>875.55</v>
      </c>
      <c r="G12" s="156">
        <f t="shared" si="2"/>
        <v>0</v>
      </c>
    </row>
    <row r="13" spans="1:7" ht="14.25" hidden="1" customHeight="1" x14ac:dyDescent="0.25">
      <c r="A13" s="197">
        <v>45110</v>
      </c>
      <c r="B13" s="208">
        <f t="shared" si="0"/>
        <v>1</v>
      </c>
      <c r="C13" s="194" t="str">
        <f t="shared" si="1"/>
        <v>credit</v>
      </c>
      <c r="D13" s="156" t="s">
        <v>357</v>
      </c>
      <c r="E13" s="156">
        <v>60</v>
      </c>
      <c r="F13" s="196">
        <v>935.55</v>
      </c>
      <c r="G13" s="156">
        <f t="shared" si="2"/>
        <v>60</v>
      </c>
    </row>
    <row r="14" spans="1:7" ht="14.25" hidden="1" customHeight="1" x14ac:dyDescent="0.25">
      <c r="A14" s="197">
        <v>45110</v>
      </c>
      <c r="B14" s="208">
        <f t="shared" si="0"/>
        <v>0</v>
      </c>
      <c r="C14" s="194" t="str">
        <f t="shared" si="1"/>
        <v>debit</v>
      </c>
      <c r="D14" s="158" t="s">
        <v>358</v>
      </c>
      <c r="E14" s="156">
        <v>-35</v>
      </c>
      <c r="F14" s="196">
        <v>900.55</v>
      </c>
      <c r="G14" s="156">
        <f t="shared" si="2"/>
        <v>0</v>
      </c>
    </row>
    <row r="15" spans="1:7" ht="14.25" hidden="1" customHeight="1" x14ac:dyDescent="0.25">
      <c r="A15" s="197">
        <v>45110</v>
      </c>
      <c r="B15" s="208">
        <f t="shared" si="0"/>
        <v>0</v>
      </c>
      <c r="C15" s="194" t="str">
        <f t="shared" si="1"/>
        <v>debit</v>
      </c>
      <c r="D15" s="156" t="s">
        <v>359</v>
      </c>
      <c r="E15" s="156">
        <v>-54.95</v>
      </c>
      <c r="F15" s="196">
        <v>845.6</v>
      </c>
      <c r="G15" s="156">
        <f t="shared" si="2"/>
        <v>0</v>
      </c>
    </row>
    <row r="16" spans="1:7" ht="14.25" hidden="1" customHeight="1" x14ac:dyDescent="0.25">
      <c r="A16" s="197">
        <v>45110</v>
      </c>
      <c r="B16" s="208">
        <f t="shared" si="0"/>
        <v>0</v>
      </c>
      <c r="C16" s="194" t="str">
        <f t="shared" si="1"/>
        <v>debit</v>
      </c>
      <c r="D16" s="156" t="s">
        <v>203</v>
      </c>
      <c r="E16" s="156">
        <v>-25</v>
      </c>
      <c r="F16" s="196">
        <v>820.6</v>
      </c>
      <c r="G16" s="156">
        <f t="shared" si="2"/>
        <v>0</v>
      </c>
    </row>
    <row r="17" spans="1:7" ht="14.25" hidden="1" customHeight="1" x14ac:dyDescent="0.25">
      <c r="A17" s="197">
        <v>45112</v>
      </c>
      <c r="B17" s="208">
        <f t="shared" si="0"/>
        <v>1</v>
      </c>
      <c r="C17" s="194" t="str">
        <f t="shared" si="1"/>
        <v>credit</v>
      </c>
      <c r="D17" s="156" t="s">
        <v>360</v>
      </c>
      <c r="E17" s="156">
        <v>150</v>
      </c>
      <c r="F17" s="196">
        <v>970.6</v>
      </c>
      <c r="G17" s="156">
        <f t="shared" si="2"/>
        <v>150</v>
      </c>
    </row>
    <row r="18" spans="1:7" ht="14.25" hidden="1" customHeight="1" x14ac:dyDescent="0.25">
      <c r="A18" s="197">
        <v>45112</v>
      </c>
      <c r="B18" s="208">
        <f t="shared" si="0"/>
        <v>1</v>
      </c>
      <c r="C18" s="194" t="str">
        <f t="shared" si="1"/>
        <v>credit</v>
      </c>
      <c r="D18" s="156" t="s">
        <v>361</v>
      </c>
      <c r="E18" s="196">
        <v>60</v>
      </c>
      <c r="F18" s="156">
        <v>1030.5999999999999</v>
      </c>
      <c r="G18" s="156">
        <f t="shared" si="2"/>
        <v>60</v>
      </c>
    </row>
    <row r="19" spans="1:7" ht="14.25" hidden="1" customHeight="1" x14ac:dyDescent="0.25">
      <c r="A19" s="197">
        <v>45112</v>
      </c>
      <c r="B19" s="208">
        <f t="shared" si="0"/>
        <v>0</v>
      </c>
      <c r="C19" s="194" t="str">
        <f t="shared" si="1"/>
        <v>debit</v>
      </c>
      <c r="D19" s="156" t="s">
        <v>202</v>
      </c>
      <c r="E19" s="156">
        <v>-800</v>
      </c>
      <c r="F19" s="156">
        <v>230.6</v>
      </c>
      <c r="G19" s="156">
        <f t="shared" si="2"/>
        <v>0</v>
      </c>
    </row>
    <row r="20" spans="1:7" ht="14.25" hidden="1" customHeight="1" x14ac:dyDescent="0.25">
      <c r="A20" s="197">
        <v>45112</v>
      </c>
      <c r="B20" s="208">
        <f t="shared" si="0"/>
        <v>0</v>
      </c>
      <c r="C20" s="194" t="str">
        <f t="shared" si="1"/>
        <v>debit</v>
      </c>
      <c r="D20" s="156" t="s">
        <v>202</v>
      </c>
      <c r="E20" s="156">
        <v>-68</v>
      </c>
      <c r="F20" s="156">
        <v>162.6</v>
      </c>
      <c r="G20" s="156">
        <f t="shared" si="2"/>
        <v>0</v>
      </c>
    </row>
    <row r="21" spans="1:7" ht="14.25" hidden="1" customHeight="1" x14ac:dyDescent="0.25">
      <c r="A21" s="197">
        <v>45112</v>
      </c>
      <c r="B21" s="208">
        <f t="shared" si="0"/>
        <v>0</v>
      </c>
      <c r="C21" s="194" t="str">
        <f t="shared" si="1"/>
        <v>debit</v>
      </c>
      <c r="D21" s="156" t="s">
        <v>202</v>
      </c>
      <c r="E21" s="156">
        <v>-7</v>
      </c>
      <c r="F21" s="156">
        <v>155.6</v>
      </c>
      <c r="G21" s="156">
        <f t="shared" si="2"/>
        <v>0</v>
      </c>
    </row>
    <row r="22" spans="1:7" ht="14.25" hidden="1" customHeight="1" x14ac:dyDescent="0.25">
      <c r="A22" s="197">
        <v>45113</v>
      </c>
      <c r="B22" s="208">
        <f t="shared" si="0"/>
        <v>0</v>
      </c>
      <c r="C22" s="194" t="str">
        <f t="shared" si="1"/>
        <v>debit</v>
      </c>
      <c r="D22" s="156" t="s">
        <v>362</v>
      </c>
      <c r="E22" s="156">
        <v>-30</v>
      </c>
      <c r="F22" s="156">
        <v>125.6</v>
      </c>
      <c r="G22" s="156">
        <f t="shared" si="2"/>
        <v>0</v>
      </c>
    </row>
    <row r="23" spans="1:7" ht="14.25" hidden="1" customHeight="1" x14ac:dyDescent="0.25">
      <c r="A23" s="197">
        <v>45113</v>
      </c>
      <c r="B23" s="208">
        <f t="shared" si="0"/>
        <v>0</v>
      </c>
      <c r="C23" s="194" t="str">
        <f t="shared" si="1"/>
        <v>debit</v>
      </c>
      <c r="D23" s="156" t="s">
        <v>362</v>
      </c>
      <c r="E23" s="156">
        <v>-17</v>
      </c>
      <c r="F23" s="156">
        <v>108.6</v>
      </c>
      <c r="G23" s="156">
        <f t="shared" si="2"/>
        <v>0</v>
      </c>
    </row>
    <row r="24" spans="1:7" ht="14.25" customHeight="1" x14ac:dyDescent="0.25">
      <c r="A24" s="197">
        <v>45114</v>
      </c>
      <c r="B24" s="208">
        <f t="shared" si="0"/>
        <v>1</v>
      </c>
      <c r="C24" s="194" t="str">
        <f t="shared" si="1"/>
        <v>credit</v>
      </c>
      <c r="D24" s="156" t="s">
        <v>363</v>
      </c>
      <c r="E24" s="156">
        <v>1340.65</v>
      </c>
      <c r="F24" s="156">
        <v>778.93</v>
      </c>
      <c r="G24" s="156">
        <f t="shared" si="2"/>
        <v>1340.65</v>
      </c>
    </row>
    <row r="25" spans="1:7" ht="14.25" hidden="1" customHeight="1" x14ac:dyDescent="0.25">
      <c r="A25" s="197">
        <v>45117</v>
      </c>
      <c r="B25" s="208">
        <f t="shared" si="0"/>
        <v>1</v>
      </c>
      <c r="C25" s="194" t="str">
        <f t="shared" si="1"/>
        <v>credit</v>
      </c>
      <c r="D25" s="156" t="s">
        <v>364</v>
      </c>
      <c r="E25" s="156">
        <v>318.83999999999997</v>
      </c>
      <c r="F25" s="156">
        <v>1097.77</v>
      </c>
      <c r="G25" s="156">
        <f t="shared" si="2"/>
        <v>318.83999999999997</v>
      </c>
    </row>
    <row r="26" spans="1:7" ht="14.25" hidden="1" customHeight="1" x14ac:dyDescent="0.25">
      <c r="A26" s="197">
        <v>45117</v>
      </c>
      <c r="B26" s="208">
        <f t="shared" si="0"/>
        <v>1</v>
      </c>
      <c r="C26" s="194" t="str">
        <f t="shared" si="1"/>
        <v>credit</v>
      </c>
      <c r="D26" s="156" t="s">
        <v>365</v>
      </c>
      <c r="E26" s="156">
        <v>269.61</v>
      </c>
      <c r="F26" s="156">
        <v>1367.38</v>
      </c>
      <c r="G26" s="156">
        <f t="shared" si="2"/>
        <v>269.61</v>
      </c>
    </row>
    <row r="27" spans="1:7" ht="14.25" customHeight="1" x14ac:dyDescent="0.25">
      <c r="A27" s="197">
        <v>45117</v>
      </c>
      <c r="B27" s="208">
        <f t="shared" si="0"/>
        <v>1</v>
      </c>
      <c r="C27" s="194" t="str">
        <f t="shared" si="1"/>
        <v>credit</v>
      </c>
      <c r="D27" s="158" t="s">
        <v>366</v>
      </c>
      <c r="E27" s="156">
        <v>42.12</v>
      </c>
      <c r="F27" s="156">
        <v>1409.5</v>
      </c>
    </row>
    <row r="28" spans="1:7" ht="14.25" hidden="1" customHeight="1" x14ac:dyDescent="0.25">
      <c r="A28" s="197">
        <v>45117</v>
      </c>
      <c r="B28" s="208">
        <f t="shared" si="0"/>
        <v>0</v>
      </c>
      <c r="C28" s="194" t="str">
        <f t="shared" si="1"/>
        <v>debit</v>
      </c>
      <c r="D28" s="156" t="s">
        <v>367</v>
      </c>
      <c r="E28" s="156">
        <v>-7</v>
      </c>
      <c r="F28" s="156">
        <v>1402.5</v>
      </c>
    </row>
    <row r="29" spans="1:7" ht="14.25" hidden="1" customHeight="1" x14ac:dyDescent="0.25">
      <c r="A29" s="197">
        <v>45117</v>
      </c>
      <c r="B29" s="208">
        <f t="shared" si="0"/>
        <v>0</v>
      </c>
      <c r="C29" s="194" t="str">
        <f t="shared" si="1"/>
        <v>debit</v>
      </c>
      <c r="D29" s="156" t="s">
        <v>368</v>
      </c>
      <c r="E29" s="156">
        <v>-30</v>
      </c>
      <c r="F29" s="156">
        <v>1372.5</v>
      </c>
    </row>
    <row r="30" spans="1:7" ht="14.25" hidden="1" customHeight="1" x14ac:dyDescent="0.25">
      <c r="A30" s="197">
        <v>45124</v>
      </c>
      <c r="B30" s="208">
        <f t="shared" si="0"/>
        <v>0</v>
      </c>
      <c r="C30" s="194" t="str">
        <f t="shared" si="1"/>
        <v>debit</v>
      </c>
      <c r="D30" s="156" t="s">
        <v>369</v>
      </c>
      <c r="E30" s="156">
        <v>-800</v>
      </c>
      <c r="F30" s="156">
        <v>572.5</v>
      </c>
    </row>
    <row r="31" spans="1:7" ht="14.25" hidden="1" customHeight="1" x14ac:dyDescent="0.25">
      <c r="A31" s="197">
        <v>45125</v>
      </c>
      <c r="B31" s="208">
        <f t="shared" si="0"/>
        <v>0</v>
      </c>
      <c r="C31" s="194" t="str">
        <f t="shared" si="1"/>
        <v>debit</v>
      </c>
      <c r="D31" s="156" t="s">
        <v>202</v>
      </c>
      <c r="E31" s="156">
        <v>-7</v>
      </c>
      <c r="F31" s="156">
        <v>565.5</v>
      </c>
    </row>
    <row r="32" spans="1:7" ht="14.25" hidden="1" customHeight="1" x14ac:dyDescent="0.25">
      <c r="A32" s="197">
        <v>45126</v>
      </c>
      <c r="B32" s="208">
        <f t="shared" si="0"/>
        <v>0</v>
      </c>
      <c r="C32" s="194" t="str">
        <f t="shared" si="1"/>
        <v>debit</v>
      </c>
      <c r="D32" s="156" t="s">
        <v>370</v>
      </c>
      <c r="E32" s="156">
        <v>-25</v>
      </c>
      <c r="F32" s="156">
        <v>540.5</v>
      </c>
    </row>
    <row r="33" spans="1:6" ht="14.25" hidden="1" customHeight="1" x14ac:dyDescent="0.25">
      <c r="A33" s="197">
        <v>45126</v>
      </c>
      <c r="B33" s="208">
        <f t="shared" si="0"/>
        <v>0</v>
      </c>
      <c r="C33" s="194" t="str">
        <f t="shared" si="1"/>
        <v>debit</v>
      </c>
      <c r="D33" s="156" t="s">
        <v>371</v>
      </c>
      <c r="E33" s="156">
        <v>-33.33</v>
      </c>
      <c r="F33" s="156">
        <v>507.17</v>
      </c>
    </row>
    <row r="34" spans="1:6" ht="14.25" hidden="1" customHeight="1" x14ac:dyDescent="0.25">
      <c r="A34" s="197">
        <v>45126</v>
      </c>
      <c r="B34" s="208">
        <f t="shared" si="0"/>
        <v>0</v>
      </c>
      <c r="C34" s="194" t="str">
        <f t="shared" si="1"/>
        <v>debit</v>
      </c>
      <c r="D34" s="156" t="s">
        <v>216</v>
      </c>
      <c r="E34" s="156">
        <v>-25</v>
      </c>
      <c r="F34" s="156">
        <v>482.17</v>
      </c>
    </row>
    <row r="35" spans="1:6" ht="14.25" customHeight="1" x14ac:dyDescent="0.25">
      <c r="A35" s="197">
        <v>45128</v>
      </c>
      <c r="B35" s="208">
        <f t="shared" si="0"/>
        <v>1</v>
      </c>
      <c r="C35" s="194" t="str">
        <f t="shared" si="1"/>
        <v>credit</v>
      </c>
      <c r="D35" s="156" t="s">
        <v>372</v>
      </c>
      <c r="E35" s="156">
        <f>1639.58-152.26</f>
        <v>1487.32</v>
      </c>
      <c r="F35" s="156">
        <v>1301.96</v>
      </c>
    </row>
    <row r="36" spans="1:6" ht="14.25" hidden="1" customHeight="1" x14ac:dyDescent="0.25">
      <c r="A36" s="197">
        <v>45128</v>
      </c>
      <c r="B36" s="208">
        <f t="shared" si="0"/>
        <v>0</v>
      </c>
      <c r="C36" s="194" t="str">
        <f t="shared" si="1"/>
        <v>debit</v>
      </c>
      <c r="D36" s="156" t="s">
        <v>373</v>
      </c>
      <c r="E36" s="156">
        <v>-899.69</v>
      </c>
      <c r="F36" s="156">
        <v>402.27</v>
      </c>
    </row>
    <row r="37" spans="1:6" ht="14.25" customHeight="1" x14ac:dyDescent="0.25">
      <c r="A37" s="197">
        <v>45131</v>
      </c>
      <c r="B37" s="208">
        <f t="shared" si="0"/>
        <v>1</v>
      </c>
      <c r="C37" s="194" t="str">
        <f t="shared" si="1"/>
        <v>credit</v>
      </c>
      <c r="D37" s="156" t="s">
        <v>374</v>
      </c>
      <c r="E37" s="156">
        <v>2.87</v>
      </c>
      <c r="F37" s="215">
        <v>405.14</v>
      </c>
    </row>
    <row r="38" spans="1:6" ht="14.25" hidden="1" customHeight="1" x14ac:dyDescent="0.25">
      <c r="A38" s="197">
        <v>45131</v>
      </c>
      <c r="B38" s="208">
        <f t="shared" si="0"/>
        <v>0</v>
      </c>
      <c r="C38" s="194" t="str">
        <f t="shared" si="1"/>
        <v>debit</v>
      </c>
      <c r="D38" s="156" t="s">
        <v>375</v>
      </c>
      <c r="E38" s="156">
        <v>-30</v>
      </c>
      <c r="F38" s="156">
        <v>375.14</v>
      </c>
    </row>
    <row r="39" spans="1:6" ht="14.25" customHeight="1" x14ac:dyDescent="0.25">
      <c r="A39" s="197">
        <v>45135</v>
      </c>
      <c r="B39" s="208">
        <f t="shared" si="0"/>
        <v>1</v>
      </c>
      <c r="C39" s="194" t="str">
        <f t="shared" si="1"/>
        <v>credit</v>
      </c>
      <c r="D39" s="156" t="s">
        <v>376</v>
      </c>
      <c r="E39" s="156">
        <v>8</v>
      </c>
      <c r="F39" s="156">
        <v>383.14</v>
      </c>
    </row>
    <row r="40" spans="1:6" ht="14.25" customHeight="1" x14ac:dyDescent="0.25">
      <c r="B40" s="208">
        <f t="shared" si="0"/>
        <v>1</v>
      </c>
      <c r="C40" s="194" t="str">
        <f t="shared" si="1"/>
        <v>credit</v>
      </c>
    </row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>
      <c r="E48" s="156">
        <v>1340.65</v>
      </c>
    </row>
    <row r="49" spans="5:5" ht="14.25" customHeight="1" x14ac:dyDescent="0.25">
      <c r="E49" s="156">
        <v>42.12</v>
      </c>
    </row>
    <row r="50" spans="5:5" ht="14.25" customHeight="1" x14ac:dyDescent="0.25">
      <c r="E50" s="156">
        <v>1487.32</v>
      </c>
    </row>
    <row r="51" spans="5:5" ht="14.25" customHeight="1" x14ac:dyDescent="0.25">
      <c r="E51" s="156">
        <v>2.87</v>
      </c>
    </row>
    <row r="52" spans="5:5" ht="14.25" customHeight="1" x14ac:dyDescent="0.25">
      <c r="E52" s="156">
        <v>8</v>
      </c>
    </row>
    <row r="53" spans="5:5" ht="14.25" customHeight="1" x14ac:dyDescent="0.25">
      <c r="E53" s="215">
        <f>SUM(E48:E52)</f>
        <v>2880.96</v>
      </c>
    </row>
    <row r="54" spans="5:5" ht="14.25" customHeight="1" x14ac:dyDescent="0.25"/>
    <row r="55" spans="5:5" ht="14.25" customHeight="1" x14ac:dyDescent="0.25"/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H40" xr:uid="{00000000-0009-0000-0000-000009000000}">
    <filterColumn colId="3">
      <filters blank="1">
        <filter val="Bank of America DES:CASHREWARD ID:BARRAGAN INDN:XXXXX0062XXXXX91XXXXX0 CO ID:XXXXX90310 PPD"/>
        <filter val="BKOFAMERICA MOBILE 07/24 XXXXX55905 DEPOSIT *MOBILE NY"/>
        <filter val="FUNDS TRANSFER CREDIT FDES NFL 0026219 367242"/>
        <filter val="JOURNEY'S END RE DES:DIRECT DEP ID:XXXXX44453889BM INDN:DIAZ BARRAGAN,DARIO CO ID:XXXXX11101 PPD"/>
        <filter val="JOURNEY'S END RE DES:DIRECT DEP ID:XXXXX94754059BM INDN:DIAZ BARRAGAN,DARIO CO ID:XXXXX11101 PPD"/>
      </filters>
    </filterColumn>
  </autoFilter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4.25" customHeight="1" x14ac:dyDescent="0.25">
      <c r="A1" s="156" t="s">
        <v>177</v>
      </c>
      <c r="C1" s="156" t="s">
        <v>178</v>
      </c>
    </row>
    <row r="2" spans="1:7" ht="14.25" customHeight="1" x14ac:dyDescent="0.25">
      <c r="A2" s="156" t="s">
        <v>350</v>
      </c>
      <c r="C2" s="156">
        <v>383.14</v>
      </c>
    </row>
    <row r="3" spans="1:7" ht="14.25" customHeight="1" x14ac:dyDescent="0.25">
      <c r="A3" s="156" t="s">
        <v>180</v>
      </c>
      <c r="C3" s="196">
        <v>18941.79</v>
      </c>
    </row>
    <row r="4" spans="1:7" ht="14.25" customHeight="1" x14ac:dyDescent="0.25">
      <c r="A4" s="156" t="s">
        <v>181</v>
      </c>
      <c r="C4" s="196">
        <v>-17475.2</v>
      </c>
    </row>
    <row r="5" spans="1:7" ht="14.25" customHeight="1" x14ac:dyDescent="0.25">
      <c r="A5" s="156" t="s">
        <v>351</v>
      </c>
      <c r="C5" s="196">
        <v>1849.73</v>
      </c>
    </row>
    <row r="6" spans="1:7" ht="14.25" customHeight="1" x14ac:dyDescent="0.25">
      <c r="A6" s="194" t="s">
        <v>90</v>
      </c>
      <c r="B6" s="208"/>
      <c r="C6" s="194"/>
      <c r="D6" s="194" t="s">
        <v>177</v>
      </c>
      <c r="E6" s="194" t="s">
        <v>183</v>
      </c>
      <c r="F6" s="194" t="s">
        <v>184</v>
      </c>
    </row>
    <row r="7" spans="1:7" ht="14.25" hidden="1" customHeight="1" x14ac:dyDescent="0.25">
      <c r="A7" s="197">
        <v>45136</v>
      </c>
      <c r="B7" s="208">
        <f t="shared" ref="B7:B43" si="0">IF(E7&lt;0,0,1)</f>
        <v>1</v>
      </c>
      <c r="C7" s="194" t="str">
        <f t="shared" ref="C7:C43" si="1">IF(E7&lt;0,"debit","credit")</f>
        <v>credit</v>
      </c>
      <c r="D7" s="156" t="s">
        <v>377</v>
      </c>
      <c r="F7" s="196">
        <v>383.14</v>
      </c>
      <c r="G7" s="194">
        <f t="shared" ref="G7:G43" si="2">IFERROR(VLOOKUP($B$8,B7:E7,4,FALSE),0)</f>
        <v>0</v>
      </c>
    </row>
    <row r="8" spans="1:7" ht="14.25" hidden="1" customHeight="1" x14ac:dyDescent="0.25">
      <c r="A8" s="197">
        <v>45138</v>
      </c>
      <c r="B8" s="208">
        <f t="shared" si="0"/>
        <v>1</v>
      </c>
      <c r="C8" s="194" t="str">
        <f t="shared" si="1"/>
        <v>credit</v>
      </c>
      <c r="D8" s="156" t="s">
        <v>378</v>
      </c>
      <c r="E8" s="156">
        <v>2260</v>
      </c>
      <c r="F8" s="196">
        <v>2643.14</v>
      </c>
      <c r="G8" s="194">
        <f t="shared" si="2"/>
        <v>2260</v>
      </c>
    </row>
    <row r="9" spans="1:7" ht="14.25" hidden="1" customHeight="1" x14ac:dyDescent="0.25">
      <c r="A9" s="197">
        <v>45138</v>
      </c>
      <c r="B9" s="208">
        <f t="shared" si="0"/>
        <v>0</v>
      </c>
      <c r="C9" s="194" t="str">
        <f t="shared" si="1"/>
        <v>debit</v>
      </c>
      <c r="D9" s="156" t="s">
        <v>379</v>
      </c>
      <c r="E9" s="156">
        <v>-2000</v>
      </c>
      <c r="F9" s="196">
        <v>643.14</v>
      </c>
      <c r="G9" s="194">
        <f t="shared" si="2"/>
        <v>0</v>
      </c>
    </row>
    <row r="10" spans="1:7" ht="14.25" hidden="1" customHeight="1" x14ac:dyDescent="0.25">
      <c r="A10" s="197">
        <v>45138</v>
      </c>
      <c r="B10" s="208">
        <f t="shared" si="0"/>
        <v>0</v>
      </c>
      <c r="C10" s="194" t="str">
        <f t="shared" si="1"/>
        <v>debit</v>
      </c>
      <c r="D10" s="156" t="s">
        <v>380</v>
      </c>
      <c r="E10" s="156">
        <v>-86</v>
      </c>
      <c r="F10" s="196">
        <v>557.14</v>
      </c>
      <c r="G10" s="194">
        <f t="shared" si="2"/>
        <v>0</v>
      </c>
    </row>
    <row r="11" spans="1:7" ht="14.25" hidden="1" customHeight="1" x14ac:dyDescent="0.25">
      <c r="A11" s="197">
        <v>45139</v>
      </c>
      <c r="B11" s="208">
        <f t="shared" si="0"/>
        <v>1</v>
      </c>
      <c r="C11" s="194" t="str">
        <f t="shared" si="1"/>
        <v>credit</v>
      </c>
      <c r="D11" s="156" t="s">
        <v>381</v>
      </c>
      <c r="E11" s="156">
        <v>14.5</v>
      </c>
      <c r="F11" s="196">
        <v>571.64</v>
      </c>
      <c r="G11" s="194">
        <f t="shared" si="2"/>
        <v>14.5</v>
      </c>
    </row>
    <row r="12" spans="1:7" ht="14.25" hidden="1" customHeight="1" x14ac:dyDescent="0.25">
      <c r="A12" s="197">
        <v>45140</v>
      </c>
      <c r="B12" s="208">
        <f t="shared" si="0"/>
        <v>0</v>
      </c>
      <c r="C12" s="194" t="str">
        <f t="shared" si="1"/>
        <v>debit</v>
      </c>
      <c r="D12" s="156" t="s">
        <v>202</v>
      </c>
      <c r="E12" s="156">
        <v>-7</v>
      </c>
      <c r="F12" s="196">
        <v>564.64</v>
      </c>
      <c r="G12" s="194">
        <f t="shared" si="2"/>
        <v>0</v>
      </c>
    </row>
    <row r="13" spans="1:7" ht="14.25" hidden="1" customHeight="1" x14ac:dyDescent="0.25">
      <c r="A13" s="197">
        <v>45141</v>
      </c>
      <c r="B13" s="208">
        <f t="shared" si="0"/>
        <v>0</v>
      </c>
      <c r="C13" s="194" t="str">
        <f t="shared" si="1"/>
        <v>debit</v>
      </c>
      <c r="D13" s="156" t="s">
        <v>203</v>
      </c>
      <c r="E13" s="156">
        <v>-25</v>
      </c>
      <c r="F13" s="196">
        <v>539.64</v>
      </c>
      <c r="G13" s="194">
        <f t="shared" si="2"/>
        <v>0</v>
      </c>
    </row>
    <row r="14" spans="1:7" ht="14.25" customHeight="1" x14ac:dyDescent="0.25">
      <c r="A14" s="197">
        <v>45142</v>
      </c>
      <c r="B14" s="208">
        <f t="shared" si="0"/>
        <v>1</v>
      </c>
      <c r="C14" s="194" t="str">
        <f t="shared" si="1"/>
        <v>credit</v>
      </c>
      <c r="D14" s="156" t="s">
        <v>382</v>
      </c>
      <c r="E14" s="156">
        <v>709.21</v>
      </c>
      <c r="F14" s="196">
        <v>1248.8499999999999</v>
      </c>
      <c r="G14" s="194">
        <f t="shared" si="2"/>
        <v>709.21</v>
      </c>
    </row>
    <row r="15" spans="1:7" ht="14.25" hidden="1" customHeight="1" x14ac:dyDescent="0.25">
      <c r="A15" s="197">
        <v>45142</v>
      </c>
      <c r="B15" s="208">
        <f t="shared" si="0"/>
        <v>0</v>
      </c>
      <c r="C15" s="194" t="str">
        <f t="shared" si="1"/>
        <v>debit</v>
      </c>
      <c r="D15" s="156" t="s">
        <v>383</v>
      </c>
      <c r="E15" s="156">
        <v>-50</v>
      </c>
      <c r="F15" s="196">
        <v>1198.8499999999999</v>
      </c>
      <c r="G15" s="194">
        <f t="shared" si="2"/>
        <v>0</v>
      </c>
    </row>
    <row r="16" spans="1:7" ht="14.25" hidden="1" customHeight="1" x14ac:dyDescent="0.25">
      <c r="A16" s="197">
        <v>45145</v>
      </c>
      <c r="B16" s="208">
        <f t="shared" si="0"/>
        <v>0</v>
      </c>
      <c r="C16" s="194" t="str">
        <f t="shared" si="1"/>
        <v>debit</v>
      </c>
      <c r="D16" s="156" t="s">
        <v>384</v>
      </c>
      <c r="E16" s="156">
        <v>-400</v>
      </c>
      <c r="F16" s="196">
        <v>798.85</v>
      </c>
      <c r="G16" s="194">
        <f t="shared" si="2"/>
        <v>0</v>
      </c>
    </row>
    <row r="17" spans="1:7" ht="14.25" hidden="1" customHeight="1" x14ac:dyDescent="0.25">
      <c r="A17" s="197">
        <v>45145</v>
      </c>
      <c r="B17" s="208">
        <f t="shared" si="0"/>
        <v>0</v>
      </c>
      <c r="C17" s="194" t="str">
        <f t="shared" si="1"/>
        <v>debit</v>
      </c>
      <c r="D17" s="156" t="s">
        <v>385</v>
      </c>
      <c r="E17" s="156">
        <v>-64</v>
      </c>
      <c r="F17" s="196">
        <v>734.85</v>
      </c>
      <c r="G17" s="194">
        <f t="shared" si="2"/>
        <v>0</v>
      </c>
    </row>
    <row r="18" spans="1:7" ht="14.25" customHeight="1" x14ac:dyDescent="0.25">
      <c r="A18" s="197">
        <v>45146</v>
      </c>
      <c r="B18" s="208">
        <f t="shared" si="0"/>
        <v>1</v>
      </c>
      <c r="C18" s="194" t="str">
        <f t="shared" si="1"/>
        <v>credit</v>
      </c>
      <c r="D18" s="156" t="s">
        <v>366</v>
      </c>
      <c r="E18" s="156">
        <v>47.34</v>
      </c>
      <c r="F18" s="196">
        <v>782.19</v>
      </c>
      <c r="G18" s="194">
        <f t="shared" si="2"/>
        <v>47.34</v>
      </c>
    </row>
    <row r="19" spans="1:7" ht="14.25" hidden="1" customHeight="1" x14ac:dyDescent="0.25">
      <c r="A19" s="197">
        <v>45146</v>
      </c>
      <c r="B19" s="208">
        <f t="shared" si="0"/>
        <v>0</v>
      </c>
      <c r="C19" s="194" t="str">
        <f t="shared" si="1"/>
        <v>debit</v>
      </c>
      <c r="D19" s="156" t="s">
        <v>362</v>
      </c>
      <c r="E19" s="156">
        <v>-30</v>
      </c>
      <c r="F19" s="196">
        <v>752.19</v>
      </c>
      <c r="G19" s="194">
        <f t="shared" si="2"/>
        <v>0</v>
      </c>
    </row>
    <row r="20" spans="1:7" ht="14.25" hidden="1" customHeight="1" x14ac:dyDescent="0.25">
      <c r="A20" s="197">
        <v>45146</v>
      </c>
      <c r="B20" s="208">
        <f t="shared" si="0"/>
        <v>0</v>
      </c>
      <c r="C20" s="194" t="str">
        <f t="shared" si="1"/>
        <v>debit</v>
      </c>
      <c r="D20" s="156" t="s">
        <v>386</v>
      </c>
      <c r="E20" s="156">
        <v>-30</v>
      </c>
      <c r="F20" s="196">
        <v>722.19</v>
      </c>
      <c r="G20" s="194">
        <f t="shared" si="2"/>
        <v>0</v>
      </c>
    </row>
    <row r="21" spans="1:7" ht="14.25" hidden="1" customHeight="1" x14ac:dyDescent="0.25">
      <c r="A21" s="197">
        <v>45146</v>
      </c>
      <c r="B21" s="208">
        <f t="shared" si="0"/>
        <v>0</v>
      </c>
      <c r="C21" s="194" t="str">
        <f t="shared" si="1"/>
        <v>debit</v>
      </c>
      <c r="D21" s="156" t="s">
        <v>362</v>
      </c>
      <c r="E21" s="156">
        <v>-17</v>
      </c>
      <c r="F21" s="196">
        <v>705.19</v>
      </c>
      <c r="G21" s="194">
        <f t="shared" si="2"/>
        <v>0</v>
      </c>
    </row>
    <row r="22" spans="1:7" ht="14.25" hidden="1" customHeight="1" x14ac:dyDescent="0.25">
      <c r="A22" s="197">
        <v>45149</v>
      </c>
      <c r="B22" s="208">
        <f t="shared" si="0"/>
        <v>0</v>
      </c>
      <c r="C22" s="194" t="str">
        <f t="shared" si="1"/>
        <v>debit</v>
      </c>
      <c r="D22" s="156" t="s">
        <v>387</v>
      </c>
      <c r="E22" s="156">
        <v>-300</v>
      </c>
      <c r="F22" s="196">
        <v>405.19</v>
      </c>
      <c r="G22" s="194">
        <f t="shared" si="2"/>
        <v>0</v>
      </c>
    </row>
    <row r="23" spans="1:7" ht="14.25" hidden="1" customHeight="1" x14ac:dyDescent="0.25">
      <c r="A23" s="197">
        <v>45154</v>
      </c>
      <c r="B23" s="208">
        <f t="shared" si="0"/>
        <v>0</v>
      </c>
      <c r="C23" s="194" t="str">
        <f t="shared" si="1"/>
        <v>debit</v>
      </c>
      <c r="D23" s="156" t="s">
        <v>388</v>
      </c>
      <c r="E23" s="156">
        <v>-220</v>
      </c>
      <c r="F23" s="196">
        <v>185.19</v>
      </c>
      <c r="G23" s="194">
        <f t="shared" si="2"/>
        <v>0</v>
      </c>
    </row>
    <row r="24" spans="1:7" ht="14.25" hidden="1" customHeight="1" x14ac:dyDescent="0.25">
      <c r="A24" s="197">
        <v>45154</v>
      </c>
      <c r="B24" s="208">
        <f t="shared" si="0"/>
        <v>0</v>
      </c>
      <c r="C24" s="194" t="str">
        <f t="shared" si="1"/>
        <v>debit</v>
      </c>
      <c r="D24" s="156" t="s">
        <v>202</v>
      </c>
      <c r="E24" s="156">
        <v>-7</v>
      </c>
      <c r="F24" s="196">
        <v>178.19</v>
      </c>
      <c r="G24" s="194">
        <f t="shared" si="2"/>
        <v>0</v>
      </c>
    </row>
    <row r="25" spans="1:7" ht="14.25" hidden="1" customHeight="1" x14ac:dyDescent="0.25">
      <c r="A25" s="197">
        <v>45155</v>
      </c>
      <c r="B25" s="208">
        <f t="shared" si="0"/>
        <v>1</v>
      </c>
      <c r="C25" s="194" t="str">
        <f t="shared" si="1"/>
        <v>credit</v>
      </c>
      <c r="D25" s="156" t="s">
        <v>389</v>
      </c>
      <c r="E25" s="196">
        <v>2500</v>
      </c>
      <c r="F25" s="196">
        <v>2678.19</v>
      </c>
      <c r="G25" s="194">
        <f t="shared" si="2"/>
        <v>2500</v>
      </c>
    </row>
    <row r="26" spans="1:7" ht="14.25" hidden="1" customHeight="1" x14ac:dyDescent="0.25">
      <c r="A26" s="197">
        <v>45155</v>
      </c>
      <c r="B26" s="208">
        <f t="shared" si="0"/>
        <v>1</v>
      </c>
      <c r="C26" s="194" t="str">
        <f t="shared" si="1"/>
        <v>credit</v>
      </c>
      <c r="D26" s="156" t="s">
        <v>390</v>
      </c>
      <c r="E26" s="156">
        <v>2500</v>
      </c>
      <c r="F26" s="156">
        <v>5178.1899999999996</v>
      </c>
      <c r="G26" s="194">
        <f t="shared" si="2"/>
        <v>2500</v>
      </c>
    </row>
    <row r="27" spans="1:7" ht="14.25" customHeight="1" x14ac:dyDescent="0.25">
      <c r="A27" s="197">
        <v>45156</v>
      </c>
      <c r="B27" s="208">
        <f t="shared" si="0"/>
        <v>1</v>
      </c>
      <c r="C27" s="194" t="str">
        <f t="shared" si="1"/>
        <v>credit</v>
      </c>
      <c r="D27" s="156" t="s">
        <v>391</v>
      </c>
      <c r="E27" s="156">
        <v>1436.48</v>
      </c>
      <c r="F27" s="156">
        <v>6614.67</v>
      </c>
      <c r="G27" s="194">
        <f t="shared" si="2"/>
        <v>1436.48</v>
      </c>
    </row>
    <row r="28" spans="1:7" ht="14.25" hidden="1" customHeight="1" x14ac:dyDescent="0.25">
      <c r="A28" s="197">
        <v>45156</v>
      </c>
      <c r="B28" s="208">
        <f t="shared" si="0"/>
        <v>0</v>
      </c>
      <c r="C28" s="194" t="str">
        <f t="shared" si="1"/>
        <v>debit</v>
      </c>
      <c r="D28" s="156" t="s">
        <v>392</v>
      </c>
      <c r="E28" s="156">
        <v>-500</v>
      </c>
      <c r="F28" s="156">
        <v>6114.67</v>
      </c>
      <c r="G28" s="194">
        <f t="shared" si="2"/>
        <v>0</v>
      </c>
    </row>
    <row r="29" spans="1:7" ht="14.25" hidden="1" customHeight="1" x14ac:dyDescent="0.25">
      <c r="A29" s="197">
        <v>45159</v>
      </c>
      <c r="B29" s="208">
        <f t="shared" si="0"/>
        <v>0</v>
      </c>
      <c r="C29" s="194" t="str">
        <f t="shared" si="1"/>
        <v>debit</v>
      </c>
      <c r="D29" s="156" t="s">
        <v>393</v>
      </c>
      <c r="E29" s="156">
        <v>-2500</v>
      </c>
      <c r="F29" s="156">
        <v>3614.67</v>
      </c>
      <c r="G29" s="194">
        <f t="shared" si="2"/>
        <v>0</v>
      </c>
    </row>
    <row r="30" spans="1:7" ht="14.25" hidden="1" customHeight="1" x14ac:dyDescent="0.25">
      <c r="A30" s="197">
        <v>45159</v>
      </c>
      <c r="B30" s="208">
        <f t="shared" si="0"/>
        <v>0</v>
      </c>
      <c r="C30" s="194" t="str">
        <f t="shared" si="1"/>
        <v>debit</v>
      </c>
      <c r="D30" s="156" t="s">
        <v>394</v>
      </c>
      <c r="E30" s="156">
        <v>-2500</v>
      </c>
      <c r="F30" s="156">
        <v>1114.67</v>
      </c>
      <c r="G30" s="194">
        <f t="shared" si="2"/>
        <v>0</v>
      </c>
    </row>
    <row r="31" spans="1:7" ht="14.25" hidden="1" customHeight="1" x14ac:dyDescent="0.25">
      <c r="A31" s="197">
        <v>45159</v>
      </c>
      <c r="B31" s="208">
        <f t="shared" si="0"/>
        <v>0</v>
      </c>
      <c r="C31" s="194" t="str">
        <f t="shared" si="1"/>
        <v>debit</v>
      </c>
      <c r="D31" s="156" t="s">
        <v>395</v>
      </c>
      <c r="E31" s="156">
        <v>-93.47</v>
      </c>
      <c r="F31" s="156">
        <v>1021.2</v>
      </c>
      <c r="G31" s="194">
        <f t="shared" si="2"/>
        <v>0</v>
      </c>
    </row>
    <row r="32" spans="1:7" ht="14.25" hidden="1" customHeight="1" x14ac:dyDescent="0.25">
      <c r="A32" s="197">
        <v>45159</v>
      </c>
      <c r="B32" s="208">
        <f t="shared" si="0"/>
        <v>0</v>
      </c>
      <c r="C32" s="194" t="str">
        <f t="shared" si="1"/>
        <v>debit</v>
      </c>
      <c r="D32" s="156" t="s">
        <v>396</v>
      </c>
      <c r="E32" s="156">
        <v>-22</v>
      </c>
      <c r="F32" s="156">
        <v>999.2</v>
      </c>
      <c r="G32" s="194">
        <f t="shared" si="2"/>
        <v>0</v>
      </c>
    </row>
    <row r="33" spans="1:7" ht="14.25" hidden="1" customHeight="1" x14ac:dyDescent="0.25">
      <c r="A33" s="197">
        <v>45162</v>
      </c>
      <c r="B33" s="208">
        <f t="shared" si="0"/>
        <v>1</v>
      </c>
      <c r="C33" s="194" t="str">
        <f t="shared" si="1"/>
        <v>credit</v>
      </c>
      <c r="D33" s="156" t="s">
        <v>397</v>
      </c>
      <c r="E33" s="156">
        <v>5895</v>
      </c>
      <c r="F33" s="156">
        <v>6894.2</v>
      </c>
      <c r="G33" s="194">
        <f t="shared" si="2"/>
        <v>5895</v>
      </c>
    </row>
    <row r="34" spans="1:7" ht="14.25" hidden="1" customHeight="1" x14ac:dyDescent="0.25">
      <c r="A34" s="197">
        <v>45162</v>
      </c>
      <c r="B34" s="208">
        <f t="shared" si="0"/>
        <v>0</v>
      </c>
      <c r="C34" s="194" t="str">
        <f t="shared" si="1"/>
        <v>debit</v>
      </c>
      <c r="D34" s="156" t="s">
        <v>398</v>
      </c>
      <c r="E34" s="156">
        <v>-2500</v>
      </c>
      <c r="F34" s="156">
        <v>4394.2</v>
      </c>
      <c r="G34" s="194">
        <f t="shared" si="2"/>
        <v>0</v>
      </c>
    </row>
    <row r="35" spans="1:7" ht="14.25" hidden="1" customHeight="1" x14ac:dyDescent="0.25">
      <c r="A35" s="197">
        <v>45162</v>
      </c>
      <c r="B35" s="208">
        <f t="shared" si="0"/>
        <v>0</v>
      </c>
      <c r="C35" s="194" t="str">
        <f t="shared" si="1"/>
        <v>debit</v>
      </c>
      <c r="D35" s="156" t="s">
        <v>399</v>
      </c>
      <c r="E35" s="156">
        <v>-1000</v>
      </c>
      <c r="F35" s="156">
        <v>3394.2</v>
      </c>
      <c r="G35" s="194">
        <f t="shared" si="2"/>
        <v>0</v>
      </c>
    </row>
    <row r="36" spans="1:7" ht="14.25" hidden="1" customHeight="1" x14ac:dyDescent="0.25">
      <c r="A36" s="197">
        <v>45163</v>
      </c>
      <c r="B36" s="208">
        <f t="shared" si="0"/>
        <v>0</v>
      </c>
      <c r="C36" s="194" t="str">
        <f t="shared" si="1"/>
        <v>debit</v>
      </c>
      <c r="D36" s="156" t="s">
        <v>400</v>
      </c>
      <c r="E36" s="156">
        <v>-2400</v>
      </c>
      <c r="F36" s="156">
        <v>994.2</v>
      </c>
      <c r="G36" s="194">
        <f t="shared" si="2"/>
        <v>0</v>
      </c>
    </row>
    <row r="37" spans="1:7" ht="14.25" hidden="1" customHeight="1" x14ac:dyDescent="0.25">
      <c r="A37" s="197">
        <v>45168</v>
      </c>
      <c r="B37" s="208">
        <f t="shared" si="0"/>
        <v>1</v>
      </c>
      <c r="C37" s="194" t="str">
        <f t="shared" si="1"/>
        <v>credit</v>
      </c>
      <c r="D37" s="156" t="s">
        <v>401</v>
      </c>
      <c r="E37" s="156">
        <v>1976.05</v>
      </c>
      <c r="F37" s="156">
        <v>2970.25</v>
      </c>
      <c r="G37" s="194">
        <f t="shared" si="2"/>
        <v>1976.05</v>
      </c>
    </row>
    <row r="38" spans="1:7" ht="14.25" hidden="1" customHeight="1" x14ac:dyDescent="0.25">
      <c r="A38" s="197">
        <v>45168</v>
      </c>
      <c r="B38" s="208">
        <f t="shared" si="0"/>
        <v>1</v>
      </c>
      <c r="C38" s="194" t="str">
        <f t="shared" si="1"/>
        <v>credit</v>
      </c>
      <c r="D38" s="156" t="s">
        <v>402</v>
      </c>
      <c r="E38" s="156">
        <v>100</v>
      </c>
      <c r="F38" s="156">
        <v>3070.25</v>
      </c>
      <c r="G38" s="194">
        <f t="shared" si="2"/>
        <v>100</v>
      </c>
    </row>
    <row r="39" spans="1:7" ht="14.25" hidden="1" customHeight="1" x14ac:dyDescent="0.25">
      <c r="A39" s="197">
        <v>45168</v>
      </c>
      <c r="B39" s="208">
        <f t="shared" si="0"/>
        <v>0</v>
      </c>
      <c r="C39" s="194" t="str">
        <f t="shared" si="1"/>
        <v>debit</v>
      </c>
      <c r="D39" s="194" t="s">
        <v>403</v>
      </c>
      <c r="E39" s="156">
        <v>-387.73</v>
      </c>
      <c r="F39" s="156">
        <v>2682.52</v>
      </c>
      <c r="G39" s="194">
        <f t="shared" si="2"/>
        <v>0</v>
      </c>
    </row>
    <row r="40" spans="1:7" ht="14.25" hidden="1" customHeight="1" x14ac:dyDescent="0.25">
      <c r="A40" s="197">
        <v>45168</v>
      </c>
      <c r="B40" s="208">
        <f t="shared" si="0"/>
        <v>0</v>
      </c>
      <c r="C40" s="194" t="str">
        <f t="shared" si="1"/>
        <v>debit</v>
      </c>
      <c r="D40" s="194" t="s">
        <v>404</v>
      </c>
      <c r="E40" s="156">
        <v>-450</v>
      </c>
      <c r="F40" s="156">
        <v>2232.52</v>
      </c>
      <c r="G40" s="194">
        <f t="shared" si="2"/>
        <v>0</v>
      </c>
    </row>
    <row r="41" spans="1:7" ht="14.25" hidden="1" customHeight="1" x14ac:dyDescent="0.25">
      <c r="A41" s="197">
        <v>45169</v>
      </c>
      <c r="B41" s="208">
        <f t="shared" si="0"/>
        <v>0</v>
      </c>
      <c r="C41" s="194" t="str">
        <f t="shared" si="1"/>
        <v>debit</v>
      </c>
      <c r="D41" s="194" t="s">
        <v>405</v>
      </c>
      <c r="E41" s="156">
        <v>-1800</v>
      </c>
      <c r="F41" s="156">
        <v>432.52</v>
      </c>
      <c r="G41" s="194">
        <f t="shared" si="2"/>
        <v>0</v>
      </c>
    </row>
    <row r="42" spans="1:7" ht="14.25" hidden="1" customHeight="1" x14ac:dyDescent="0.25">
      <c r="A42" s="197">
        <v>45169</v>
      </c>
      <c r="B42" s="208">
        <f t="shared" si="0"/>
        <v>0</v>
      </c>
      <c r="C42" s="194" t="str">
        <f t="shared" si="1"/>
        <v>debit</v>
      </c>
      <c r="D42" s="194" t="s">
        <v>406</v>
      </c>
      <c r="E42" s="156">
        <v>-86</v>
      </c>
      <c r="F42" s="156">
        <v>346.52</v>
      </c>
      <c r="G42" s="194">
        <f t="shared" si="2"/>
        <v>0</v>
      </c>
    </row>
    <row r="43" spans="1:7" ht="14.25" customHeight="1" x14ac:dyDescent="0.25">
      <c r="A43" s="197">
        <v>45170</v>
      </c>
      <c r="B43" s="208">
        <f t="shared" si="0"/>
        <v>1</v>
      </c>
      <c r="C43" s="194" t="str">
        <f t="shared" si="1"/>
        <v>credit</v>
      </c>
      <c r="D43" s="194" t="s">
        <v>407</v>
      </c>
      <c r="E43" s="156">
        <v>1503.21</v>
      </c>
      <c r="F43" s="156">
        <v>1849.73</v>
      </c>
      <c r="G43" s="194">
        <f t="shared" si="2"/>
        <v>1503.21</v>
      </c>
    </row>
    <row r="44" spans="1:7" ht="14.25" customHeight="1" x14ac:dyDescent="0.25">
      <c r="D44" s="194"/>
    </row>
    <row r="45" spans="1:7" ht="14.25" customHeight="1" x14ac:dyDescent="0.25">
      <c r="D45" s="194"/>
    </row>
    <row r="46" spans="1:7" ht="14.25" customHeight="1" x14ac:dyDescent="0.25">
      <c r="D46" s="194"/>
    </row>
    <row r="47" spans="1:7" ht="14.25" customHeight="1" x14ac:dyDescent="0.25">
      <c r="D47" s="194"/>
      <c r="E47" s="156">
        <f>2*E14</f>
        <v>1418.42</v>
      </c>
    </row>
    <row r="48" spans="1:7" ht="14.25" customHeight="1" x14ac:dyDescent="0.25">
      <c r="D48" s="194"/>
      <c r="E48" s="156">
        <v>47.34</v>
      </c>
    </row>
    <row r="49" spans="4:5" ht="14.25" customHeight="1" x14ac:dyDescent="0.25">
      <c r="D49" s="194" t="s">
        <v>408</v>
      </c>
      <c r="E49" s="156">
        <v>1614.84</v>
      </c>
    </row>
    <row r="50" spans="4:5" ht="14.25" customHeight="1" x14ac:dyDescent="0.25">
      <c r="D50" s="194"/>
      <c r="E50" s="156">
        <v>1503.21</v>
      </c>
    </row>
    <row r="51" spans="4:5" ht="14.25" customHeight="1" x14ac:dyDescent="0.25">
      <c r="D51" s="215"/>
      <c r="E51" s="156">
        <f>SUM(E47:E50)</f>
        <v>4583.8099999999995</v>
      </c>
    </row>
    <row r="52" spans="4:5" ht="14.25" customHeight="1" x14ac:dyDescent="0.25"/>
    <row r="53" spans="4:5" ht="14.25" customHeight="1" x14ac:dyDescent="0.25"/>
    <row r="54" spans="4:5" ht="14.25" customHeight="1" x14ac:dyDescent="0.25"/>
    <row r="55" spans="4:5" ht="14.25" customHeight="1" x14ac:dyDescent="0.25"/>
    <row r="56" spans="4:5" ht="14.25" customHeight="1" x14ac:dyDescent="0.25"/>
    <row r="57" spans="4:5" ht="14.25" customHeight="1" x14ac:dyDescent="0.25"/>
    <row r="58" spans="4:5" ht="14.25" customHeight="1" x14ac:dyDescent="0.25"/>
    <row r="59" spans="4:5" ht="14.25" customHeight="1" x14ac:dyDescent="0.25"/>
    <row r="60" spans="4:5" ht="14.25" customHeight="1" x14ac:dyDescent="0.25">
      <c r="E60" s="156">
        <v>1614.84</v>
      </c>
    </row>
    <row r="61" spans="4:5" ht="14.25" customHeight="1" x14ac:dyDescent="0.25"/>
    <row r="62" spans="4:5" ht="14.25" customHeight="1" x14ac:dyDescent="0.25"/>
    <row r="63" spans="4:5" ht="14.25" customHeight="1" x14ac:dyDescent="0.25"/>
    <row r="64" spans="4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6:I43" xr:uid="{00000000-0009-0000-0000-00000A000000}">
    <filterColumn colId="3">
      <filters>
        <filter val="Bank of America DES:CASHREWARD ID:BARRAGAN INDN:XXXXX0062XXXXX91XXXXX0 CO ID:XXXXX90310 PPD"/>
        <filter val="JOURNEY'S END RE DES:DIRECT DEP ID:XXXXX49475529BM INDN:DIAZ BARRAGAN,DARIO CO ID:XXXXX11101 PPD"/>
        <filter val="JOURNEY'S END RE DES:DIRECT DEP ID:XXXXX73396459BM INDN:DIAZ BARRAGAN,DARIO CO ID:XXXXX11101 PPD"/>
        <filter val="JOURNEY'S END RE DES:DIRECT DEP ID:XXXXX94761969BM INDN:DIAZ BARRAGAN,DARIO CO ID:XXXXX11101 PPD"/>
      </filters>
    </filterColumn>
    <filterColumn colId="4">
      <customFilters>
        <customFilter operator="notEqual" val=" "/>
      </customFilters>
    </filterColumn>
  </autoFilter>
  <conditionalFormatting sqref="E17:E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5" customHeight="1" x14ac:dyDescent="0.25">
      <c r="A1" s="156" t="s">
        <v>177</v>
      </c>
      <c r="C1" s="156" t="s">
        <v>178</v>
      </c>
    </row>
    <row r="2" spans="1:7" ht="15" customHeight="1" x14ac:dyDescent="0.25">
      <c r="A2" s="156" t="s">
        <v>350</v>
      </c>
      <c r="C2" s="156">
        <v>383.14</v>
      </c>
    </row>
    <row r="3" spans="1:7" ht="15" customHeight="1" x14ac:dyDescent="0.25">
      <c r="A3" s="156" t="s">
        <v>180</v>
      </c>
      <c r="C3" s="196">
        <v>18941.79</v>
      </c>
    </row>
    <row r="4" spans="1:7" ht="15" customHeight="1" x14ac:dyDescent="0.25">
      <c r="A4" s="156" t="s">
        <v>181</v>
      </c>
      <c r="C4" s="196">
        <v>-17475.2</v>
      </c>
    </row>
    <row r="5" spans="1:7" ht="15" customHeight="1" x14ac:dyDescent="0.25">
      <c r="A5" s="156" t="s">
        <v>351</v>
      </c>
      <c r="C5" s="196">
        <v>1849.73</v>
      </c>
    </row>
    <row r="7" spans="1:7" ht="15" customHeight="1" x14ac:dyDescent="0.25">
      <c r="A7" s="156" t="s">
        <v>90</v>
      </c>
      <c r="D7" s="156" t="s">
        <v>177</v>
      </c>
      <c r="E7" s="156" t="s">
        <v>183</v>
      </c>
      <c r="F7" s="156" t="s">
        <v>184</v>
      </c>
    </row>
    <row r="8" spans="1:7" ht="15" customHeight="1" x14ac:dyDescent="0.25">
      <c r="A8" s="197">
        <v>45170</v>
      </c>
      <c r="B8" s="156">
        <f t="shared" ref="B8:B39" si="0">IF(E8&lt;0,0,1)</f>
        <v>1</v>
      </c>
      <c r="C8" s="156" t="str">
        <f t="shared" ref="C8:C39" si="1">IF(E8&lt;0,"debit","credit")</f>
        <v>credit</v>
      </c>
      <c r="D8" s="156" t="s">
        <v>409</v>
      </c>
      <c r="F8" s="156">
        <v>1248.8499999999999</v>
      </c>
      <c r="G8" s="156">
        <f t="shared" ref="G8:G38" si="2">IFERROR(VLOOKUP($B$8,B8:E8,4,FALSE),0)</f>
        <v>0</v>
      </c>
    </row>
    <row r="9" spans="1:7" ht="15" customHeight="1" x14ac:dyDescent="0.25">
      <c r="A9" s="197">
        <v>45170</v>
      </c>
      <c r="B9" s="156">
        <f t="shared" si="0"/>
        <v>1</v>
      </c>
      <c r="C9" s="156" t="str">
        <f t="shared" si="1"/>
        <v>credit</v>
      </c>
      <c r="D9" s="156" t="s">
        <v>407</v>
      </c>
      <c r="E9" s="196">
        <v>1503.21</v>
      </c>
      <c r="F9" s="156">
        <v>1248.8499999999999</v>
      </c>
      <c r="G9" s="156">
        <f t="shared" si="2"/>
        <v>1503.21</v>
      </c>
    </row>
    <row r="10" spans="1:7" ht="15" customHeight="1" x14ac:dyDescent="0.25">
      <c r="A10" s="197">
        <v>45174</v>
      </c>
      <c r="B10" s="156">
        <f t="shared" si="0"/>
        <v>0</v>
      </c>
      <c r="C10" s="156" t="str">
        <f t="shared" si="1"/>
        <v>debit</v>
      </c>
      <c r="D10" s="156" t="s">
        <v>410</v>
      </c>
      <c r="E10" s="156">
        <v>-360</v>
      </c>
      <c r="F10" s="156">
        <v>1248.8499999999999</v>
      </c>
      <c r="G10" s="156">
        <f t="shared" si="2"/>
        <v>0</v>
      </c>
    </row>
    <row r="11" spans="1:7" ht="15" customHeight="1" x14ac:dyDescent="0.25">
      <c r="A11" s="197">
        <v>45174</v>
      </c>
      <c r="B11" s="156">
        <f t="shared" si="0"/>
        <v>0</v>
      </c>
      <c r="C11" s="156" t="str">
        <f t="shared" si="1"/>
        <v>debit</v>
      </c>
      <c r="D11" s="156" t="s">
        <v>411</v>
      </c>
      <c r="E11" s="156">
        <v>-500</v>
      </c>
      <c r="F11" s="156">
        <v>1248.8499999999999</v>
      </c>
      <c r="G11" s="156">
        <f t="shared" si="2"/>
        <v>0</v>
      </c>
    </row>
    <row r="12" spans="1:7" ht="15" customHeight="1" x14ac:dyDescent="0.25">
      <c r="A12" s="197">
        <v>45174</v>
      </c>
      <c r="B12" s="156">
        <f t="shared" si="0"/>
        <v>0</v>
      </c>
      <c r="C12" s="156" t="str">
        <f t="shared" si="1"/>
        <v>debit</v>
      </c>
      <c r="D12" s="156" t="s">
        <v>203</v>
      </c>
      <c r="E12" s="156">
        <v>-25</v>
      </c>
      <c r="F12" s="156">
        <v>1248.8499999999999</v>
      </c>
      <c r="G12" s="156">
        <f t="shared" si="2"/>
        <v>0</v>
      </c>
    </row>
    <row r="13" spans="1:7" ht="15" customHeight="1" x14ac:dyDescent="0.25">
      <c r="A13" s="197">
        <v>45174</v>
      </c>
      <c r="B13" s="156">
        <f t="shared" si="0"/>
        <v>0</v>
      </c>
      <c r="C13" s="156" t="str">
        <f t="shared" si="1"/>
        <v>debit</v>
      </c>
      <c r="D13" s="156" t="s">
        <v>202</v>
      </c>
      <c r="E13" s="156">
        <v>-7</v>
      </c>
      <c r="F13" s="156">
        <v>1248.8499999999999</v>
      </c>
      <c r="G13" s="156">
        <f t="shared" si="2"/>
        <v>0</v>
      </c>
    </row>
    <row r="14" spans="1:7" ht="15" customHeight="1" x14ac:dyDescent="0.25">
      <c r="A14" s="197">
        <v>45175</v>
      </c>
      <c r="B14" s="156">
        <f t="shared" si="0"/>
        <v>1</v>
      </c>
      <c r="C14" s="156" t="str">
        <f t="shared" si="1"/>
        <v>credit</v>
      </c>
      <c r="D14" s="156" t="s">
        <v>412</v>
      </c>
      <c r="E14" s="196">
        <v>1886</v>
      </c>
      <c r="F14" s="156">
        <v>1248.8499999999999</v>
      </c>
      <c r="G14" s="156">
        <f t="shared" si="2"/>
        <v>1886</v>
      </c>
    </row>
    <row r="15" spans="1:7" ht="15" customHeight="1" x14ac:dyDescent="0.25">
      <c r="A15" s="197">
        <v>45175</v>
      </c>
      <c r="B15" s="156">
        <f t="shared" si="0"/>
        <v>0</v>
      </c>
      <c r="C15" s="156" t="str">
        <f t="shared" si="1"/>
        <v>debit</v>
      </c>
      <c r="D15" s="156" t="s">
        <v>413</v>
      </c>
      <c r="E15" s="196">
        <v>-1700</v>
      </c>
      <c r="F15" s="156">
        <v>1248.8499999999999</v>
      </c>
      <c r="G15" s="156">
        <f t="shared" si="2"/>
        <v>0</v>
      </c>
    </row>
    <row r="16" spans="1:7" ht="15" customHeight="1" x14ac:dyDescent="0.25">
      <c r="A16" s="197">
        <v>45175</v>
      </c>
      <c r="B16" s="156">
        <f t="shared" si="0"/>
        <v>0</v>
      </c>
      <c r="C16" s="156" t="str">
        <f t="shared" si="1"/>
        <v>debit</v>
      </c>
      <c r="D16" s="156" t="s">
        <v>204</v>
      </c>
      <c r="E16" s="156">
        <v>-98</v>
      </c>
      <c r="F16" s="156">
        <v>1248.8499999999999</v>
      </c>
      <c r="G16" s="156">
        <f t="shared" si="2"/>
        <v>0</v>
      </c>
    </row>
    <row r="17" spans="1:7" ht="15" customHeight="1" x14ac:dyDescent="0.25">
      <c r="A17" s="197">
        <v>45175</v>
      </c>
      <c r="B17" s="156">
        <f t="shared" si="0"/>
        <v>0</v>
      </c>
      <c r="C17" s="156" t="str">
        <f t="shared" si="1"/>
        <v>debit</v>
      </c>
      <c r="D17" s="156" t="s">
        <v>362</v>
      </c>
      <c r="E17" s="156">
        <v>-30</v>
      </c>
      <c r="F17" s="156">
        <v>1248.8499999999999</v>
      </c>
      <c r="G17" s="156">
        <f t="shared" si="2"/>
        <v>0</v>
      </c>
    </row>
    <row r="18" spans="1:7" ht="15" customHeight="1" x14ac:dyDescent="0.25">
      <c r="A18" s="197">
        <v>45175</v>
      </c>
      <c r="B18" s="156">
        <f t="shared" si="0"/>
        <v>0</v>
      </c>
      <c r="C18" s="156" t="str">
        <f t="shared" si="1"/>
        <v>debit</v>
      </c>
      <c r="D18" s="156" t="s">
        <v>362</v>
      </c>
      <c r="E18" s="156">
        <v>-17</v>
      </c>
      <c r="F18" s="156">
        <v>1248.8499999999999</v>
      </c>
      <c r="G18" s="156">
        <f t="shared" si="2"/>
        <v>0</v>
      </c>
    </row>
    <row r="19" spans="1:7" ht="15" customHeight="1" x14ac:dyDescent="0.25">
      <c r="A19" s="197">
        <v>45176</v>
      </c>
      <c r="B19" s="156">
        <f t="shared" si="0"/>
        <v>1</v>
      </c>
      <c r="C19" s="156" t="str">
        <f t="shared" si="1"/>
        <v>credit</v>
      </c>
      <c r="D19" s="156" t="s">
        <v>414</v>
      </c>
      <c r="E19" s="156">
        <v>200</v>
      </c>
      <c r="F19" s="156">
        <v>1248.8499999999999</v>
      </c>
      <c r="G19" s="156">
        <f t="shared" si="2"/>
        <v>200</v>
      </c>
    </row>
    <row r="20" spans="1:7" ht="15" customHeight="1" x14ac:dyDescent="0.25">
      <c r="A20" s="197">
        <v>45176</v>
      </c>
      <c r="B20" s="156">
        <f t="shared" si="0"/>
        <v>0</v>
      </c>
      <c r="C20" s="156" t="str">
        <f t="shared" si="1"/>
        <v>debit</v>
      </c>
      <c r="D20" s="156" t="s">
        <v>415</v>
      </c>
      <c r="E20" s="156">
        <v>-200</v>
      </c>
      <c r="F20" s="156">
        <v>1248.8499999999999</v>
      </c>
      <c r="G20" s="156">
        <f t="shared" si="2"/>
        <v>0</v>
      </c>
    </row>
    <row r="21" spans="1:7" ht="15" customHeight="1" x14ac:dyDescent="0.25">
      <c r="A21" s="197">
        <v>45176</v>
      </c>
      <c r="B21" s="156">
        <f t="shared" si="0"/>
        <v>0</v>
      </c>
      <c r="C21" s="156" t="str">
        <f t="shared" si="1"/>
        <v>debit</v>
      </c>
      <c r="D21" s="156" t="s">
        <v>202</v>
      </c>
      <c r="E21" s="156">
        <v>-400</v>
      </c>
      <c r="F21" s="156">
        <v>1248.8499999999999</v>
      </c>
      <c r="G21" s="156">
        <f t="shared" si="2"/>
        <v>0</v>
      </c>
    </row>
    <row r="22" spans="1:7" ht="15" customHeight="1" x14ac:dyDescent="0.25">
      <c r="A22" s="197">
        <v>45180</v>
      </c>
      <c r="B22" s="156">
        <f t="shared" si="0"/>
        <v>1</v>
      </c>
      <c r="C22" s="156" t="str">
        <f t="shared" si="1"/>
        <v>credit</v>
      </c>
      <c r="D22" s="156" t="s">
        <v>416</v>
      </c>
      <c r="E22" s="156">
        <v>608</v>
      </c>
      <c r="F22" s="156">
        <v>1248.8499999999999</v>
      </c>
      <c r="G22" s="156">
        <f t="shared" si="2"/>
        <v>608</v>
      </c>
    </row>
    <row r="23" spans="1:7" ht="15" customHeight="1" x14ac:dyDescent="0.25">
      <c r="A23" s="197">
        <v>45180</v>
      </c>
      <c r="B23" s="156">
        <f t="shared" si="0"/>
        <v>1</v>
      </c>
      <c r="C23" s="156" t="str">
        <f t="shared" si="1"/>
        <v>credit</v>
      </c>
      <c r="D23" s="156" t="s">
        <v>366</v>
      </c>
      <c r="E23" s="156">
        <v>64.64</v>
      </c>
      <c r="F23" s="156">
        <v>1248.8499999999999</v>
      </c>
      <c r="G23" s="156">
        <f t="shared" si="2"/>
        <v>64.64</v>
      </c>
    </row>
    <row r="24" spans="1:7" ht="15" customHeight="1" x14ac:dyDescent="0.25">
      <c r="A24" s="197">
        <v>45181</v>
      </c>
      <c r="B24" s="156">
        <f t="shared" si="0"/>
        <v>0</v>
      </c>
      <c r="C24" s="156" t="str">
        <f t="shared" si="1"/>
        <v>debit</v>
      </c>
      <c r="D24" s="156" t="s">
        <v>202</v>
      </c>
      <c r="E24" s="156">
        <v>-600</v>
      </c>
      <c r="F24" s="156">
        <v>1248.8499999999999</v>
      </c>
      <c r="G24" s="156">
        <f t="shared" si="2"/>
        <v>0</v>
      </c>
    </row>
    <row r="25" spans="1:7" ht="15" customHeight="1" x14ac:dyDescent="0.25">
      <c r="A25" s="197">
        <v>45183</v>
      </c>
      <c r="B25" s="156">
        <f t="shared" si="0"/>
        <v>1</v>
      </c>
      <c r="C25" s="156" t="str">
        <f t="shared" si="1"/>
        <v>credit</v>
      </c>
      <c r="D25" s="156" t="s">
        <v>417</v>
      </c>
      <c r="E25" s="196">
        <v>5895</v>
      </c>
      <c r="F25" s="156">
        <v>1248.8499999999999</v>
      </c>
      <c r="G25" s="156">
        <f t="shared" si="2"/>
        <v>5895</v>
      </c>
    </row>
    <row r="26" spans="1:7" ht="15" customHeight="1" x14ac:dyDescent="0.25">
      <c r="A26" s="197">
        <v>45183</v>
      </c>
      <c r="B26" s="156">
        <f t="shared" si="0"/>
        <v>1</v>
      </c>
      <c r="C26" s="156" t="str">
        <f t="shared" si="1"/>
        <v>credit</v>
      </c>
      <c r="D26" s="156" t="s">
        <v>418</v>
      </c>
      <c r="E26" s="196">
        <v>3806</v>
      </c>
      <c r="F26" s="156">
        <v>1248.8499999999999</v>
      </c>
      <c r="G26" s="156">
        <f t="shared" si="2"/>
        <v>3806</v>
      </c>
    </row>
    <row r="27" spans="1:7" ht="15" customHeight="1" x14ac:dyDescent="0.25">
      <c r="A27" s="197">
        <v>45183</v>
      </c>
      <c r="B27" s="156">
        <f t="shared" si="0"/>
        <v>0</v>
      </c>
      <c r="C27" s="156" t="str">
        <f t="shared" si="1"/>
        <v>debit</v>
      </c>
      <c r="D27" s="156" t="s">
        <v>419</v>
      </c>
      <c r="E27" s="196">
        <v>-3000</v>
      </c>
      <c r="F27" s="156">
        <v>1248.8499999999999</v>
      </c>
      <c r="G27" s="156">
        <f t="shared" si="2"/>
        <v>0</v>
      </c>
    </row>
    <row r="28" spans="1:7" ht="15" customHeight="1" x14ac:dyDescent="0.25">
      <c r="A28" s="197">
        <v>45183</v>
      </c>
      <c r="B28" s="156">
        <f t="shared" si="0"/>
        <v>0</v>
      </c>
      <c r="C28" s="156" t="str">
        <f t="shared" si="1"/>
        <v>debit</v>
      </c>
      <c r="D28" s="156" t="s">
        <v>420</v>
      </c>
      <c r="E28" s="156">
        <v>-500</v>
      </c>
      <c r="F28" s="156">
        <v>1248.8499999999999</v>
      </c>
      <c r="G28" s="156">
        <f t="shared" si="2"/>
        <v>0</v>
      </c>
    </row>
    <row r="29" spans="1:7" ht="15" customHeight="1" x14ac:dyDescent="0.25">
      <c r="A29" s="197">
        <v>45184</v>
      </c>
      <c r="B29" s="156">
        <f t="shared" si="0"/>
        <v>1</v>
      </c>
      <c r="C29" s="156" t="str">
        <f t="shared" si="1"/>
        <v>credit</v>
      </c>
      <c r="D29" s="156" t="s">
        <v>421</v>
      </c>
      <c r="E29" s="156">
        <v>959.02</v>
      </c>
      <c r="F29" s="156">
        <v>1248.8499999999999</v>
      </c>
      <c r="G29" s="156">
        <f t="shared" si="2"/>
        <v>959.02</v>
      </c>
    </row>
    <row r="30" spans="1:7" ht="15" customHeight="1" x14ac:dyDescent="0.25">
      <c r="A30" s="197">
        <v>45184</v>
      </c>
      <c r="B30" s="156">
        <f t="shared" si="0"/>
        <v>0</v>
      </c>
      <c r="C30" s="156" t="str">
        <f t="shared" si="1"/>
        <v>debit</v>
      </c>
      <c r="D30" s="156" t="s">
        <v>422</v>
      </c>
      <c r="E30" s="196">
        <v>-3500</v>
      </c>
      <c r="F30" s="156">
        <v>1248.8499999999999</v>
      </c>
      <c r="G30" s="156">
        <f t="shared" si="2"/>
        <v>0</v>
      </c>
    </row>
    <row r="31" spans="1:7" ht="15" customHeight="1" x14ac:dyDescent="0.25">
      <c r="A31" s="197">
        <v>45187</v>
      </c>
      <c r="B31" s="156">
        <f t="shared" si="0"/>
        <v>0</v>
      </c>
      <c r="C31" s="156" t="str">
        <f t="shared" si="1"/>
        <v>debit</v>
      </c>
      <c r="D31" s="156" t="s">
        <v>423</v>
      </c>
      <c r="E31" s="196">
        <v>-2000</v>
      </c>
      <c r="F31" s="156">
        <v>1248.8499999999999</v>
      </c>
      <c r="G31" s="156">
        <f t="shared" si="2"/>
        <v>0</v>
      </c>
    </row>
    <row r="32" spans="1:7" ht="15" customHeight="1" x14ac:dyDescent="0.25">
      <c r="A32" s="197">
        <v>45187</v>
      </c>
      <c r="B32" s="156">
        <f t="shared" si="0"/>
        <v>0</v>
      </c>
      <c r="C32" s="156" t="str">
        <f t="shared" si="1"/>
        <v>debit</v>
      </c>
      <c r="D32" s="156" t="s">
        <v>202</v>
      </c>
      <c r="E32" s="156">
        <v>-7</v>
      </c>
      <c r="F32" s="156">
        <v>1248.8499999999999</v>
      </c>
      <c r="G32" s="156">
        <f t="shared" si="2"/>
        <v>0</v>
      </c>
    </row>
    <row r="33" spans="1:7" ht="15" customHeight="1" x14ac:dyDescent="0.25">
      <c r="A33" s="197">
        <v>45188</v>
      </c>
      <c r="B33" s="156">
        <f t="shared" si="0"/>
        <v>0</v>
      </c>
      <c r="C33" s="156" t="str">
        <f t="shared" si="1"/>
        <v>debit</v>
      </c>
      <c r="D33" s="156" t="s">
        <v>424</v>
      </c>
      <c r="E33" s="156">
        <v>-400</v>
      </c>
      <c r="F33" s="156">
        <v>1248.8499999999999</v>
      </c>
      <c r="G33" s="156">
        <f t="shared" si="2"/>
        <v>0</v>
      </c>
    </row>
    <row r="34" spans="1:7" ht="15" customHeight="1" x14ac:dyDescent="0.25">
      <c r="A34" s="197">
        <v>45189</v>
      </c>
      <c r="B34" s="156">
        <f t="shared" si="0"/>
        <v>1</v>
      </c>
      <c r="C34" s="156" t="str">
        <f t="shared" si="1"/>
        <v>credit</v>
      </c>
      <c r="D34" s="156" t="s">
        <v>425</v>
      </c>
      <c r="E34" s="196">
        <v>1500</v>
      </c>
      <c r="F34" s="156">
        <v>1248.8499999999999</v>
      </c>
      <c r="G34" s="156">
        <f t="shared" si="2"/>
        <v>1500</v>
      </c>
    </row>
    <row r="35" spans="1:7" ht="15" customHeight="1" x14ac:dyDescent="0.25">
      <c r="A35" s="197">
        <v>45190</v>
      </c>
      <c r="B35" s="156">
        <f t="shared" si="0"/>
        <v>0</v>
      </c>
      <c r="C35" s="156" t="str">
        <f t="shared" si="1"/>
        <v>debit</v>
      </c>
      <c r="D35" s="156" t="s">
        <v>426</v>
      </c>
      <c r="E35" s="196">
        <v>-1500</v>
      </c>
      <c r="F35" s="156">
        <v>1248.8499999999999</v>
      </c>
      <c r="G35" s="156">
        <f t="shared" si="2"/>
        <v>0</v>
      </c>
    </row>
    <row r="36" spans="1:7" ht="15" customHeight="1" x14ac:dyDescent="0.25">
      <c r="A36" s="197">
        <v>45190</v>
      </c>
      <c r="B36" s="156">
        <f t="shared" si="0"/>
        <v>0</v>
      </c>
      <c r="C36" s="156" t="str">
        <f t="shared" si="1"/>
        <v>debit</v>
      </c>
      <c r="D36" s="156" t="s">
        <v>426</v>
      </c>
      <c r="E36" s="196">
        <v>-1000</v>
      </c>
      <c r="F36" s="156">
        <v>1248.8499999999999</v>
      </c>
      <c r="G36" s="156">
        <f t="shared" si="2"/>
        <v>0</v>
      </c>
    </row>
    <row r="37" spans="1:7" ht="15" customHeight="1" x14ac:dyDescent="0.25">
      <c r="A37" s="197">
        <v>45194</v>
      </c>
      <c r="B37" s="156">
        <f t="shared" si="0"/>
        <v>0</v>
      </c>
      <c r="C37" s="156" t="str">
        <f t="shared" si="1"/>
        <v>debit</v>
      </c>
      <c r="D37" s="156" t="s">
        <v>427</v>
      </c>
      <c r="E37" s="156">
        <v>-60</v>
      </c>
      <c r="F37" s="156">
        <v>1248.8499999999999</v>
      </c>
      <c r="G37" s="156">
        <f t="shared" si="2"/>
        <v>0</v>
      </c>
    </row>
    <row r="38" spans="1:7" ht="15" customHeight="1" x14ac:dyDescent="0.25">
      <c r="A38" s="197">
        <v>45196</v>
      </c>
      <c r="B38" s="156">
        <f t="shared" si="0"/>
        <v>1</v>
      </c>
      <c r="C38" s="156" t="str">
        <f t="shared" si="1"/>
        <v>credit</v>
      </c>
      <c r="D38" s="156" t="s">
        <v>428</v>
      </c>
      <c r="E38" s="156">
        <v>3</v>
      </c>
      <c r="F38" s="156">
        <v>1248.8499999999999</v>
      </c>
      <c r="G38" s="156">
        <f t="shared" si="2"/>
        <v>3</v>
      </c>
    </row>
    <row r="39" spans="1:7" ht="15" customHeight="1" x14ac:dyDescent="0.25">
      <c r="A39" s="197">
        <v>45198</v>
      </c>
      <c r="B39" s="156">
        <f t="shared" si="0"/>
        <v>1</v>
      </c>
      <c r="C39" s="156" t="str">
        <f t="shared" si="1"/>
        <v>credit</v>
      </c>
      <c r="D39" s="156" t="s">
        <v>421</v>
      </c>
      <c r="E39" s="156">
        <v>549.74</v>
      </c>
    </row>
    <row r="40" spans="1:7" ht="15.75" customHeight="1" x14ac:dyDescent="0.25"/>
    <row r="41" spans="1:7" ht="15.75" customHeight="1" x14ac:dyDescent="0.25"/>
    <row r="42" spans="1:7" ht="15.75" customHeight="1" x14ac:dyDescent="0.25"/>
    <row r="43" spans="1:7" ht="15" customHeight="1" x14ac:dyDescent="0.25">
      <c r="E43" s="156">
        <v>549.74</v>
      </c>
    </row>
    <row r="44" spans="1:7" ht="15" customHeight="1" x14ac:dyDescent="0.25">
      <c r="E44" s="156">
        <v>64.64</v>
      </c>
    </row>
    <row r="45" spans="1:7" ht="15" customHeight="1" x14ac:dyDescent="0.25">
      <c r="E45" s="156">
        <v>959.02</v>
      </c>
    </row>
    <row r="46" spans="1:7" ht="15" customHeight="1" x14ac:dyDescent="0.25">
      <c r="E46" s="156">
        <f>SUM(E42:E45)</f>
        <v>1573.4</v>
      </c>
    </row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Z39" xr:uid="{00000000-0009-0000-0000-00000B000000}"/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3" width="12.42578125" customWidth="1"/>
    <col min="4" max="4" width="69.5703125" customWidth="1"/>
    <col min="5" max="5" width="8.85546875" customWidth="1"/>
    <col min="6" max="7" width="8.7109375" customWidth="1"/>
  </cols>
  <sheetData>
    <row r="1" spans="1:7" ht="14.25" customHeight="1" x14ac:dyDescent="0.25">
      <c r="A1" s="194" t="s">
        <v>177</v>
      </c>
      <c r="E1" s="194" t="s">
        <v>178</v>
      </c>
    </row>
    <row r="2" spans="1:7" ht="14.25" customHeight="1" x14ac:dyDescent="0.25">
      <c r="A2" s="194" t="s">
        <v>429</v>
      </c>
      <c r="B2" s="196"/>
      <c r="C2" s="196"/>
      <c r="E2" s="196">
        <v>2177.31</v>
      </c>
    </row>
    <row r="3" spans="1:7" ht="14.25" customHeight="1" x14ac:dyDescent="0.25">
      <c r="A3" s="194" t="s">
        <v>180</v>
      </c>
      <c r="B3" s="196"/>
      <c r="C3" s="196"/>
      <c r="E3" s="196">
        <v>7951.1</v>
      </c>
    </row>
    <row r="4" spans="1:7" ht="14.25" customHeight="1" x14ac:dyDescent="0.25">
      <c r="A4" s="194" t="s">
        <v>181</v>
      </c>
      <c r="B4" s="196"/>
      <c r="C4" s="196"/>
      <c r="E4" s="196">
        <v>-7862.69</v>
      </c>
    </row>
    <row r="5" spans="1:7" ht="14.25" customHeight="1" x14ac:dyDescent="0.25">
      <c r="A5" s="194" t="s">
        <v>430</v>
      </c>
      <c r="B5" s="196"/>
      <c r="C5" s="196"/>
      <c r="E5" s="196">
        <v>2265.7199999999998</v>
      </c>
    </row>
    <row r="6" spans="1:7" ht="14.25" customHeight="1" x14ac:dyDescent="0.25"/>
    <row r="7" spans="1:7" ht="14.25" customHeight="1" x14ac:dyDescent="0.25">
      <c r="A7" s="194" t="s">
        <v>90</v>
      </c>
      <c r="D7" s="194" t="s">
        <v>177</v>
      </c>
      <c r="E7" s="194" t="s">
        <v>183</v>
      </c>
      <c r="F7" s="194" t="s">
        <v>184</v>
      </c>
    </row>
    <row r="8" spans="1:7" ht="14.25" hidden="1" customHeight="1" x14ac:dyDescent="0.25">
      <c r="A8" s="197">
        <v>45198</v>
      </c>
      <c r="B8" s="194">
        <v>1</v>
      </c>
      <c r="C8" s="194" t="str">
        <f t="shared" ref="C8:C27" si="0">IF(E8&lt;0,"debit","credit")</f>
        <v>credit</v>
      </c>
      <c r="D8" s="194" t="s">
        <v>431</v>
      </c>
      <c r="F8" s="196">
        <v>867.39</v>
      </c>
    </row>
    <row r="9" spans="1:7" ht="14.25" customHeight="1" x14ac:dyDescent="0.25">
      <c r="A9" s="197">
        <v>45198</v>
      </c>
      <c r="B9" s="194">
        <f t="shared" ref="B9:B27" si="1">IF(E9&lt;0,0,1)</f>
        <v>1</v>
      </c>
      <c r="C9" s="194" t="str">
        <f t="shared" si="0"/>
        <v>credit</v>
      </c>
      <c r="D9" s="194" t="s">
        <v>432</v>
      </c>
      <c r="E9" s="194">
        <v>549.74</v>
      </c>
      <c r="F9" s="196">
        <v>1417.13</v>
      </c>
      <c r="G9" s="194">
        <f t="shared" ref="G9:G27" si="2">IFERROR(VLOOKUP($B$8,B9:E9,4,FALSE),0)</f>
        <v>549.74</v>
      </c>
    </row>
    <row r="10" spans="1:7" ht="14.25" hidden="1" customHeight="1" x14ac:dyDescent="0.25">
      <c r="A10" s="197">
        <v>45198</v>
      </c>
      <c r="B10" s="194">
        <f t="shared" si="1"/>
        <v>0</v>
      </c>
      <c r="C10" s="194" t="str">
        <f t="shared" si="0"/>
        <v>debit</v>
      </c>
      <c r="D10" s="194" t="s">
        <v>433</v>
      </c>
      <c r="E10" s="194">
        <v>-385</v>
      </c>
      <c r="F10" s="196">
        <v>1032.1300000000001</v>
      </c>
      <c r="G10" s="194">
        <f t="shared" si="2"/>
        <v>0</v>
      </c>
    </row>
    <row r="11" spans="1:7" ht="14.25" hidden="1" customHeight="1" x14ac:dyDescent="0.25">
      <c r="A11" s="197">
        <v>45198</v>
      </c>
      <c r="B11" s="194">
        <f t="shared" si="1"/>
        <v>0</v>
      </c>
      <c r="C11" s="194" t="str">
        <f t="shared" si="0"/>
        <v>debit</v>
      </c>
      <c r="D11" s="194" t="s">
        <v>434</v>
      </c>
      <c r="E11" s="194">
        <v>-528.04</v>
      </c>
      <c r="F11" s="196">
        <v>504.09</v>
      </c>
      <c r="G11" s="194">
        <f t="shared" si="2"/>
        <v>0</v>
      </c>
    </row>
    <row r="12" spans="1:7" ht="14.25" hidden="1" customHeight="1" x14ac:dyDescent="0.25">
      <c r="A12" s="197">
        <v>45198</v>
      </c>
      <c r="B12" s="194">
        <f t="shared" si="1"/>
        <v>0</v>
      </c>
      <c r="C12" s="194" t="str">
        <f t="shared" si="0"/>
        <v>debit</v>
      </c>
      <c r="D12" s="194" t="s">
        <v>435</v>
      </c>
      <c r="E12" s="196">
        <v>-200</v>
      </c>
      <c r="F12" s="196">
        <v>304.08999999999997</v>
      </c>
      <c r="G12" s="194">
        <f t="shared" si="2"/>
        <v>0</v>
      </c>
    </row>
    <row r="13" spans="1:7" ht="14.25" hidden="1" customHeight="1" x14ac:dyDescent="0.25">
      <c r="A13" s="197">
        <v>45201</v>
      </c>
      <c r="B13" s="194">
        <f t="shared" si="1"/>
        <v>0</v>
      </c>
      <c r="C13" s="194" t="str">
        <f t="shared" si="0"/>
        <v>debit</v>
      </c>
      <c r="D13" s="194" t="s">
        <v>436</v>
      </c>
      <c r="E13" s="194">
        <v>-83</v>
      </c>
      <c r="F13" s="196">
        <v>221.09</v>
      </c>
      <c r="G13" s="194">
        <f t="shared" si="2"/>
        <v>0</v>
      </c>
    </row>
    <row r="14" spans="1:7" ht="14.25" hidden="1" customHeight="1" x14ac:dyDescent="0.25">
      <c r="A14" s="197">
        <v>45202</v>
      </c>
      <c r="B14" s="194">
        <f t="shared" si="1"/>
        <v>0</v>
      </c>
      <c r="C14" s="194" t="str">
        <f t="shared" si="0"/>
        <v>debit</v>
      </c>
      <c r="D14" s="194" t="s">
        <v>203</v>
      </c>
      <c r="E14" s="194">
        <v>-25</v>
      </c>
      <c r="F14" s="196">
        <v>196.09</v>
      </c>
      <c r="G14" s="194">
        <f t="shared" si="2"/>
        <v>0</v>
      </c>
    </row>
    <row r="15" spans="1:7" ht="14.25" hidden="1" customHeight="1" x14ac:dyDescent="0.25">
      <c r="A15" s="197">
        <v>45202</v>
      </c>
      <c r="B15" s="194">
        <f t="shared" si="1"/>
        <v>0</v>
      </c>
      <c r="C15" s="194" t="str">
        <f t="shared" si="0"/>
        <v>debit</v>
      </c>
      <c r="D15" s="194" t="s">
        <v>202</v>
      </c>
      <c r="E15" s="194">
        <v>-7</v>
      </c>
      <c r="F15" s="196">
        <v>189.09</v>
      </c>
      <c r="G15" s="194">
        <f t="shared" si="2"/>
        <v>0</v>
      </c>
    </row>
    <row r="16" spans="1:7" ht="14.25" hidden="1" customHeight="1" x14ac:dyDescent="0.25">
      <c r="A16" s="197">
        <v>45205</v>
      </c>
      <c r="B16" s="194">
        <f t="shared" si="1"/>
        <v>1</v>
      </c>
      <c r="C16" s="194" t="str">
        <f t="shared" si="0"/>
        <v>credit</v>
      </c>
      <c r="D16" s="194" t="s">
        <v>437</v>
      </c>
      <c r="E16" s="194">
        <v>177</v>
      </c>
      <c r="F16" s="196">
        <v>366.09</v>
      </c>
      <c r="G16" s="194">
        <f t="shared" si="2"/>
        <v>177</v>
      </c>
    </row>
    <row r="17" spans="1:7" ht="14.25" hidden="1" customHeight="1" x14ac:dyDescent="0.25">
      <c r="A17" s="197">
        <v>45205</v>
      </c>
      <c r="B17" s="194">
        <f t="shared" si="1"/>
        <v>0</v>
      </c>
      <c r="C17" s="194" t="str">
        <f t="shared" si="0"/>
        <v>debit</v>
      </c>
      <c r="D17" s="194" t="s">
        <v>204</v>
      </c>
      <c r="E17" s="194">
        <v>-99</v>
      </c>
      <c r="F17" s="196">
        <v>267.08999999999997</v>
      </c>
      <c r="G17" s="194">
        <f t="shared" si="2"/>
        <v>0</v>
      </c>
    </row>
    <row r="18" spans="1:7" ht="14.25" hidden="1" customHeight="1" x14ac:dyDescent="0.25">
      <c r="A18" s="197">
        <v>45205</v>
      </c>
      <c r="B18" s="194">
        <f t="shared" si="1"/>
        <v>0</v>
      </c>
      <c r="C18" s="194" t="str">
        <f t="shared" si="0"/>
        <v>debit</v>
      </c>
      <c r="D18" s="194" t="s">
        <v>362</v>
      </c>
      <c r="E18" s="194">
        <v>-30</v>
      </c>
      <c r="F18" s="196">
        <v>237.09</v>
      </c>
      <c r="G18" s="194">
        <f t="shared" si="2"/>
        <v>0</v>
      </c>
    </row>
    <row r="19" spans="1:7" ht="14.25" hidden="1" customHeight="1" x14ac:dyDescent="0.25">
      <c r="A19" s="197">
        <v>45205</v>
      </c>
      <c r="B19" s="194">
        <f t="shared" si="1"/>
        <v>0</v>
      </c>
      <c r="C19" s="194" t="str">
        <f t="shared" si="0"/>
        <v>debit</v>
      </c>
      <c r="D19" s="194" t="s">
        <v>362</v>
      </c>
      <c r="E19" s="194">
        <v>-17</v>
      </c>
      <c r="F19" s="196">
        <v>220.09</v>
      </c>
      <c r="G19" s="194">
        <f t="shared" si="2"/>
        <v>0</v>
      </c>
    </row>
    <row r="20" spans="1:7" ht="14.25" hidden="1" customHeight="1" x14ac:dyDescent="0.25">
      <c r="A20" s="197">
        <v>45209</v>
      </c>
      <c r="B20" s="194">
        <f t="shared" si="1"/>
        <v>1</v>
      </c>
      <c r="C20" s="194" t="str">
        <f t="shared" si="0"/>
        <v>credit</v>
      </c>
      <c r="D20" s="194" t="s">
        <v>438</v>
      </c>
      <c r="E20" s="194">
        <v>450</v>
      </c>
      <c r="F20" s="196">
        <v>670.09</v>
      </c>
      <c r="G20" s="194">
        <f t="shared" si="2"/>
        <v>450</v>
      </c>
    </row>
    <row r="21" spans="1:7" ht="14.25" hidden="1" customHeight="1" x14ac:dyDescent="0.25">
      <c r="A21" s="197">
        <v>45209</v>
      </c>
      <c r="B21" s="194">
        <f t="shared" si="1"/>
        <v>0</v>
      </c>
      <c r="C21" s="194" t="str">
        <f t="shared" si="0"/>
        <v>debit</v>
      </c>
      <c r="D21" s="194" t="s">
        <v>439</v>
      </c>
      <c r="E21" s="194">
        <v>-120.5</v>
      </c>
      <c r="F21" s="196">
        <v>549.59</v>
      </c>
      <c r="G21" s="194">
        <f t="shared" si="2"/>
        <v>0</v>
      </c>
    </row>
    <row r="22" spans="1:7" ht="14.25" hidden="1" customHeight="1" x14ac:dyDescent="0.25">
      <c r="A22" s="197">
        <v>45209</v>
      </c>
      <c r="B22" s="194">
        <f t="shared" si="1"/>
        <v>0</v>
      </c>
      <c r="C22" s="194" t="str">
        <f t="shared" si="0"/>
        <v>debit</v>
      </c>
      <c r="D22" s="194" t="s">
        <v>440</v>
      </c>
      <c r="E22" s="196">
        <v>-222.22</v>
      </c>
      <c r="F22" s="196">
        <v>327.37</v>
      </c>
      <c r="G22" s="194">
        <f t="shared" si="2"/>
        <v>0</v>
      </c>
    </row>
    <row r="23" spans="1:7" ht="14.25" customHeight="1" x14ac:dyDescent="0.25">
      <c r="A23" s="197">
        <v>45212</v>
      </c>
      <c r="B23" s="194">
        <f t="shared" si="1"/>
        <v>1</v>
      </c>
      <c r="C23" s="194" t="str">
        <f t="shared" si="0"/>
        <v>credit</v>
      </c>
      <c r="D23" s="194" t="s">
        <v>441</v>
      </c>
      <c r="E23" s="194">
        <v>479.74</v>
      </c>
      <c r="F23" s="196">
        <v>807.11</v>
      </c>
      <c r="G23" s="194">
        <f t="shared" si="2"/>
        <v>479.74</v>
      </c>
    </row>
    <row r="24" spans="1:7" ht="14.25" hidden="1" customHeight="1" x14ac:dyDescent="0.25">
      <c r="A24" s="197">
        <v>45215</v>
      </c>
      <c r="B24" s="194">
        <f t="shared" si="1"/>
        <v>1</v>
      </c>
      <c r="C24" s="194" t="str">
        <f t="shared" si="0"/>
        <v>credit</v>
      </c>
      <c r="D24" s="194" t="s">
        <v>442</v>
      </c>
      <c r="E24" s="196">
        <v>1000</v>
      </c>
      <c r="F24" s="196">
        <v>1807.11</v>
      </c>
      <c r="G24" s="194">
        <f t="shared" si="2"/>
        <v>1000</v>
      </c>
    </row>
    <row r="25" spans="1:7" ht="14.25" hidden="1" customHeight="1" x14ac:dyDescent="0.25">
      <c r="A25" s="197">
        <v>45215</v>
      </c>
      <c r="B25" s="194">
        <f t="shared" si="1"/>
        <v>0</v>
      </c>
      <c r="C25" s="194" t="str">
        <f t="shared" si="0"/>
        <v>debit</v>
      </c>
      <c r="D25" s="194" t="s">
        <v>443</v>
      </c>
      <c r="E25" s="196">
        <v>-90</v>
      </c>
      <c r="F25" s="196">
        <v>1717.11</v>
      </c>
      <c r="G25" s="194">
        <f t="shared" si="2"/>
        <v>0</v>
      </c>
    </row>
    <row r="26" spans="1:7" ht="14.25" hidden="1" customHeight="1" x14ac:dyDescent="0.25">
      <c r="A26" s="197">
        <v>45216</v>
      </c>
      <c r="B26" s="194">
        <f t="shared" si="1"/>
        <v>0</v>
      </c>
      <c r="C26" s="194" t="str">
        <f t="shared" si="0"/>
        <v>debit</v>
      </c>
      <c r="D26" s="194" t="s">
        <v>202</v>
      </c>
      <c r="E26" s="194">
        <v>-7</v>
      </c>
      <c r="F26" s="196">
        <v>1710.11</v>
      </c>
      <c r="G26" s="194">
        <f t="shared" si="2"/>
        <v>0</v>
      </c>
    </row>
    <row r="27" spans="1:7" ht="14.25" customHeight="1" x14ac:dyDescent="0.25">
      <c r="A27" s="197">
        <v>45226</v>
      </c>
      <c r="B27" s="194">
        <f t="shared" si="1"/>
        <v>1</v>
      </c>
      <c r="C27" s="194" t="str">
        <f t="shared" si="0"/>
        <v>credit</v>
      </c>
      <c r="D27" s="194" t="s">
        <v>444</v>
      </c>
      <c r="E27" s="196">
        <v>464.95</v>
      </c>
      <c r="F27" s="196">
        <v>2175.06</v>
      </c>
      <c r="G27" s="194">
        <f t="shared" si="2"/>
        <v>464.95</v>
      </c>
    </row>
    <row r="28" spans="1:7" ht="14.25" customHeight="1" x14ac:dyDescent="0.25">
      <c r="A28" s="197"/>
      <c r="B28" s="194"/>
      <c r="C28" s="194"/>
      <c r="D28" s="194"/>
      <c r="E28" s="194"/>
      <c r="F28" s="196"/>
      <c r="G28" s="194"/>
    </row>
    <row r="29" spans="1:7" ht="14.25" customHeight="1" x14ac:dyDescent="0.25">
      <c r="A29" s="197"/>
      <c r="B29" s="194"/>
      <c r="C29" s="194"/>
      <c r="D29" s="194"/>
      <c r="E29" s="194"/>
      <c r="F29" s="196"/>
      <c r="G29" s="194"/>
    </row>
    <row r="30" spans="1:7" ht="14.25" customHeight="1" x14ac:dyDescent="0.25">
      <c r="A30" s="197"/>
      <c r="B30" s="194"/>
      <c r="C30" s="194"/>
      <c r="D30" s="194"/>
      <c r="E30" s="194"/>
      <c r="F30" s="196"/>
      <c r="G30" s="194"/>
    </row>
    <row r="31" spans="1:7" ht="14.25" customHeight="1" x14ac:dyDescent="0.25">
      <c r="A31" s="197"/>
      <c r="B31" s="194"/>
      <c r="C31" s="194"/>
      <c r="D31" s="194"/>
      <c r="E31" s="194"/>
      <c r="F31" s="196"/>
      <c r="G31" s="194"/>
    </row>
    <row r="32" spans="1:7" ht="14.25" customHeight="1" x14ac:dyDescent="0.25">
      <c r="A32" s="197"/>
      <c r="B32" s="194"/>
      <c r="C32" s="194"/>
      <c r="D32" s="194"/>
      <c r="E32" s="194">
        <v>479.74</v>
      </c>
      <c r="F32" s="196"/>
      <c r="G32" s="194"/>
    </row>
    <row r="33" spans="1:7" ht="14.25" customHeight="1" x14ac:dyDescent="0.25">
      <c r="A33" s="197"/>
      <c r="B33" s="194"/>
      <c r="C33" s="194"/>
      <c r="D33" s="194"/>
      <c r="E33" s="194">
        <v>464.95</v>
      </c>
      <c r="F33" s="196"/>
      <c r="G33" s="194"/>
    </row>
    <row r="34" spans="1:7" ht="14.25" customHeight="1" x14ac:dyDescent="0.25">
      <c r="A34" s="197"/>
      <c r="B34" s="194"/>
      <c r="C34" s="194"/>
      <c r="D34" s="194"/>
      <c r="E34" s="194">
        <f>SUM(E32:E33)</f>
        <v>944.69</v>
      </c>
      <c r="F34" s="196"/>
      <c r="G34" s="194"/>
    </row>
    <row r="35" spans="1:7" ht="14.25" customHeight="1" x14ac:dyDescent="0.25">
      <c r="A35" s="197"/>
      <c r="B35" s="194"/>
      <c r="C35" s="194"/>
      <c r="D35" s="194"/>
      <c r="E35" s="194"/>
      <c r="F35" s="196"/>
      <c r="G35" s="194"/>
    </row>
    <row r="36" spans="1:7" ht="14.25" customHeight="1" x14ac:dyDescent="0.25">
      <c r="A36" s="197"/>
      <c r="B36" s="194"/>
      <c r="C36" s="194"/>
      <c r="D36" s="194"/>
      <c r="E36" s="194"/>
      <c r="F36" s="196"/>
      <c r="G36" s="194"/>
    </row>
    <row r="37" spans="1:7" ht="14.25" customHeight="1" x14ac:dyDescent="0.25">
      <c r="A37" s="197"/>
      <c r="B37" s="194"/>
      <c r="C37" s="194"/>
      <c r="D37" s="194"/>
      <c r="E37" s="194"/>
      <c r="F37" s="196"/>
      <c r="G37" s="194"/>
    </row>
    <row r="38" spans="1:7" ht="14.25" customHeight="1" x14ac:dyDescent="0.25">
      <c r="A38" s="197"/>
      <c r="B38" s="194"/>
      <c r="C38" s="194"/>
      <c r="D38" s="194"/>
      <c r="E38" s="194"/>
      <c r="F38" s="196"/>
      <c r="G38" s="194"/>
    </row>
    <row r="39" spans="1:7" ht="14.25" customHeight="1" x14ac:dyDescent="0.25">
      <c r="A39" s="197"/>
      <c r="B39" s="194"/>
      <c r="C39" s="194"/>
      <c r="D39" s="194"/>
      <c r="E39" s="194"/>
      <c r="F39" s="196"/>
      <c r="G39" s="194"/>
    </row>
    <row r="40" spans="1:7" ht="14.25" customHeight="1" x14ac:dyDescent="0.25">
      <c r="A40" s="197"/>
      <c r="B40" s="194"/>
      <c r="C40" s="194"/>
      <c r="D40" s="194"/>
      <c r="E40" s="194"/>
      <c r="F40" s="196"/>
      <c r="G40" s="194"/>
    </row>
    <row r="41" spans="1:7" ht="14.25" customHeight="1" x14ac:dyDescent="0.25">
      <c r="A41" s="197"/>
      <c r="B41" s="194"/>
      <c r="C41" s="194"/>
      <c r="D41" s="194"/>
      <c r="E41" s="194"/>
      <c r="F41" s="196"/>
      <c r="G41" s="194"/>
    </row>
    <row r="42" spans="1:7" ht="14.25" customHeight="1" x14ac:dyDescent="0.25">
      <c r="A42" s="197"/>
      <c r="B42" s="194"/>
      <c r="C42" s="194"/>
      <c r="D42" s="194"/>
      <c r="E42" s="194"/>
      <c r="F42" s="196"/>
      <c r="G42" s="194"/>
    </row>
    <row r="43" spans="1:7" ht="14.25" customHeight="1" x14ac:dyDescent="0.25">
      <c r="A43" s="197"/>
      <c r="B43" s="194"/>
      <c r="C43" s="194"/>
      <c r="D43" s="194"/>
      <c r="E43" s="194"/>
      <c r="F43" s="196"/>
      <c r="G43" s="194"/>
    </row>
    <row r="44" spans="1:7" ht="14.25" customHeight="1" x14ac:dyDescent="0.25">
      <c r="A44" s="197"/>
      <c r="B44" s="194"/>
      <c r="C44" s="194"/>
      <c r="D44" s="194"/>
      <c r="E44" s="194"/>
      <c r="F44" s="196"/>
      <c r="G44" s="194"/>
    </row>
    <row r="45" spans="1:7" ht="14.25" customHeight="1" x14ac:dyDescent="0.25">
      <c r="A45" s="197"/>
      <c r="B45" s="194"/>
      <c r="C45" s="194"/>
      <c r="D45" s="194"/>
      <c r="E45" s="194"/>
      <c r="F45" s="196"/>
      <c r="G45" s="194"/>
    </row>
    <row r="46" spans="1:7" ht="14.25" customHeight="1" x14ac:dyDescent="0.25"/>
    <row r="47" spans="1:7" ht="14.25" customHeight="1" x14ac:dyDescent="0.25"/>
    <row r="48" spans="1:7" ht="14.25" customHeight="1" x14ac:dyDescent="0.25"/>
    <row r="49" spans="5:5" ht="14.25" customHeight="1" x14ac:dyDescent="0.25">
      <c r="E49" s="194">
        <v>9.39</v>
      </c>
    </row>
    <row r="50" spans="5:5" ht="14.25" customHeight="1" x14ac:dyDescent="0.25">
      <c r="E50" s="194">
        <v>73.14</v>
      </c>
    </row>
    <row r="51" spans="5:5" ht="14.25" customHeight="1" x14ac:dyDescent="0.25">
      <c r="E51" s="194">
        <v>324.27</v>
      </c>
    </row>
    <row r="52" spans="5:5" ht="14.25" customHeight="1" x14ac:dyDescent="0.25">
      <c r="E52" s="194">
        <v>254.89</v>
      </c>
    </row>
    <row r="53" spans="5:5" ht="14.25" customHeight="1" x14ac:dyDescent="0.25">
      <c r="E53" s="194">
        <v>306.77</v>
      </c>
    </row>
    <row r="54" spans="5:5" ht="14.25" customHeight="1" x14ac:dyDescent="0.25">
      <c r="E54" s="194">
        <v>163.92</v>
      </c>
    </row>
    <row r="55" spans="5:5" ht="14.25" customHeight="1" x14ac:dyDescent="0.25">
      <c r="E55" s="215">
        <f>SUM(E49:E54)</f>
        <v>1132.3799999999999</v>
      </c>
    </row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45" xr:uid="{00000000-0009-0000-0000-00000C000000}">
    <filterColumn colId="3">
      <filters blank="1">
        <filter val="JOURNEY'S END RE DES:DIRECT DEP ID:XXXXX21824149BM INDN:DIAZ BARRAGAN,DARIO CO ID:XXXXX11101 PPD"/>
        <filter val="JOURNEY'S END RE DES:DIRECT DEP ID:XXXXX2321532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5.140625" customWidth="1"/>
    <col min="3" max="3" width="6.5703125" customWidth="1"/>
    <col min="4" max="4" width="95.28515625" customWidth="1"/>
    <col min="5" max="7" width="8.7109375" customWidth="1"/>
  </cols>
  <sheetData>
    <row r="1" spans="1:7" ht="14.25" customHeight="1" x14ac:dyDescent="0.25">
      <c r="A1" s="156" t="s">
        <v>177</v>
      </c>
      <c r="E1" s="156" t="s">
        <v>178</v>
      </c>
    </row>
    <row r="2" spans="1:7" ht="14.25" customHeight="1" x14ac:dyDescent="0.25">
      <c r="A2" s="156" t="s">
        <v>445</v>
      </c>
      <c r="E2" s="196">
        <v>1710.11</v>
      </c>
    </row>
    <row r="3" spans="1:7" ht="14.25" customHeight="1" x14ac:dyDescent="0.25">
      <c r="A3" s="156" t="s">
        <v>180</v>
      </c>
      <c r="D3" s="196"/>
      <c r="E3" s="196">
        <v>1929.74</v>
      </c>
    </row>
    <row r="4" spans="1:7" ht="14.25" customHeight="1" x14ac:dyDescent="0.25">
      <c r="A4" s="156" t="s">
        <v>181</v>
      </c>
      <c r="D4" s="194"/>
      <c r="E4" s="196">
        <v>-1492.37</v>
      </c>
    </row>
    <row r="5" spans="1:7" ht="14.25" customHeight="1" x14ac:dyDescent="0.25">
      <c r="A5" s="156" t="s">
        <v>446</v>
      </c>
      <c r="D5" s="194"/>
      <c r="E5" s="196">
        <v>2147.48</v>
      </c>
    </row>
    <row r="6" spans="1:7" ht="14.25" customHeight="1" x14ac:dyDescent="0.25">
      <c r="A6" s="197"/>
      <c r="B6" s="194"/>
      <c r="C6" s="194"/>
      <c r="D6" s="194"/>
    </row>
    <row r="7" spans="1:7" ht="14.25" customHeight="1" x14ac:dyDescent="0.25">
      <c r="A7" s="197" t="s">
        <v>90</v>
      </c>
      <c r="B7" s="194"/>
      <c r="C7" s="194"/>
      <c r="D7" s="196" t="s">
        <v>177</v>
      </c>
      <c r="E7" s="194" t="s">
        <v>183</v>
      </c>
      <c r="F7" s="194" t="s">
        <v>184</v>
      </c>
    </row>
    <row r="8" spans="1:7" ht="14.25" hidden="1" customHeight="1" x14ac:dyDescent="0.25">
      <c r="A8" s="197">
        <v>45226</v>
      </c>
      <c r="B8" s="194">
        <f t="shared" ref="B8:B28" si="0">IF(E8&lt;0,0,1)</f>
        <v>1</v>
      </c>
      <c r="C8" s="194" t="b">
        <f>DEC!C8=IF(E8&lt;0,"debit","credit")</f>
        <v>1</v>
      </c>
      <c r="D8" s="156" t="s">
        <v>445</v>
      </c>
      <c r="F8" s="194">
        <v>1795.03</v>
      </c>
      <c r="G8" s="194">
        <f t="shared" ref="G8:G28" si="1">IFERROR(VLOOKUP($B$8,B8:E8,4,FALSE),0)</f>
        <v>0</v>
      </c>
    </row>
    <row r="9" spans="1:7" ht="14.25" hidden="1" customHeight="1" x14ac:dyDescent="0.25">
      <c r="A9" s="197">
        <v>45226</v>
      </c>
      <c r="B9" s="194">
        <f t="shared" si="0"/>
        <v>1</v>
      </c>
      <c r="C9" s="194" t="str">
        <f t="shared" ref="C9:C28" si="2">IF(E9&lt;0,"debit","credit")</f>
        <v>credit</v>
      </c>
      <c r="D9" s="156" t="s">
        <v>444</v>
      </c>
      <c r="E9" s="156">
        <v>464.95</v>
      </c>
      <c r="F9" s="196">
        <v>2175.06</v>
      </c>
      <c r="G9" s="194">
        <f t="shared" si="1"/>
        <v>464.95</v>
      </c>
    </row>
    <row r="10" spans="1:7" ht="14.25" hidden="1" customHeight="1" x14ac:dyDescent="0.25">
      <c r="A10" s="197">
        <v>45229</v>
      </c>
      <c r="B10" s="194">
        <f t="shared" si="0"/>
        <v>1</v>
      </c>
      <c r="C10" s="194" t="str">
        <f t="shared" si="2"/>
        <v>credit</v>
      </c>
      <c r="D10" s="156" t="s">
        <v>447</v>
      </c>
      <c r="E10" s="156">
        <v>700</v>
      </c>
      <c r="F10" s="196">
        <v>2875.06</v>
      </c>
      <c r="G10" s="194">
        <f t="shared" si="1"/>
        <v>700</v>
      </c>
    </row>
    <row r="11" spans="1:7" ht="14.25" hidden="1" customHeight="1" x14ac:dyDescent="0.25">
      <c r="A11" s="197">
        <v>45229</v>
      </c>
      <c r="B11" s="158">
        <f t="shared" si="0"/>
        <v>0</v>
      </c>
      <c r="C11" s="194" t="str">
        <f t="shared" si="2"/>
        <v>debit</v>
      </c>
      <c r="D11" s="156" t="s">
        <v>448</v>
      </c>
      <c r="E11" s="156">
        <v>-100</v>
      </c>
      <c r="F11" s="196">
        <v>2775.06</v>
      </c>
      <c r="G11" s="194">
        <f t="shared" si="1"/>
        <v>0</v>
      </c>
    </row>
    <row r="12" spans="1:7" ht="14.25" hidden="1" customHeight="1" x14ac:dyDescent="0.25">
      <c r="A12" s="197">
        <v>45229</v>
      </c>
      <c r="B12" s="194">
        <f t="shared" si="0"/>
        <v>0</v>
      </c>
      <c r="C12" s="194" t="str">
        <f t="shared" si="2"/>
        <v>debit</v>
      </c>
      <c r="D12" s="156" t="s">
        <v>449</v>
      </c>
      <c r="E12" s="156">
        <v>-71.81</v>
      </c>
      <c r="F12" s="196">
        <v>2703.25</v>
      </c>
      <c r="G12" s="194">
        <f t="shared" si="1"/>
        <v>0</v>
      </c>
    </row>
    <row r="13" spans="1:7" ht="14.25" hidden="1" customHeight="1" x14ac:dyDescent="0.25">
      <c r="A13" s="197">
        <v>45229</v>
      </c>
      <c r="B13" s="194">
        <f t="shared" si="0"/>
        <v>0</v>
      </c>
      <c r="C13" s="194" t="str">
        <f t="shared" si="2"/>
        <v>debit</v>
      </c>
      <c r="D13" s="156" t="s">
        <v>450</v>
      </c>
      <c r="E13" s="156">
        <v>-536.02</v>
      </c>
      <c r="F13" s="196">
        <v>2167.23</v>
      </c>
      <c r="G13" s="194">
        <f t="shared" si="1"/>
        <v>0</v>
      </c>
    </row>
    <row r="14" spans="1:7" ht="14.25" hidden="1" customHeight="1" x14ac:dyDescent="0.25">
      <c r="A14" s="197">
        <v>45229</v>
      </c>
      <c r="B14" s="194">
        <f t="shared" si="0"/>
        <v>0</v>
      </c>
      <c r="C14" s="194" t="str">
        <f t="shared" si="2"/>
        <v>debit</v>
      </c>
      <c r="D14" s="156" t="s">
        <v>451</v>
      </c>
      <c r="E14" s="156">
        <v>-292.7</v>
      </c>
      <c r="F14" s="196">
        <v>1874.53</v>
      </c>
      <c r="G14" s="194">
        <f t="shared" si="1"/>
        <v>0</v>
      </c>
    </row>
    <row r="15" spans="1:7" ht="14.25" hidden="1" customHeight="1" x14ac:dyDescent="0.25">
      <c r="A15" s="197">
        <v>45229</v>
      </c>
      <c r="B15" s="194">
        <f t="shared" si="0"/>
        <v>0</v>
      </c>
      <c r="C15" s="194" t="str">
        <f t="shared" si="2"/>
        <v>debit</v>
      </c>
      <c r="D15" s="156" t="s">
        <v>452</v>
      </c>
      <c r="E15" s="156">
        <v>-250</v>
      </c>
      <c r="F15" s="196">
        <v>1624.53</v>
      </c>
      <c r="G15" s="194">
        <f t="shared" si="1"/>
        <v>0</v>
      </c>
    </row>
    <row r="16" spans="1:7" ht="14.25" hidden="1" customHeight="1" x14ac:dyDescent="0.25">
      <c r="A16" s="197">
        <v>45229</v>
      </c>
      <c r="B16" s="194">
        <f t="shared" si="0"/>
        <v>0</v>
      </c>
      <c r="C16" s="194" t="str">
        <f t="shared" si="2"/>
        <v>debit</v>
      </c>
      <c r="D16" s="156" t="s">
        <v>453</v>
      </c>
      <c r="E16" s="156">
        <v>-83</v>
      </c>
      <c r="F16" s="196">
        <v>1541.53</v>
      </c>
      <c r="G16" s="194">
        <f t="shared" si="1"/>
        <v>0</v>
      </c>
    </row>
    <row r="17" spans="1:7" ht="14.25" hidden="1" customHeight="1" x14ac:dyDescent="0.25">
      <c r="A17" s="197">
        <v>45232</v>
      </c>
      <c r="B17" s="194">
        <f t="shared" si="0"/>
        <v>0</v>
      </c>
      <c r="C17" s="194" t="str">
        <f t="shared" si="2"/>
        <v>debit</v>
      </c>
      <c r="D17" s="156" t="s">
        <v>202</v>
      </c>
      <c r="E17" s="156">
        <v>-7</v>
      </c>
      <c r="F17" s="196">
        <v>1534.53</v>
      </c>
      <c r="G17" s="194">
        <f t="shared" si="1"/>
        <v>0</v>
      </c>
    </row>
    <row r="18" spans="1:7" ht="14.25" hidden="1" customHeight="1" x14ac:dyDescent="0.25">
      <c r="A18" s="197">
        <v>45233</v>
      </c>
      <c r="B18" s="194">
        <f t="shared" si="0"/>
        <v>0</v>
      </c>
      <c r="C18" s="194" t="str">
        <f t="shared" si="2"/>
        <v>debit</v>
      </c>
      <c r="D18" s="156" t="s">
        <v>203</v>
      </c>
      <c r="E18" s="156">
        <v>-25</v>
      </c>
      <c r="F18" s="196">
        <v>1509.53</v>
      </c>
      <c r="G18" s="194">
        <f t="shared" si="1"/>
        <v>0</v>
      </c>
    </row>
    <row r="19" spans="1:7" ht="14.25" hidden="1" customHeight="1" x14ac:dyDescent="0.25">
      <c r="A19" s="197">
        <v>45236</v>
      </c>
      <c r="B19" s="194">
        <f t="shared" si="0"/>
        <v>1</v>
      </c>
      <c r="C19" s="194" t="str">
        <f t="shared" si="2"/>
        <v>credit</v>
      </c>
      <c r="D19" s="156" t="s">
        <v>454</v>
      </c>
      <c r="E19" s="156">
        <v>550</v>
      </c>
      <c r="F19" s="196">
        <v>2059.5300000000002</v>
      </c>
      <c r="G19" s="194">
        <f t="shared" si="1"/>
        <v>550</v>
      </c>
    </row>
    <row r="20" spans="1:7" ht="14.25" hidden="1" customHeight="1" x14ac:dyDescent="0.25">
      <c r="A20" s="197">
        <v>45236</v>
      </c>
      <c r="B20" s="194">
        <f t="shared" si="0"/>
        <v>0</v>
      </c>
      <c r="C20" s="194" t="str">
        <f t="shared" si="2"/>
        <v>debit</v>
      </c>
      <c r="D20" s="156" t="s">
        <v>204</v>
      </c>
      <c r="E20" s="156">
        <v>-103</v>
      </c>
      <c r="F20" s="196">
        <v>1956.53</v>
      </c>
      <c r="G20" s="194">
        <f t="shared" si="1"/>
        <v>0</v>
      </c>
    </row>
    <row r="21" spans="1:7" ht="14.25" hidden="1" customHeight="1" x14ac:dyDescent="0.25">
      <c r="A21" s="197">
        <v>45236</v>
      </c>
      <c r="B21" s="194">
        <f t="shared" si="0"/>
        <v>0</v>
      </c>
      <c r="C21" s="194" t="str">
        <f t="shared" si="2"/>
        <v>debit</v>
      </c>
      <c r="D21" s="156" t="s">
        <v>204</v>
      </c>
      <c r="E21" s="156">
        <v>-16.84</v>
      </c>
      <c r="F21" s="196">
        <v>1939.69</v>
      </c>
      <c r="G21" s="194">
        <f t="shared" si="1"/>
        <v>0</v>
      </c>
    </row>
    <row r="22" spans="1:7" ht="14.25" hidden="1" customHeight="1" x14ac:dyDescent="0.25">
      <c r="A22" s="197">
        <v>45238</v>
      </c>
      <c r="B22" s="194">
        <f t="shared" si="0"/>
        <v>1</v>
      </c>
      <c r="C22" s="194" t="str">
        <f t="shared" si="2"/>
        <v>credit</v>
      </c>
      <c r="D22" s="156" t="s">
        <v>455</v>
      </c>
      <c r="E22" s="156">
        <v>39.18</v>
      </c>
      <c r="F22" s="196">
        <v>1978.87</v>
      </c>
      <c r="G22" s="194">
        <f t="shared" si="1"/>
        <v>39.18</v>
      </c>
    </row>
    <row r="23" spans="1:7" ht="14.25" customHeight="1" x14ac:dyDescent="0.25">
      <c r="A23" s="197">
        <v>45240</v>
      </c>
      <c r="B23" s="194">
        <f t="shared" si="0"/>
        <v>1</v>
      </c>
      <c r="C23" s="194" t="str">
        <f t="shared" si="2"/>
        <v>credit</v>
      </c>
      <c r="D23" s="156" t="s">
        <v>456</v>
      </c>
      <c r="E23" s="156">
        <v>464.95</v>
      </c>
      <c r="F23" s="196">
        <v>1983.52</v>
      </c>
      <c r="G23" s="194">
        <f t="shared" si="1"/>
        <v>464.95</v>
      </c>
    </row>
    <row r="24" spans="1:7" ht="14.25" customHeight="1" x14ac:dyDescent="0.25">
      <c r="A24" s="197">
        <v>45243</v>
      </c>
      <c r="B24" s="194">
        <f t="shared" si="0"/>
        <v>1</v>
      </c>
      <c r="C24" s="194" t="str">
        <f t="shared" si="2"/>
        <v>credit</v>
      </c>
      <c r="D24" s="156" t="s">
        <v>457</v>
      </c>
      <c r="E24" s="156">
        <v>26.41</v>
      </c>
      <c r="F24" s="196">
        <v>2009.93</v>
      </c>
      <c r="G24" s="194">
        <f t="shared" si="1"/>
        <v>26.41</v>
      </c>
    </row>
    <row r="25" spans="1:7" ht="14.25" customHeight="1" x14ac:dyDescent="0.25">
      <c r="A25" s="197">
        <v>45243</v>
      </c>
      <c r="B25" s="194">
        <f t="shared" si="0"/>
        <v>1</v>
      </c>
      <c r="C25" s="194" t="str">
        <f t="shared" si="2"/>
        <v>credit</v>
      </c>
      <c r="D25" s="156" t="s">
        <v>366</v>
      </c>
      <c r="E25" s="156">
        <v>15.2</v>
      </c>
      <c r="F25" s="196">
        <v>2025.13</v>
      </c>
      <c r="G25" s="194">
        <f t="shared" si="1"/>
        <v>15.2</v>
      </c>
    </row>
    <row r="26" spans="1:7" ht="14.25" hidden="1" customHeight="1" x14ac:dyDescent="0.25">
      <c r="A26" s="197">
        <v>45245</v>
      </c>
      <c r="B26" s="194">
        <f t="shared" si="0"/>
        <v>1</v>
      </c>
      <c r="C26" s="194" t="str">
        <f t="shared" si="2"/>
        <v>credit</v>
      </c>
      <c r="D26" s="156" t="s">
        <v>458</v>
      </c>
      <c r="E26" s="156">
        <v>123.72</v>
      </c>
      <c r="F26" s="196">
        <v>2148.85</v>
      </c>
      <c r="G26" s="194">
        <f t="shared" si="1"/>
        <v>123.72</v>
      </c>
    </row>
    <row r="27" spans="1:7" ht="14.25" hidden="1" customHeight="1" x14ac:dyDescent="0.25">
      <c r="A27" s="197">
        <v>45246</v>
      </c>
      <c r="B27" s="194">
        <f t="shared" si="0"/>
        <v>0</v>
      </c>
      <c r="C27" s="194" t="str">
        <f t="shared" si="2"/>
        <v>debit</v>
      </c>
      <c r="D27" s="156" t="s">
        <v>202</v>
      </c>
      <c r="E27" s="156">
        <v>-7</v>
      </c>
      <c r="F27" s="196">
        <v>2141.85</v>
      </c>
      <c r="G27" s="194">
        <f t="shared" si="1"/>
        <v>0</v>
      </c>
    </row>
    <row r="28" spans="1:7" ht="14.25" customHeight="1" x14ac:dyDescent="0.25">
      <c r="A28" s="197">
        <v>45254</v>
      </c>
      <c r="B28" s="194">
        <f t="shared" si="0"/>
        <v>1</v>
      </c>
      <c r="C28" s="194" t="str">
        <f t="shared" si="2"/>
        <v>credit</v>
      </c>
      <c r="D28" s="156" t="s">
        <v>459</v>
      </c>
      <c r="E28" s="156">
        <f>563.29-46.64</f>
        <v>516.65</v>
      </c>
      <c r="F28" s="196">
        <v>2147.48</v>
      </c>
      <c r="G28" s="194">
        <f t="shared" si="1"/>
        <v>516.65</v>
      </c>
    </row>
    <row r="29" spans="1:7" ht="14.25" customHeight="1" x14ac:dyDescent="0.25">
      <c r="A29" s="194"/>
      <c r="B29" s="194"/>
      <c r="C29" s="194"/>
      <c r="D29" s="194"/>
      <c r="E29" s="194"/>
      <c r="F29" s="194"/>
      <c r="G29" s="194"/>
    </row>
    <row r="30" spans="1:7" ht="14.25" customHeight="1" x14ac:dyDescent="0.25">
      <c r="A30" s="194"/>
      <c r="B30" s="194"/>
      <c r="C30" s="194"/>
      <c r="D30" s="194"/>
      <c r="E30" s="194"/>
      <c r="F30" s="194"/>
      <c r="G30" s="194"/>
    </row>
    <row r="31" spans="1:7" ht="14.25" customHeight="1" x14ac:dyDescent="0.25">
      <c r="A31" s="194"/>
      <c r="B31" s="194"/>
      <c r="C31" s="194"/>
      <c r="D31" s="194"/>
      <c r="E31" s="194"/>
      <c r="F31" s="194"/>
      <c r="G31" s="194"/>
    </row>
    <row r="32" spans="1:7" ht="14.25" customHeight="1" x14ac:dyDescent="0.25">
      <c r="A32" s="194"/>
      <c r="B32" s="194"/>
      <c r="C32" s="194"/>
      <c r="D32" s="194"/>
      <c r="E32" s="194"/>
      <c r="F32" s="194"/>
      <c r="G32" s="194"/>
    </row>
    <row r="33" spans="1:7" ht="14.25" customHeight="1" x14ac:dyDescent="0.25">
      <c r="A33" s="194"/>
      <c r="B33" s="194"/>
      <c r="C33" s="194"/>
      <c r="D33" s="194"/>
      <c r="E33" s="194"/>
      <c r="F33" s="194"/>
      <c r="G33" s="194"/>
    </row>
    <row r="34" spans="1:7" ht="14.25" customHeight="1" x14ac:dyDescent="0.25">
      <c r="A34" s="194"/>
      <c r="B34" s="194"/>
      <c r="C34" s="194"/>
      <c r="D34" s="194"/>
      <c r="E34" s="194"/>
      <c r="F34" s="194"/>
      <c r="G34" s="194"/>
    </row>
    <row r="35" spans="1:7" ht="14.25" customHeight="1" x14ac:dyDescent="0.25">
      <c r="A35" s="194"/>
      <c r="B35" s="194"/>
      <c r="C35" s="194"/>
      <c r="D35" s="194"/>
      <c r="E35" s="194"/>
      <c r="F35" s="194"/>
      <c r="G35" s="194"/>
    </row>
    <row r="36" spans="1:7" ht="14.25" customHeight="1" x14ac:dyDescent="0.25"/>
    <row r="37" spans="1:7" ht="14.25" customHeight="1" x14ac:dyDescent="0.25"/>
    <row r="38" spans="1:7" ht="14.25" customHeight="1" x14ac:dyDescent="0.25">
      <c r="D38" s="194"/>
      <c r="E38" s="194"/>
    </row>
    <row r="39" spans="1:7" ht="14.25" customHeight="1" x14ac:dyDescent="0.25">
      <c r="E39" s="156">
        <v>464.95</v>
      </c>
    </row>
    <row r="40" spans="1:7" ht="14.25" customHeight="1" x14ac:dyDescent="0.25">
      <c r="E40" s="156">
        <v>26.41</v>
      </c>
    </row>
    <row r="41" spans="1:7" ht="14.25" customHeight="1" x14ac:dyDescent="0.25">
      <c r="E41" s="156">
        <v>15.2</v>
      </c>
    </row>
    <row r="42" spans="1:7" ht="14.25" customHeight="1" x14ac:dyDescent="0.25">
      <c r="E42" s="156">
        <v>516.65</v>
      </c>
    </row>
    <row r="43" spans="1:7" ht="14.25" customHeight="1" x14ac:dyDescent="0.25">
      <c r="E43" s="215">
        <f>SUM(E38:E42)</f>
        <v>1023.21</v>
      </c>
    </row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28" xr:uid="{00000000-0009-0000-0000-00000D000000}">
    <filterColumn colId="0">
      <filters>
        <filter val="10/30/2023"/>
        <filter val="11/10/2023"/>
        <filter val="11/13/2023"/>
        <filter val="11/15/2023"/>
        <filter val="11/16/2023"/>
        <filter val="11/2/2023"/>
        <filter val="11/24/2023"/>
        <filter val="11/3/2023"/>
        <filter val="11/6/2023"/>
        <filter val="11/8/2023"/>
      </filters>
    </filterColumn>
    <filterColumn colId="3">
      <filters>
        <filter val="Bank of America DES:CASHREWARD ID:BARRAGAN INDN:XXXXX0062XXXXX91XXXXX0 CO ID:XXXXX90310 PPD"/>
        <filter val="Bank of America DES:CASHREWARD ID:DIAZ BARRAGAN INDN:XXXXX0060XXXXX21XXXXX0 CO ID:XXXXX90310 PPD"/>
        <filter val="JOURNEY'S END RE DES:DIRECT DEP ID:XXXXX08471119BM INDN:DIAZ BARRAGAN,DARIO CO ID:XXXXX11101 PPD"/>
        <filter val="JOURNEY'S END RE DES:DIRECT DEP ID:XXXXX8180147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J1000"/>
  <sheetViews>
    <sheetView workbookViewId="0">
      <selection activeCell="D62" sqref="D62"/>
    </sheetView>
  </sheetViews>
  <sheetFormatPr defaultColWidth="14.42578125" defaultRowHeight="15" customHeight="1" x14ac:dyDescent="0.25"/>
  <cols>
    <col min="1" max="1" width="15.5703125" customWidth="1"/>
    <col min="2" max="2" width="4.85546875" customWidth="1"/>
    <col min="3" max="3" width="15.5703125" customWidth="1"/>
    <col min="4" max="4" width="77.5703125" customWidth="1"/>
    <col min="5" max="5" width="13.28515625" customWidth="1"/>
    <col min="6" max="6" width="11.140625" customWidth="1"/>
    <col min="7" max="10" width="8.7109375" customWidth="1"/>
  </cols>
  <sheetData>
    <row r="1" spans="1:10" ht="14.25" customHeight="1" x14ac:dyDescent="0.25">
      <c r="A1" s="156" t="s">
        <v>177</v>
      </c>
      <c r="B1" s="200"/>
      <c r="C1" s="155"/>
      <c r="E1" s="156" t="s">
        <v>178</v>
      </c>
      <c r="G1" s="155"/>
    </row>
    <row r="2" spans="1:10" ht="14.25" customHeight="1" x14ac:dyDescent="0.25">
      <c r="A2" s="156" t="s">
        <v>460</v>
      </c>
      <c r="B2" s="200"/>
      <c r="C2" s="155"/>
      <c r="E2" s="196">
        <v>2141.85</v>
      </c>
      <c r="G2" s="155"/>
      <c r="I2" s="196"/>
    </row>
    <row r="3" spans="1:10" ht="14.25" customHeight="1" x14ac:dyDescent="0.25">
      <c r="A3" s="156" t="s">
        <v>180</v>
      </c>
      <c r="B3" s="200"/>
      <c r="C3" s="155"/>
      <c r="E3" s="156">
        <v>504.28</v>
      </c>
      <c r="G3" s="155"/>
      <c r="I3" s="196"/>
    </row>
    <row r="4" spans="1:10" ht="14.25" customHeight="1" x14ac:dyDescent="0.25">
      <c r="A4" s="156" t="s">
        <v>181</v>
      </c>
      <c r="B4" s="200"/>
      <c r="C4" s="155"/>
      <c r="E4" s="156">
        <v>-655.04999999999995</v>
      </c>
      <c r="G4" s="155"/>
      <c r="I4" s="196"/>
    </row>
    <row r="5" spans="1:10" ht="14.25" customHeight="1" x14ac:dyDescent="0.25">
      <c r="A5" s="156" t="s">
        <v>461</v>
      </c>
      <c r="B5" s="200"/>
      <c r="C5" s="155"/>
      <c r="E5" s="196">
        <v>1991.08</v>
      </c>
      <c r="G5" s="155"/>
      <c r="I5" s="196"/>
    </row>
    <row r="6" spans="1:10" ht="14.25" customHeight="1" x14ac:dyDescent="0.25">
      <c r="B6" s="200"/>
      <c r="C6" s="155"/>
      <c r="G6" s="155"/>
    </row>
    <row r="7" spans="1:10" ht="14.25" customHeight="1" x14ac:dyDescent="0.25">
      <c r="A7" s="194" t="s">
        <v>90</v>
      </c>
      <c r="B7" s="200"/>
      <c r="C7" s="155"/>
      <c r="D7" s="194" t="s">
        <v>177</v>
      </c>
      <c r="E7" s="194" t="s">
        <v>183</v>
      </c>
      <c r="F7" s="194" t="s">
        <v>184</v>
      </c>
      <c r="G7" s="155"/>
    </row>
    <row r="8" spans="1:10" ht="14.25" hidden="1" customHeight="1" x14ac:dyDescent="0.25">
      <c r="A8" s="197">
        <v>45254</v>
      </c>
      <c r="B8" s="200">
        <f t="shared" ref="B8:B21" si="0">IF(E8&lt;0,0,1)</f>
        <v>1</v>
      </c>
      <c r="C8" s="180" t="str">
        <f t="shared" ref="C8:C21" si="1">IF(E8&lt;0,"debit","credit")</f>
        <v>credit</v>
      </c>
      <c r="D8" s="156" t="s">
        <v>460</v>
      </c>
      <c r="F8" s="196">
        <v>2141.85</v>
      </c>
      <c r="G8" s="200">
        <f t="shared" ref="G8:G21" si="2">IFERROR(VLOOKUP($B$8,B8:E8,4,FALSE),0)</f>
        <v>0</v>
      </c>
      <c r="J8" s="196"/>
    </row>
    <row r="9" spans="1:10" ht="14.25" hidden="1" customHeight="1" x14ac:dyDescent="0.25">
      <c r="A9" s="197">
        <v>45254</v>
      </c>
      <c r="B9" s="200">
        <f t="shared" si="0"/>
        <v>1</v>
      </c>
      <c r="C9" s="180" t="str">
        <f t="shared" si="1"/>
        <v>credit</v>
      </c>
      <c r="D9" s="156" t="s">
        <v>459</v>
      </c>
      <c r="E9" s="156">
        <v>5.63</v>
      </c>
      <c r="F9" s="196">
        <v>2147.48</v>
      </c>
      <c r="G9" s="200">
        <f t="shared" si="2"/>
        <v>5.63</v>
      </c>
      <c r="J9" s="196"/>
    </row>
    <row r="10" spans="1:10" ht="14.25" hidden="1" customHeight="1" x14ac:dyDescent="0.25">
      <c r="A10" s="197">
        <v>45257</v>
      </c>
      <c r="B10" s="200">
        <f t="shared" si="0"/>
        <v>0</v>
      </c>
      <c r="C10" s="180" t="str">
        <f t="shared" si="1"/>
        <v>debit</v>
      </c>
      <c r="D10" s="156" t="s">
        <v>462</v>
      </c>
      <c r="E10" s="156">
        <v>-376.05</v>
      </c>
      <c r="F10" s="196">
        <v>1771.43</v>
      </c>
      <c r="G10" s="200">
        <f t="shared" si="2"/>
        <v>0</v>
      </c>
      <c r="J10" s="196"/>
    </row>
    <row r="11" spans="1:10" ht="14.25" hidden="1" customHeight="1" x14ac:dyDescent="0.25">
      <c r="A11" s="197">
        <v>45257</v>
      </c>
      <c r="B11" s="200">
        <f t="shared" si="0"/>
        <v>0</v>
      </c>
      <c r="C11" s="180" t="str">
        <f t="shared" si="1"/>
        <v>debit</v>
      </c>
      <c r="D11" s="156" t="s">
        <v>463</v>
      </c>
      <c r="E11" s="156">
        <v>-25</v>
      </c>
      <c r="F11" s="196">
        <v>1746.43</v>
      </c>
      <c r="G11" s="200">
        <f t="shared" si="2"/>
        <v>0</v>
      </c>
      <c r="J11" s="196"/>
    </row>
    <row r="12" spans="1:10" ht="14.25" hidden="1" customHeight="1" x14ac:dyDescent="0.25">
      <c r="A12" s="197">
        <v>45264</v>
      </c>
      <c r="B12" s="200">
        <f t="shared" si="0"/>
        <v>0</v>
      </c>
      <c r="C12" s="180" t="str">
        <f t="shared" si="1"/>
        <v>debit</v>
      </c>
      <c r="D12" s="156" t="s">
        <v>464</v>
      </c>
      <c r="E12" s="156">
        <v>-62</v>
      </c>
      <c r="F12" s="196">
        <v>1684.43</v>
      </c>
      <c r="G12" s="200">
        <f t="shared" si="2"/>
        <v>0</v>
      </c>
      <c r="J12" s="196"/>
    </row>
    <row r="13" spans="1:10" ht="14.25" hidden="1" customHeight="1" x14ac:dyDescent="0.25">
      <c r="A13" s="197">
        <v>45264</v>
      </c>
      <c r="B13" s="200">
        <f t="shared" si="0"/>
        <v>0</v>
      </c>
      <c r="C13" s="180" t="str">
        <f t="shared" si="1"/>
        <v>debit</v>
      </c>
      <c r="D13" s="156" t="s">
        <v>203</v>
      </c>
      <c r="E13" s="156">
        <v>-25</v>
      </c>
      <c r="F13" s="196">
        <v>1659.43</v>
      </c>
      <c r="G13" s="200">
        <f t="shared" si="2"/>
        <v>0</v>
      </c>
      <c r="J13" s="196"/>
    </row>
    <row r="14" spans="1:10" ht="14.25" hidden="1" customHeight="1" x14ac:dyDescent="0.25">
      <c r="A14" s="197">
        <v>45264</v>
      </c>
      <c r="B14" s="200">
        <f t="shared" si="0"/>
        <v>0</v>
      </c>
      <c r="C14" s="180" t="str">
        <f t="shared" si="1"/>
        <v>debit</v>
      </c>
      <c r="D14" s="156" t="s">
        <v>202</v>
      </c>
      <c r="E14" s="156">
        <v>-7</v>
      </c>
      <c r="F14" s="196">
        <v>1652.43</v>
      </c>
      <c r="G14" s="200">
        <f t="shared" si="2"/>
        <v>0</v>
      </c>
      <c r="J14" s="196"/>
    </row>
    <row r="15" spans="1:10" ht="14.25" hidden="1" customHeight="1" x14ac:dyDescent="0.25">
      <c r="A15" s="197">
        <v>45266</v>
      </c>
      <c r="B15" s="200">
        <f t="shared" si="0"/>
        <v>0</v>
      </c>
      <c r="C15" s="180" t="str">
        <f t="shared" si="1"/>
        <v>debit</v>
      </c>
      <c r="D15" s="156" t="s">
        <v>204</v>
      </c>
      <c r="E15" s="156">
        <v>-103</v>
      </c>
      <c r="F15" s="196">
        <v>1549.43</v>
      </c>
      <c r="G15" s="200">
        <f t="shared" si="2"/>
        <v>0</v>
      </c>
      <c r="J15" s="196"/>
    </row>
    <row r="16" spans="1:10" ht="14.25" hidden="1" customHeight="1" x14ac:dyDescent="0.25">
      <c r="A16" s="197">
        <v>45267</v>
      </c>
      <c r="B16" s="200">
        <f t="shared" si="0"/>
        <v>1</v>
      </c>
      <c r="C16" s="180" t="str">
        <f t="shared" si="1"/>
        <v>credit</v>
      </c>
      <c r="D16" s="156" t="s">
        <v>465</v>
      </c>
      <c r="E16" s="156">
        <v>288</v>
      </c>
      <c r="F16" s="196">
        <v>1837.43</v>
      </c>
      <c r="G16" s="200">
        <f t="shared" si="2"/>
        <v>288</v>
      </c>
      <c r="J16" s="196"/>
    </row>
    <row r="17" spans="1:10" ht="14.25" customHeight="1" x14ac:dyDescent="0.25">
      <c r="A17" s="197">
        <v>45268</v>
      </c>
      <c r="B17" s="200">
        <f t="shared" si="0"/>
        <v>1</v>
      </c>
      <c r="C17" s="180" t="str">
        <f t="shared" si="1"/>
        <v>credit</v>
      </c>
      <c r="D17" s="156" t="s">
        <v>466</v>
      </c>
      <c r="E17" s="156">
        <v>523.99</v>
      </c>
      <c r="F17" s="196">
        <v>1842.67</v>
      </c>
      <c r="G17" s="200">
        <f t="shared" si="2"/>
        <v>523.99</v>
      </c>
      <c r="J17" s="196"/>
    </row>
    <row r="18" spans="1:10" ht="14.25" customHeight="1" x14ac:dyDescent="0.25">
      <c r="A18" s="197">
        <v>45275</v>
      </c>
      <c r="B18" s="200">
        <f t="shared" si="0"/>
        <v>1</v>
      </c>
      <c r="C18" s="180" t="str">
        <f t="shared" si="1"/>
        <v>credit</v>
      </c>
      <c r="D18" s="156" t="s">
        <v>467</v>
      </c>
      <c r="E18" s="156">
        <v>200</v>
      </c>
      <c r="F18" s="196">
        <v>2042.67</v>
      </c>
      <c r="G18" s="200">
        <f t="shared" si="2"/>
        <v>200</v>
      </c>
      <c r="J18" s="196"/>
    </row>
    <row r="19" spans="1:10" ht="14.25" hidden="1" customHeight="1" x14ac:dyDescent="0.25">
      <c r="A19" s="197">
        <v>45278</v>
      </c>
      <c r="B19" s="200">
        <f t="shared" si="0"/>
        <v>1</v>
      </c>
      <c r="C19" s="180" t="str">
        <f t="shared" si="1"/>
        <v>credit</v>
      </c>
      <c r="D19" s="156" t="s">
        <v>202</v>
      </c>
      <c r="E19" s="156">
        <v>476.05</v>
      </c>
      <c r="F19" s="196">
        <v>2035.67</v>
      </c>
      <c r="G19" s="200">
        <f t="shared" si="2"/>
        <v>476.05</v>
      </c>
      <c r="J19" s="196"/>
    </row>
    <row r="20" spans="1:10" ht="14.25" hidden="1" customHeight="1" x14ac:dyDescent="0.25">
      <c r="A20" s="197">
        <v>45281</v>
      </c>
      <c r="B20" s="200">
        <f t="shared" si="0"/>
        <v>0</v>
      </c>
      <c r="C20" s="180" t="str">
        <f t="shared" si="1"/>
        <v>debit</v>
      </c>
      <c r="D20" s="156" t="s">
        <v>468</v>
      </c>
      <c r="E20" s="156">
        <v>-50</v>
      </c>
      <c r="F20" s="196">
        <v>1985.67</v>
      </c>
      <c r="G20" s="200">
        <f t="shared" si="2"/>
        <v>0</v>
      </c>
      <c r="J20" s="196"/>
    </row>
    <row r="21" spans="1:10" ht="14.25" customHeight="1" x14ac:dyDescent="0.25">
      <c r="A21" s="197">
        <v>45282</v>
      </c>
      <c r="B21" s="200">
        <f t="shared" si="0"/>
        <v>1</v>
      </c>
      <c r="C21" s="180" t="str">
        <f t="shared" si="1"/>
        <v>credit</v>
      </c>
      <c r="D21" s="156" t="s">
        <v>469</v>
      </c>
      <c r="E21" s="156">
        <v>476.05</v>
      </c>
      <c r="F21" s="196">
        <v>1991.08</v>
      </c>
      <c r="G21" s="200">
        <f t="shared" si="2"/>
        <v>476.05</v>
      </c>
      <c r="I21" s="196"/>
      <c r="J21" s="196"/>
    </row>
    <row r="22" spans="1:10" ht="14.25" hidden="1" customHeight="1" x14ac:dyDescent="0.25">
      <c r="A22" s="197"/>
      <c r="B22" s="200"/>
      <c r="C22" s="180"/>
      <c r="D22" s="194"/>
      <c r="E22" s="194"/>
      <c r="F22" s="196"/>
      <c r="G22" s="200"/>
      <c r="J22" s="196"/>
    </row>
    <row r="23" spans="1:10" ht="14.25" hidden="1" customHeight="1" x14ac:dyDescent="0.25">
      <c r="A23" s="197"/>
      <c r="B23" s="200"/>
      <c r="C23" s="180"/>
      <c r="D23" s="194"/>
      <c r="E23" s="194"/>
      <c r="F23" s="196"/>
      <c r="G23" s="200"/>
      <c r="J23" s="196"/>
    </row>
    <row r="24" spans="1:10" ht="14.25" hidden="1" customHeight="1" x14ac:dyDescent="0.25">
      <c r="A24" s="197"/>
      <c r="B24" s="200"/>
      <c r="C24" s="180"/>
      <c r="D24" s="194"/>
      <c r="E24" s="194"/>
      <c r="F24" s="196"/>
      <c r="G24" s="200"/>
      <c r="J24" s="196"/>
    </row>
    <row r="25" spans="1:10" ht="14.25" hidden="1" customHeight="1" x14ac:dyDescent="0.25">
      <c r="A25" s="197"/>
      <c r="B25" s="200"/>
      <c r="C25" s="180"/>
      <c r="D25" s="194"/>
      <c r="E25" s="194"/>
      <c r="F25" s="196"/>
      <c r="G25" s="200"/>
      <c r="J25" s="196"/>
    </row>
    <row r="26" spans="1:10" ht="14.25" hidden="1" customHeight="1" x14ac:dyDescent="0.25">
      <c r="A26" s="197"/>
      <c r="B26" s="200"/>
      <c r="C26" s="180"/>
      <c r="D26" s="194"/>
      <c r="E26" s="194"/>
      <c r="F26" s="196"/>
      <c r="G26" s="200"/>
      <c r="J26" s="196"/>
    </row>
    <row r="27" spans="1:10" ht="14.25" hidden="1" customHeight="1" x14ac:dyDescent="0.25">
      <c r="A27" s="197"/>
      <c r="B27" s="200"/>
      <c r="C27" s="180"/>
      <c r="D27" s="194"/>
      <c r="E27" s="194"/>
      <c r="F27" s="196"/>
      <c r="G27" s="200"/>
      <c r="J27" s="196"/>
    </row>
    <row r="28" spans="1:10" ht="14.25" hidden="1" customHeight="1" x14ac:dyDescent="0.25">
      <c r="A28" s="197"/>
      <c r="B28" s="200"/>
      <c r="C28" s="180"/>
      <c r="D28" s="194"/>
      <c r="E28" s="194"/>
      <c r="F28" s="196"/>
      <c r="G28" s="200"/>
      <c r="J28" s="196"/>
    </row>
    <row r="29" spans="1:10" ht="14.25" hidden="1" customHeight="1" x14ac:dyDescent="0.25">
      <c r="A29" s="197"/>
      <c r="B29" s="200"/>
      <c r="C29" s="180"/>
      <c r="D29" s="194"/>
      <c r="E29" s="194"/>
      <c r="F29" s="196"/>
      <c r="G29" s="200"/>
      <c r="J29" s="196"/>
    </row>
    <row r="30" spans="1:10" ht="14.25" hidden="1" customHeight="1" x14ac:dyDescent="0.25">
      <c r="A30" s="197"/>
      <c r="B30" s="200"/>
      <c r="C30" s="180"/>
      <c r="D30" s="194"/>
      <c r="E30" s="194"/>
      <c r="F30" s="196"/>
      <c r="G30" s="200"/>
      <c r="J30" s="196"/>
    </row>
    <row r="31" spans="1:10" ht="14.25" hidden="1" customHeight="1" x14ac:dyDescent="0.25">
      <c r="A31" s="197"/>
      <c r="B31" s="200"/>
      <c r="C31" s="180"/>
      <c r="D31" s="194"/>
      <c r="E31" s="194"/>
      <c r="F31" s="196"/>
      <c r="G31" s="200"/>
      <c r="J31" s="196"/>
    </row>
    <row r="32" spans="1:10" ht="14.25" hidden="1" customHeight="1" x14ac:dyDescent="0.25">
      <c r="A32" s="197"/>
      <c r="B32" s="200"/>
      <c r="C32" s="180"/>
      <c r="D32" s="194"/>
      <c r="E32" s="194"/>
      <c r="F32" s="196"/>
      <c r="G32" s="200"/>
      <c r="J32" s="196"/>
    </row>
    <row r="33" spans="1:10" ht="14.25" hidden="1" customHeight="1" x14ac:dyDescent="0.25">
      <c r="A33" s="197"/>
      <c r="B33" s="200"/>
      <c r="C33" s="180"/>
      <c r="D33" s="194"/>
      <c r="E33" s="194"/>
      <c r="F33" s="196"/>
      <c r="G33" s="200"/>
      <c r="J33" s="196"/>
    </row>
    <row r="34" spans="1:10" ht="14.25" hidden="1" customHeight="1" x14ac:dyDescent="0.25">
      <c r="A34" s="197"/>
      <c r="B34" s="200"/>
      <c r="C34" s="180"/>
      <c r="D34" s="194"/>
      <c r="E34" s="196"/>
      <c r="F34" s="196"/>
      <c r="G34" s="200"/>
      <c r="I34" s="196"/>
      <c r="J34" s="196"/>
    </row>
    <row r="35" spans="1:10" ht="14.25" hidden="1" customHeight="1" x14ac:dyDescent="0.25">
      <c r="A35" s="197"/>
      <c r="B35" s="200"/>
      <c r="C35" s="180"/>
      <c r="D35" s="194"/>
      <c r="E35" s="196"/>
      <c r="F35" s="196"/>
      <c r="G35" s="200"/>
      <c r="I35" s="196"/>
      <c r="J35" s="196"/>
    </row>
    <row r="36" spans="1:10" ht="14.25" hidden="1" customHeight="1" x14ac:dyDescent="0.25">
      <c r="A36" s="197"/>
      <c r="B36" s="200"/>
      <c r="C36" s="180"/>
      <c r="D36" s="194"/>
      <c r="E36" s="194"/>
      <c r="F36" s="196"/>
      <c r="G36" s="200"/>
      <c r="J36" s="196"/>
    </row>
    <row r="37" spans="1:10" ht="14.25" hidden="1" customHeight="1" x14ac:dyDescent="0.25">
      <c r="A37" s="197"/>
      <c r="B37" s="200"/>
      <c r="C37" s="180"/>
      <c r="D37" s="194"/>
      <c r="E37" s="194"/>
      <c r="G37" s="200"/>
    </row>
    <row r="38" spans="1:10" ht="14.25" hidden="1" customHeight="1" x14ac:dyDescent="0.25">
      <c r="A38" s="197"/>
      <c r="B38" s="200"/>
      <c r="C38" s="180"/>
      <c r="D38" s="194"/>
      <c r="E38" s="194"/>
      <c r="G38" s="200"/>
    </row>
    <row r="39" spans="1:10" ht="14.25" hidden="1" customHeight="1" x14ac:dyDescent="0.25">
      <c r="B39" s="200"/>
      <c r="C39" s="180"/>
      <c r="D39" s="194"/>
      <c r="E39" s="194"/>
      <c r="G39" s="200"/>
    </row>
    <row r="40" spans="1:10" ht="14.25" customHeight="1" x14ac:dyDescent="0.25">
      <c r="B40" s="200"/>
      <c r="C40" s="155"/>
      <c r="G40" s="216"/>
    </row>
    <row r="41" spans="1:10" ht="14.25" customHeight="1" x14ac:dyDescent="0.25">
      <c r="B41" s="200"/>
      <c r="C41" s="155"/>
      <c r="D41" s="197"/>
      <c r="E41" s="194"/>
      <c r="F41" s="194"/>
      <c r="G41" s="216"/>
    </row>
    <row r="42" spans="1:10" ht="14.25" customHeight="1" x14ac:dyDescent="0.25">
      <c r="B42" s="200"/>
      <c r="C42" s="155"/>
      <c r="D42" s="197"/>
      <c r="E42" s="194"/>
      <c r="F42" s="194"/>
      <c r="G42" s="216"/>
    </row>
    <row r="43" spans="1:10" ht="14.25" customHeight="1" x14ac:dyDescent="0.25">
      <c r="B43" s="200"/>
      <c r="C43" s="155"/>
      <c r="D43" s="197"/>
      <c r="E43" s="194"/>
      <c r="F43" s="194"/>
      <c r="G43" s="216"/>
    </row>
    <row r="44" spans="1:10" ht="14.25" customHeight="1" x14ac:dyDescent="0.25">
      <c r="B44" s="200"/>
      <c r="C44" s="155"/>
      <c r="D44" s="197"/>
      <c r="E44" s="194"/>
      <c r="F44" s="194"/>
      <c r="G44" s="216"/>
    </row>
    <row r="45" spans="1:10" ht="14.25" customHeight="1" x14ac:dyDescent="0.25">
      <c r="B45" s="200"/>
      <c r="C45" s="155"/>
      <c r="D45" s="197"/>
      <c r="E45" s="194"/>
      <c r="F45" s="194"/>
      <c r="G45" s="216"/>
    </row>
    <row r="46" spans="1:10" ht="14.25" customHeight="1" x14ac:dyDescent="0.25">
      <c r="B46" s="200"/>
      <c r="C46" s="155"/>
      <c r="D46" s="197"/>
      <c r="E46" s="194"/>
      <c r="G46" s="155"/>
    </row>
    <row r="47" spans="1:10" ht="14.25" customHeight="1" x14ac:dyDescent="0.25">
      <c r="B47" s="200"/>
      <c r="C47" s="155"/>
      <c r="D47" s="197"/>
      <c r="E47" s="194"/>
      <c r="G47" s="195"/>
    </row>
    <row r="48" spans="1:10" ht="14.25" customHeight="1" x14ac:dyDescent="0.25">
      <c r="B48" s="200"/>
      <c r="C48" s="155"/>
      <c r="D48" s="197"/>
      <c r="E48" s="156">
        <v>523.99</v>
      </c>
      <c r="G48" s="155"/>
    </row>
    <row r="49" spans="2:7" ht="14.25" customHeight="1" x14ac:dyDescent="0.25">
      <c r="B49" s="200"/>
      <c r="C49" s="155"/>
      <c r="E49" s="156">
        <v>200</v>
      </c>
      <c r="G49" s="216"/>
    </row>
    <row r="50" spans="2:7" ht="14.25" customHeight="1" x14ac:dyDescent="0.25">
      <c r="B50" s="200"/>
      <c r="C50" s="155"/>
      <c r="E50" s="156">
        <v>476.05</v>
      </c>
      <c r="G50" s="216"/>
    </row>
    <row r="51" spans="2:7" ht="14.25" customHeight="1" x14ac:dyDescent="0.25">
      <c r="B51" s="200"/>
      <c r="C51" s="155"/>
      <c r="E51" s="194"/>
      <c r="G51" s="216"/>
    </row>
    <row r="52" spans="2:7" ht="14.25" customHeight="1" x14ac:dyDescent="0.25">
      <c r="B52" s="200"/>
      <c r="C52" s="155"/>
      <c r="E52" s="215">
        <f>SUM(E45:E51)</f>
        <v>1200.04</v>
      </c>
      <c r="G52" s="216"/>
    </row>
    <row r="53" spans="2:7" ht="14.25" customHeight="1" x14ac:dyDescent="0.25">
      <c r="B53" s="200"/>
      <c r="C53" s="155"/>
      <c r="D53" s="194"/>
      <c r="E53" s="194"/>
      <c r="G53" s="216"/>
    </row>
    <row r="54" spans="2:7" ht="14.25" customHeight="1" x14ac:dyDescent="0.25">
      <c r="B54" s="200"/>
      <c r="C54" s="155"/>
      <c r="G54" s="216"/>
    </row>
    <row r="55" spans="2:7" ht="14.25" customHeight="1" x14ac:dyDescent="0.25">
      <c r="B55" s="200"/>
      <c r="C55" s="155"/>
      <c r="G55" s="216"/>
    </row>
    <row r="56" spans="2:7" ht="14.25" customHeight="1" x14ac:dyDescent="0.25">
      <c r="B56" s="200"/>
      <c r="C56" s="155"/>
      <c r="D56" s="194"/>
      <c r="E56" s="194"/>
      <c r="G56" s="216"/>
    </row>
    <row r="57" spans="2:7" ht="14.25" customHeight="1" x14ac:dyDescent="0.25">
      <c r="B57" s="200"/>
      <c r="C57" s="155"/>
      <c r="E57" s="194"/>
      <c r="G57" s="216"/>
    </row>
    <row r="58" spans="2:7" ht="14.25" customHeight="1" x14ac:dyDescent="0.25">
      <c r="B58" s="200"/>
      <c r="C58" s="155"/>
      <c r="E58" s="194"/>
      <c r="G58" s="198"/>
    </row>
    <row r="59" spans="2:7" ht="14.25" customHeight="1" x14ac:dyDescent="0.25">
      <c r="B59" s="200"/>
      <c r="C59" s="155"/>
      <c r="E59" s="194"/>
      <c r="G59" s="155"/>
    </row>
    <row r="60" spans="2:7" ht="14.25" customHeight="1" x14ac:dyDescent="0.25">
      <c r="B60" s="200"/>
      <c r="C60" s="155"/>
      <c r="E60" s="194"/>
      <c r="G60" s="155"/>
    </row>
    <row r="61" spans="2:7" ht="14.25" customHeight="1" x14ac:dyDescent="0.25">
      <c r="B61" s="200"/>
      <c r="C61" s="155"/>
      <c r="E61" s="194"/>
      <c r="G61" s="155"/>
    </row>
    <row r="62" spans="2:7" ht="14.25" customHeight="1" x14ac:dyDescent="0.25">
      <c r="B62" s="200"/>
      <c r="C62" s="155"/>
      <c r="E62" s="194"/>
      <c r="G62" s="155"/>
    </row>
    <row r="63" spans="2:7" ht="14.25" customHeight="1" x14ac:dyDescent="0.25">
      <c r="B63" s="200"/>
      <c r="C63" s="155"/>
      <c r="E63" s="194"/>
      <c r="G63" s="155"/>
    </row>
    <row r="64" spans="2:7" ht="14.25" customHeight="1" x14ac:dyDescent="0.25">
      <c r="B64" s="200"/>
      <c r="C64" s="155"/>
      <c r="E64" s="194"/>
      <c r="G64" s="155"/>
    </row>
    <row r="65" spans="2:7" ht="14.25" customHeight="1" x14ac:dyDescent="0.25">
      <c r="B65" s="200"/>
      <c r="C65" s="155"/>
      <c r="D65" s="194"/>
      <c r="E65" s="194"/>
      <c r="G65" s="155"/>
    </row>
    <row r="66" spans="2:7" ht="14.25" customHeight="1" x14ac:dyDescent="0.25">
      <c r="B66" s="200"/>
      <c r="C66" s="155"/>
      <c r="E66" s="194"/>
      <c r="G66" s="155"/>
    </row>
    <row r="67" spans="2:7" ht="14.25" customHeight="1" x14ac:dyDescent="0.25">
      <c r="B67" s="200"/>
      <c r="C67" s="155"/>
      <c r="E67" s="194"/>
      <c r="G67" s="155"/>
    </row>
    <row r="68" spans="2:7" ht="14.25" customHeight="1" x14ac:dyDescent="0.25">
      <c r="B68" s="200"/>
      <c r="C68" s="155"/>
      <c r="E68" s="194"/>
      <c r="G68" s="155"/>
    </row>
    <row r="69" spans="2:7" ht="14.25" customHeight="1" x14ac:dyDescent="0.25">
      <c r="B69" s="200"/>
      <c r="C69" s="155"/>
      <c r="E69" s="194"/>
      <c r="G69" s="155"/>
    </row>
    <row r="70" spans="2:7" ht="14.25" customHeight="1" x14ac:dyDescent="0.25">
      <c r="B70" s="200"/>
      <c r="C70" s="155"/>
      <c r="E70" s="194"/>
      <c r="G70" s="155"/>
    </row>
    <row r="71" spans="2:7" ht="14.25" customHeight="1" x14ac:dyDescent="0.25">
      <c r="B71" s="200"/>
      <c r="C71" s="155"/>
      <c r="E71" s="194"/>
      <c r="G71" s="155"/>
    </row>
    <row r="72" spans="2:7" ht="14.25" customHeight="1" x14ac:dyDescent="0.25">
      <c r="B72" s="200"/>
      <c r="C72" s="155"/>
      <c r="E72" s="194"/>
      <c r="G72" s="155"/>
    </row>
    <row r="73" spans="2:7" ht="14.25" customHeight="1" x14ac:dyDescent="0.25">
      <c r="B73" s="200"/>
      <c r="C73" s="155"/>
      <c r="E73" s="194"/>
      <c r="G73" s="155"/>
    </row>
    <row r="74" spans="2:7" ht="14.25" customHeight="1" x14ac:dyDescent="0.25">
      <c r="B74" s="200"/>
      <c r="C74" s="155"/>
      <c r="E74" s="215"/>
      <c r="G74" s="155"/>
    </row>
    <row r="75" spans="2:7" ht="14.25" customHeight="1" x14ac:dyDescent="0.25">
      <c r="B75" s="200"/>
      <c r="C75" s="155"/>
      <c r="D75" s="194"/>
      <c r="E75" s="215"/>
      <c r="G75" s="155"/>
    </row>
    <row r="76" spans="2:7" ht="14.25" customHeight="1" x14ac:dyDescent="0.25">
      <c r="B76" s="200"/>
      <c r="C76" s="155"/>
      <c r="G76" s="155"/>
    </row>
    <row r="77" spans="2:7" ht="14.25" customHeight="1" x14ac:dyDescent="0.25">
      <c r="B77" s="200"/>
      <c r="C77" s="155"/>
      <c r="G77" s="155"/>
    </row>
    <row r="78" spans="2:7" ht="14.25" customHeight="1" x14ac:dyDescent="0.25">
      <c r="B78" s="200"/>
      <c r="C78" s="155"/>
      <c r="G78" s="155"/>
    </row>
    <row r="79" spans="2:7" ht="14.25" customHeight="1" x14ac:dyDescent="0.25">
      <c r="B79" s="200"/>
      <c r="C79" s="155"/>
      <c r="G79" s="155"/>
    </row>
    <row r="80" spans="2:7" ht="14.25" customHeight="1" x14ac:dyDescent="0.25">
      <c r="B80" s="200"/>
      <c r="C80" s="155"/>
      <c r="G80" s="155"/>
    </row>
    <row r="81" spans="2:7" ht="14.25" customHeight="1" x14ac:dyDescent="0.25">
      <c r="B81" s="200"/>
      <c r="C81" s="155"/>
      <c r="G81" s="155"/>
    </row>
    <row r="82" spans="2:7" ht="14.25" customHeight="1" x14ac:dyDescent="0.25">
      <c r="B82" s="200"/>
      <c r="C82" s="155"/>
      <c r="G82" s="155"/>
    </row>
    <row r="83" spans="2:7" ht="14.25" customHeight="1" x14ac:dyDescent="0.25">
      <c r="B83" s="200"/>
      <c r="C83" s="155"/>
      <c r="G83" s="155"/>
    </row>
    <row r="84" spans="2:7" ht="14.25" customHeight="1" x14ac:dyDescent="0.25">
      <c r="B84" s="200"/>
      <c r="C84" s="155"/>
      <c r="G84" s="155"/>
    </row>
    <row r="85" spans="2:7" ht="14.25" customHeight="1" x14ac:dyDescent="0.25">
      <c r="B85" s="200"/>
      <c r="C85" s="155"/>
      <c r="G85" s="155"/>
    </row>
    <row r="86" spans="2:7" ht="14.25" customHeight="1" x14ac:dyDescent="0.25">
      <c r="B86" s="200"/>
      <c r="C86" s="155"/>
      <c r="G86" s="155"/>
    </row>
    <row r="87" spans="2:7" ht="14.25" customHeight="1" x14ac:dyDescent="0.25">
      <c r="B87" s="200"/>
      <c r="C87" s="155"/>
      <c r="G87" s="155"/>
    </row>
    <row r="88" spans="2:7" ht="14.25" customHeight="1" x14ac:dyDescent="0.25">
      <c r="B88" s="200"/>
      <c r="C88" s="155"/>
      <c r="G88" s="155"/>
    </row>
    <row r="89" spans="2:7" ht="14.25" customHeight="1" x14ac:dyDescent="0.25">
      <c r="B89" s="200"/>
      <c r="C89" s="155"/>
      <c r="G89" s="155"/>
    </row>
    <row r="90" spans="2:7" ht="14.25" customHeight="1" x14ac:dyDescent="0.25">
      <c r="B90" s="200"/>
      <c r="C90" s="155"/>
      <c r="G90" s="155"/>
    </row>
    <row r="91" spans="2:7" ht="14.25" customHeight="1" x14ac:dyDescent="0.25">
      <c r="B91" s="200"/>
      <c r="C91" s="155"/>
      <c r="G91" s="155"/>
    </row>
    <row r="92" spans="2:7" ht="14.25" customHeight="1" x14ac:dyDescent="0.25">
      <c r="B92" s="200"/>
      <c r="C92" s="155"/>
      <c r="G92" s="155"/>
    </row>
    <row r="93" spans="2:7" ht="14.25" customHeight="1" x14ac:dyDescent="0.25">
      <c r="B93" s="200"/>
      <c r="C93" s="155"/>
      <c r="G93" s="155"/>
    </row>
    <row r="94" spans="2:7" ht="14.25" customHeight="1" x14ac:dyDescent="0.25">
      <c r="B94" s="200"/>
      <c r="C94" s="155"/>
      <c r="G94" s="155"/>
    </row>
    <row r="95" spans="2:7" ht="14.25" customHeight="1" x14ac:dyDescent="0.25">
      <c r="B95" s="200"/>
      <c r="C95" s="155"/>
      <c r="G95" s="155"/>
    </row>
    <row r="96" spans="2:7" ht="14.25" customHeight="1" x14ac:dyDescent="0.25">
      <c r="B96" s="200"/>
      <c r="C96" s="155"/>
      <c r="G96" s="155"/>
    </row>
    <row r="97" spans="2:7" ht="14.25" customHeight="1" x14ac:dyDescent="0.25">
      <c r="B97" s="200"/>
      <c r="C97" s="155"/>
      <c r="G97" s="155"/>
    </row>
    <row r="98" spans="2:7" ht="14.25" customHeight="1" x14ac:dyDescent="0.25">
      <c r="B98" s="200"/>
      <c r="C98" s="155"/>
      <c r="G98" s="155"/>
    </row>
    <row r="99" spans="2:7" ht="14.25" customHeight="1" x14ac:dyDescent="0.25">
      <c r="B99" s="200"/>
      <c r="C99" s="155"/>
      <c r="G99" s="155"/>
    </row>
    <row r="100" spans="2:7" ht="14.25" customHeight="1" x14ac:dyDescent="0.25">
      <c r="B100" s="200"/>
      <c r="C100" s="155"/>
      <c r="G100" s="155"/>
    </row>
    <row r="101" spans="2:7" ht="14.25" customHeight="1" x14ac:dyDescent="0.25">
      <c r="B101" s="200"/>
      <c r="C101" s="155"/>
      <c r="G101" s="155"/>
    </row>
    <row r="102" spans="2:7" ht="14.25" customHeight="1" x14ac:dyDescent="0.25">
      <c r="B102" s="200"/>
      <c r="C102" s="155"/>
      <c r="G102" s="155"/>
    </row>
    <row r="103" spans="2:7" ht="14.25" customHeight="1" x14ac:dyDescent="0.25">
      <c r="B103" s="200"/>
      <c r="C103" s="155"/>
      <c r="G103" s="155"/>
    </row>
    <row r="104" spans="2:7" ht="14.25" customHeight="1" x14ac:dyDescent="0.25">
      <c r="B104" s="200"/>
      <c r="C104" s="155"/>
      <c r="G104" s="155"/>
    </row>
    <row r="105" spans="2:7" ht="14.25" customHeight="1" x14ac:dyDescent="0.25">
      <c r="B105" s="200"/>
      <c r="C105" s="155"/>
      <c r="G105" s="155"/>
    </row>
    <row r="106" spans="2:7" ht="14.25" customHeight="1" x14ac:dyDescent="0.25">
      <c r="B106" s="200"/>
      <c r="C106" s="155"/>
      <c r="G106" s="155"/>
    </row>
    <row r="107" spans="2:7" ht="14.25" customHeight="1" x14ac:dyDescent="0.25">
      <c r="B107" s="200"/>
      <c r="C107" s="155"/>
      <c r="G107" s="155"/>
    </row>
    <row r="108" spans="2:7" ht="14.25" customHeight="1" x14ac:dyDescent="0.25">
      <c r="B108" s="200"/>
      <c r="C108" s="155"/>
      <c r="G108" s="155"/>
    </row>
    <row r="109" spans="2:7" ht="14.25" customHeight="1" x14ac:dyDescent="0.25">
      <c r="B109" s="200"/>
      <c r="C109" s="155"/>
      <c r="G109" s="155"/>
    </row>
    <row r="110" spans="2:7" ht="14.25" customHeight="1" x14ac:dyDescent="0.25">
      <c r="B110" s="200"/>
      <c r="C110" s="155"/>
      <c r="G110" s="155"/>
    </row>
    <row r="111" spans="2:7" ht="14.25" customHeight="1" x14ac:dyDescent="0.25">
      <c r="B111" s="200"/>
      <c r="C111" s="155"/>
      <c r="G111" s="155"/>
    </row>
    <row r="112" spans="2:7" ht="14.25" customHeight="1" x14ac:dyDescent="0.25">
      <c r="B112" s="200"/>
      <c r="C112" s="155"/>
      <c r="G112" s="155"/>
    </row>
    <row r="113" spans="2:7" ht="14.25" customHeight="1" x14ac:dyDescent="0.25">
      <c r="B113" s="200"/>
      <c r="C113" s="155"/>
      <c r="G113" s="155"/>
    </row>
    <row r="114" spans="2:7" ht="14.25" customHeight="1" x14ac:dyDescent="0.25">
      <c r="B114" s="200"/>
      <c r="C114" s="155"/>
      <c r="G114" s="155"/>
    </row>
    <row r="115" spans="2:7" ht="14.25" customHeight="1" x14ac:dyDescent="0.25">
      <c r="B115" s="200"/>
      <c r="C115" s="155"/>
      <c r="G115" s="155"/>
    </row>
    <row r="116" spans="2:7" ht="14.25" customHeight="1" x14ac:dyDescent="0.25">
      <c r="B116" s="200"/>
      <c r="C116" s="155"/>
      <c r="G116" s="155"/>
    </row>
    <row r="117" spans="2:7" ht="14.25" customHeight="1" x14ac:dyDescent="0.25">
      <c r="B117" s="200"/>
      <c r="C117" s="155"/>
      <c r="G117" s="155"/>
    </row>
    <row r="118" spans="2:7" ht="14.25" customHeight="1" x14ac:dyDescent="0.25">
      <c r="B118" s="200"/>
      <c r="C118" s="155"/>
      <c r="G118" s="155"/>
    </row>
    <row r="119" spans="2:7" ht="14.25" customHeight="1" x14ac:dyDescent="0.25">
      <c r="B119" s="200"/>
      <c r="C119" s="155"/>
      <c r="G119" s="155"/>
    </row>
    <row r="120" spans="2:7" ht="14.25" customHeight="1" x14ac:dyDescent="0.25">
      <c r="B120" s="200"/>
      <c r="C120" s="155"/>
      <c r="G120" s="155"/>
    </row>
    <row r="121" spans="2:7" ht="14.25" customHeight="1" x14ac:dyDescent="0.25">
      <c r="B121" s="200"/>
      <c r="C121" s="155"/>
      <c r="G121" s="155"/>
    </row>
    <row r="122" spans="2:7" ht="14.25" customHeight="1" x14ac:dyDescent="0.25">
      <c r="B122" s="200"/>
      <c r="C122" s="155"/>
      <c r="G122" s="155"/>
    </row>
    <row r="123" spans="2:7" ht="14.25" customHeight="1" x14ac:dyDescent="0.25">
      <c r="B123" s="200"/>
      <c r="C123" s="155"/>
      <c r="G123" s="155"/>
    </row>
    <row r="124" spans="2:7" ht="14.25" customHeight="1" x14ac:dyDescent="0.25">
      <c r="B124" s="200"/>
      <c r="C124" s="155"/>
      <c r="G124" s="155"/>
    </row>
    <row r="125" spans="2:7" ht="14.25" customHeight="1" x14ac:dyDescent="0.25">
      <c r="B125" s="200"/>
      <c r="C125" s="155"/>
      <c r="G125" s="155"/>
    </row>
    <row r="126" spans="2:7" ht="14.25" customHeight="1" x14ac:dyDescent="0.25">
      <c r="B126" s="200"/>
      <c r="C126" s="155"/>
      <c r="G126" s="155"/>
    </row>
    <row r="127" spans="2:7" ht="14.25" customHeight="1" x14ac:dyDescent="0.25">
      <c r="B127" s="200"/>
      <c r="C127" s="155"/>
      <c r="G127" s="155"/>
    </row>
    <row r="128" spans="2:7" ht="14.25" customHeight="1" x14ac:dyDescent="0.25">
      <c r="B128" s="200"/>
      <c r="C128" s="155"/>
      <c r="G128" s="155"/>
    </row>
    <row r="129" spans="2:7" ht="14.25" customHeight="1" x14ac:dyDescent="0.25">
      <c r="B129" s="200"/>
      <c r="C129" s="155"/>
      <c r="G129" s="155"/>
    </row>
    <row r="130" spans="2:7" ht="14.25" customHeight="1" x14ac:dyDescent="0.25">
      <c r="B130" s="200"/>
      <c r="C130" s="155"/>
      <c r="G130" s="155"/>
    </row>
    <row r="131" spans="2:7" ht="14.25" customHeight="1" x14ac:dyDescent="0.25">
      <c r="B131" s="200"/>
      <c r="C131" s="155"/>
      <c r="G131" s="155"/>
    </row>
    <row r="132" spans="2:7" ht="14.25" customHeight="1" x14ac:dyDescent="0.25">
      <c r="B132" s="200"/>
      <c r="C132" s="155"/>
      <c r="G132" s="155"/>
    </row>
    <row r="133" spans="2:7" ht="14.25" customHeight="1" x14ac:dyDescent="0.25">
      <c r="B133" s="200"/>
      <c r="C133" s="155"/>
      <c r="G133" s="155"/>
    </row>
    <row r="134" spans="2:7" ht="14.25" customHeight="1" x14ac:dyDescent="0.25">
      <c r="B134" s="200"/>
      <c r="C134" s="155"/>
      <c r="G134" s="155"/>
    </row>
    <row r="135" spans="2:7" ht="14.25" customHeight="1" x14ac:dyDescent="0.25">
      <c r="B135" s="200"/>
      <c r="C135" s="155"/>
      <c r="G135" s="155"/>
    </row>
    <row r="136" spans="2:7" ht="14.25" customHeight="1" x14ac:dyDescent="0.25">
      <c r="B136" s="200"/>
      <c r="C136" s="155"/>
      <c r="G136" s="155"/>
    </row>
    <row r="137" spans="2:7" ht="14.25" customHeight="1" x14ac:dyDescent="0.25">
      <c r="B137" s="200"/>
      <c r="C137" s="155"/>
      <c r="G137" s="155"/>
    </row>
    <row r="138" spans="2:7" ht="14.25" customHeight="1" x14ac:dyDescent="0.25">
      <c r="B138" s="200"/>
      <c r="C138" s="155"/>
      <c r="G138" s="155"/>
    </row>
    <row r="139" spans="2:7" ht="14.25" customHeight="1" x14ac:dyDescent="0.25">
      <c r="B139" s="200"/>
      <c r="C139" s="155"/>
      <c r="G139" s="155"/>
    </row>
    <row r="140" spans="2:7" ht="14.25" customHeight="1" x14ac:dyDescent="0.25">
      <c r="B140" s="200"/>
      <c r="C140" s="155"/>
      <c r="G140" s="155"/>
    </row>
    <row r="141" spans="2:7" ht="14.25" customHeight="1" x14ac:dyDescent="0.25">
      <c r="B141" s="200"/>
      <c r="C141" s="155"/>
      <c r="G141" s="155"/>
    </row>
    <row r="142" spans="2:7" ht="14.25" customHeight="1" x14ac:dyDescent="0.25">
      <c r="B142" s="200"/>
      <c r="C142" s="155"/>
      <c r="G142" s="155"/>
    </row>
    <row r="143" spans="2:7" ht="14.25" customHeight="1" x14ac:dyDescent="0.25">
      <c r="B143" s="200"/>
      <c r="C143" s="155"/>
      <c r="G143" s="155"/>
    </row>
    <row r="144" spans="2:7" ht="14.25" customHeight="1" x14ac:dyDescent="0.25">
      <c r="B144" s="200"/>
      <c r="C144" s="155"/>
      <c r="G144" s="155"/>
    </row>
    <row r="145" spans="2:7" ht="14.25" customHeight="1" x14ac:dyDescent="0.25">
      <c r="B145" s="200"/>
      <c r="C145" s="155"/>
      <c r="G145" s="155"/>
    </row>
    <row r="146" spans="2:7" ht="14.25" customHeight="1" x14ac:dyDescent="0.25">
      <c r="B146" s="200"/>
      <c r="C146" s="155"/>
      <c r="G146" s="155"/>
    </row>
    <row r="147" spans="2:7" ht="14.25" customHeight="1" x14ac:dyDescent="0.25">
      <c r="B147" s="200"/>
      <c r="C147" s="155"/>
      <c r="G147" s="155"/>
    </row>
    <row r="148" spans="2:7" ht="14.25" customHeight="1" x14ac:dyDescent="0.25">
      <c r="B148" s="200"/>
      <c r="C148" s="155"/>
      <c r="G148" s="155"/>
    </row>
    <row r="149" spans="2:7" ht="14.25" customHeight="1" x14ac:dyDescent="0.25">
      <c r="B149" s="200"/>
      <c r="C149" s="155"/>
      <c r="G149" s="155"/>
    </row>
    <row r="150" spans="2:7" ht="14.25" customHeight="1" x14ac:dyDescent="0.25">
      <c r="B150" s="200"/>
      <c r="C150" s="155"/>
      <c r="G150" s="155"/>
    </row>
    <row r="151" spans="2:7" ht="14.25" customHeight="1" x14ac:dyDescent="0.25">
      <c r="B151" s="200"/>
      <c r="C151" s="155"/>
      <c r="G151" s="155"/>
    </row>
    <row r="152" spans="2:7" ht="14.25" customHeight="1" x14ac:dyDescent="0.25">
      <c r="B152" s="200"/>
      <c r="C152" s="155"/>
      <c r="G152" s="155"/>
    </row>
    <row r="153" spans="2:7" ht="14.25" customHeight="1" x14ac:dyDescent="0.25">
      <c r="B153" s="200"/>
      <c r="C153" s="155"/>
      <c r="G153" s="155"/>
    </row>
    <row r="154" spans="2:7" ht="14.25" customHeight="1" x14ac:dyDescent="0.25">
      <c r="B154" s="200"/>
      <c r="C154" s="155"/>
      <c r="G154" s="155"/>
    </row>
    <row r="155" spans="2:7" ht="14.25" customHeight="1" x14ac:dyDescent="0.25">
      <c r="B155" s="200"/>
      <c r="C155" s="155"/>
      <c r="G155" s="155"/>
    </row>
    <row r="156" spans="2:7" ht="14.25" customHeight="1" x14ac:dyDescent="0.25">
      <c r="B156" s="200"/>
      <c r="C156" s="155"/>
      <c r="G156" s="155"/>
    </row>
    <row r="157" spans="2:7" ht="14.25" customHeight="1" x14ac:dyDescent="0.25">
      <c r="B157" s="200"/>
      <c r="C157" s="155"/>
      <c r="G157" s="155"/>
    </row>
    <row r="158" spans="2:7" ht="14.25" customHeight="1" x14ac:dyDescent="0.25">
      <c r="B158" s="200"/>
      <c r="C158" s="155"/>
      <c r="G158" s="155"/>
    </row>
    <row r="159" spans="2:7" ht="14.25" customHeight="1" x14ac:dyDescent="0.25">
      <c r="B159" s="200"/>
      <c r="C159" s="155"/>
      <c r="G159" s="155"/>
    </row>
    <row r="160" spans="2:7" ht="14.25" customHeight="1" x14ac:dyDescent="0.25">
      <c r="B160" s="200"/>
      <c r="C160" s="155"/>
      <c r="G160" s="155"/>
    </row>
    <row r="161" spans="2:7" ht="14.25" customHeight="1" x14ac:dyDescent="0.25">
      <c r="B161" s="200"/>
      <c r="C161" s="155"/>
      <c r="G161" s="155"/>
    </row>
    <row r="162" spans="2:7" ht="14.25" customHeight="1" x14ac:dyDescent="0.25">
      <c r="B162" s="200"/>
      <c r="C162" s="155"/>
      <c r="G162" s="155"/>
    </row>
    <row r="163" spans="2:7" ht="14.25" customHeight="1" x14ac:dyDescent="0.25">
      <c r="B163" s="200"/>
      <c r="C163" s="155"/>
      <c r="G163" s="155"/>
    </row>
    <row r="164" spans="2:7" ht="14.25" customHeight="1" x14ac:dyDescent="0.25">
      <c r="B164" s="200"/>
      <c r="C164" s="155"/>
      <c r="G164" s="155"/>
    </row>
    <row r="165" spans="2:7" ht="14.25" customHeight="1" x14ac:dyDescent="0.25">
      <c r="B165" s="200"/>
      <c r="C165" s="155"/>
      <c r="G165" s="155"/>
    </row>
    <row r="166" spans="2:7" ht="14.25" customHeight="1" x14ac:dyDescent="0.25">
      <c r="B166" s="200"/>
      <c r="C166" s="155"/>
      <c r="G166" s="155"/>
    </row>
    <row r="167" spans="2:7" ht="14.25" customHeight="1" x14ac:dyDescent="0.25">
      <c r="B167" s="200"/>
      <c r="C167" s="155"/>
      <c r="G167" s="155"/>
    </row>
    <row r="168" spans="2:7" ht="14.25" customHeight="1" x14ac:dyDescent="0.25">
      <c r="B168" s="200"/>
      <c r="C168" s="155"/>
      <c r="G168" s="155"/>
    </row>
    <row r="169" spans="2:7" ht="14.25" customHeight="1" x14ac:dyDescent="0.25">
      <c r="B169" s="200"/>
      <c r="C169" s="155"/>
      <c r="G169" s="155"/>
    </row>
    <row r="170" spans="2:7" ht="14.25" customHeight="1" x14ac:dyDescent="0.25">
      <c r="B170" s="200"/>
      <c r="C170" s="155"/>
      <c r="G170" s="155"/>
    </row>
    <row r="171" spans="2:7" ht="14.25" customHeight="1" x14ac:dyDescent="0.25">
      <c r="B171" s="200"/>
      <c r="C171" s="155"/>
      <c r="G171" s="155"/>
    </row>
    <row r="172" spans="2:7" ht="14.25" customHeight="1" x14ac:dyDescent="0.25">
      <c r="B172" s="200"/>
      <c r="C172" s="155"/>
      <c r="G172" s="155"/>
    </row>
    <row r="173" spans="2:7" ht="14.25" customHeight="1" x14ac:dyDescent="0.25">
      <c r="B173" s="200"/>
      <c r="C173" s="155"/>
      <c r="G173" s="155"/>
    </row>
    <row r="174" spans="2:7" ht="14.25" customHeight="1" x14ac:dyDescent="0.25">
      <c r="B174" s="200"/>
      <c r="C174" s="155"/>
      <c r="G174" s="155"/>
    </row>
    <row r="175" spans="2:7" ht="14.25" customHeight="1" x14ac:dyDescent="0.25">
      <c r="B175" s="200"/>
      <c r="C175" s="155"/>
      <c r="G175" s="155"/>
    </row>
    <row r="176" spans="2:7" ht="14.25" customHeight="1" x14ac:dyDescent="0.25">
      <c r="B176" s="200"/>
      <c r="C176" s="155"/>
      <c r="G176" s="155"/>
    </row>
    <row r="177" spans="2:7" ht="14.25" customHeight="1" x14ac:dyDescent="0.25">
      <c r="B177" s="200"/>
      <c r="C177" s="155"/>
      <c r="G177" s="155"/>
    </row>
    <row r="178" spans="2:7" ht="14.25" customHeight="1" x14ac:dyDescent="0.25">
      <c r="B178" s="200"/>
      <c r="C178" s="155"/>
      <c r="G178" s="155"/>
    </row>
    <row r="179" spans="2:7" ht="14.25" customHeight="1" x14ac:dyDescent="0.25">
      <c r="B179" s="200"/>
      <c r="C179" s="155"/>
      <c r="G179" s="155"/>
    </row>
    <row r="180" spans="2:7" ht="14.25" customHeight="1" x14ac:dyDescent="0.25">
      <c r="B180" s="200"/>
      <c r="C180" s="155"/>
      <c r="G180" s="155"/>
    </row>
    <row r="181" spans="2:7" ht="14.25" customHeight="1" x14ac:dyDescent="0.25">
      <c r="B181" s="200"/>
      <c r="C181" s="155"/>
      <c r="G181" s="155"/>
    </row>
    <row r="182" spans="2:7" ht="14.25" customHeight="1" x14ac:dyDescent="0.25">
      <c r="B182" s="200"/>
      <c r="C182" s="155"/>
      <c r="G182" s="155"/>
    </row>
    <row r="183" spans="2:7" ht="14.25" customHeight="1" x14ac:dyDescent="0.25">
      <c r="B183" s="200"/>
      <c r="C183" s="155"/>
      <c r="G183" s="155"/>
    </row>
    <row r="184" spans="2:7" ht="14.25" customHeight="1" x14ac:dyDescent="0.25">
      <c r="B184" s="200"/>
      <c r="C184" s="155"/>
      <c r="G184" s="155"/>
    </row>
    <row r="185" spans="2:7" ht="14.25" customHeight="1" x14ac:dyDescent="0.25">
      <c r="B185" s="200"/>
      <c r="C185" s="155"/>
      <c r="G185" s="155"/>
    </row>
    <row r="186" spans="2:7" ht="14.25" customHeight="1" x14ac:dyDescent="0.25">
      <c r="B186" s="200"/>
      <c r="C186" s="155"/>
      <c r="G186" s="155"/>
    </row>
    <row r="187" spans="2:7" ht="14.25" customHeight="1" x14ac:dyDescent="0.25">
      <c r="B187" s="200"/>
      <c r="C187" s="155"/>
      <c r="G187" s="155"/>
    </row>
    <row r="188" spans="2:7" ht="14.25" customHeight="1" x14ac:dyDescent="0.25">
      <c r="B188" s="200"/>
      <c r="C188" s="155"/>
      <c r="G188" s="155"/>
    </row>
    <row r="189" spans="2:7" ht="14.25" customHeight="1" x14ac:dyDescent="0.25">
      <c r="B189" s="200"/>
      <c r="C189" s="155"/>
      <c r="G189" s="155"/>
    </row>
    <row r="190" spans="2:7" ht="14.25" customHeight="1" x14ac:dyDescent="0.25">
      <c r="B190" s="200"/>
      <c r="C190" s="155"/>
      <c r="G190" s="155"/>
    </row>
    <row r="191" spans="2:7" ht="14.25" customHeight="1" x14ac:dyDescent="0.25">
      <c r="B191" s="200"/>
      <c r="C191" s="155"/>
      <c r="G191" s="155"/>
    </row>
    <row r="192" spans="2:7" ht="14.25" customHeight="1" x14ac:dyDescent="0.25">
      <c r="B192" s="200"/>
      <c r="C192" s="155"/>
      <c r="G192" s="155"/>
    </row>
    <row r="193" spans="2:7" ht="14.25" customHeight="1" x14ac:dyDescent="0.25">
      <c r="B193" s="200"/>
      <c r="C193" s="155"/>
      <c r="G193" s="155"/>
    </row>
    <row r="194" spans="2:7" ht="14.25" customHeight="1" x14ac:dyDescent="0.25">
      <c r="B194" s="200"/>
      <c r="C194" s="155"/>
      <c r="G194" s="155"/>
    </row>
    <row r="195" spans="2:7" ht="14.25" customHeight="1" x14ac:dyDescent="0.25">
      <c r="B195" s="200"/>
      <c r="C195" s="155"/>
      <c r="G195" s="155"/>
    </row>
    <row r="196" spans="2:7" ht="14.25" customHeight="1" x14ac:dyDescent="0.25">
      <c r="B196" s="200"/>
      <c r="C196" s="155"/>
      <c r="G196" s="155"/>
    </row>
    <row r="197" spans="2:7" ht="14.25" customHeight="1" x14ac:dyDescent="0.25">
      <c r="B197" s="200"/>
      <c r="C197" s="155"/>
      <c r="G197" s="155"/>
    </row>
    <row r="198" spans="2:7" ht="14.25" customHeight="1" x14ac:dyDescent="0.25">
      <c r="B198" s="200"/>
      <c r="C198" s="155"/>
      <c r="G198" s="155"/>
    </row>
    <row r="199" spans="2:7" ht="14.25" customHeight="1" x14ac:dyDescent="0.25">
      <c r="B199" s="200"/>
      <c r="C199" s="155"/>
      <c r="G199" s="155"/>
    </row>
    <row r="200" spans="2:7" ht="14.25" customHeight="1" x14ac:dyDescent="0.25">
      <c r="B200" s="200"/>
      <c r="C200" s="155"/>
      <c r="G200" s="155"/>
    </row>
    <row r="201" spans="2:7" ht="14.25" customHeight="1" x14ac:dyDescent="0.25">
      <c r="B201" s="200"/>
      <c r="C201" s="155"/>
      <c r="G201" s="155"/>
    </row>
    <row r="202" spans="2:7" ht="14.25" customHeight="1" x14ac:dyDescent="0.25">
      <c r="B202" s="200"/>
      <c r="C202" s="155"/>
      <c r="G202" s="155"/>
    </row>
    <row r="203" spans="2:7" ht="14.25" customHeight="1" x14ac:dyDescent="0.25">
      <c r="B203" s="200"/>
      <c r="C203" s="155"/>
      <c r="G203" s="155"/>
    </row>
    <row r="204" spans="2:7" ht="14.25" customHeight="1" x14ac:dyDescent="0.25">
      <c r="B204" s="200"/>
      <c r="C204" s="155"/>
      <c r="G204" s="155"/>
    </row>
    <row r="205" spans="2:7" ht="14.25" customHeight="1" x14ac:dyDescent="0.25">
      <c r="B205" s="200"/>
      <c r="C205" s="155"/>
      <c r="G205" s="155"/>
    </row>
    <row r="206" spans="2:7" ht="14.25" customHeight="1" x14ac:dyDescent="0.25">
      <c r="B206" s="200"/>
      <c r="C206" s="155"/>
      <c r="G206" s="155"/>
    </row>
    <row r="207" spans="2:7" ht="14.25" customHeight="1" x14ac:dyDescent="0.25">
      <c r="B207" s="200"/>
      <c r="C207" s="155"/>
      <c r="G207" s="155"/>
    </row>
    <row r="208" spans="2:7" ht="14.25" customHeight="1" x14ac:dyDescent="0.25">
      <c r="B208" s="200"/>
      <c r="C208" s="155"/>
      <c r="G208" s="155"/>
    </row>
    <row r="209" spans="2:7" ht="14.25" customHeight="1" x14ac:dyDescent="0.25">
      <c r="B209" s="200"/>
      <c r="C209" s="155"/>
      <c r="G209" s="155"/>
    </row>
    <row r="210" spans="2:7" ht="14.25" customHeight="1" x14ac:dyDescent="0.25">
      <c r="B210" s="200"/>
      <c r="C210" s="155"/>
      <c r="G210" s="155"/>
    </row>
    <row r="211" spans="2:7" ht="14.25" customHeight="1" x14ac:dyDescent="0.25">
      <c r="B211" s="200"/>
      <c r="C211" s="155"/>
      <c r="G211" s="155"/>
    </row>
    <row r="212" spans="2:7" ht="14.25" customHeight="1" x14ac:dyDescent="0.25">
      <c r="B212" s="200"/>
      <c r="C212" s="155"/>
      <c r="G212" s="155"/>
    </row>
    <row r="213" spans="2:7" ht="14.25" customHeight="1" x14ac:dyDescent="0.25">
      <c r="B213" s="200"/>
      <c r="C213" s="155"/>
      <c r="G213" s="155"/>
    </row>
    <row r="214" spans="2:7" ht="14.25" customHeight="1" x14ac:dyDescent="0.25">
      <c r="B214" s="200"/>
      <c r="C214" s="155"/>
      <c r="G214" s="155"/>
    </row>
    <row r="215" spans="2:7" ht="14.25" customHeight="1" x14ac:dyDescent="0.25">
      <c r="B215" s="200"/>
      <c r="C215" s="155"/>
      <c r="G215" s="155"/>
    </row>
    <row r="216" spans="2:7" ht="14.25" customHeight="1" x14ac:dyDescent="0.25">
      <c r="B216" s="200"/>
      <c r="C216" s="155"/>
      <c r="G216" s="155"/>
    </row>
    <row r="217" spans="2:7" ht="14.25" customHeight="1" x14ac:dyDescent="0.25">
      <c r="B217" s="200"/>
      <c r="C217" s="155"/>
      <c r="G217" s="155"/>
    </row>
    <row r="218" spans="2:7" ht="14.25" customHeight="1" x14ac:dyDescent="0.25">
      <c r="B218" s="200"/>
      <c r="C218" s="155"/>
      <c r="G218" s="155"/>
    </row>
    <row r="219" spans="2:7" ht="14.25" customHeight="1" x14ac:dyDescent="0.25">
      <c r="B219" s="200"/>
      <c r="C219" s="155"/>
      <c r="G219" s="155"/>
    </row>
    <row r="220" spans="2:7" ht="14.25" customHeight="1" x14ac:dyDescent="0.25">
      <c r="B220" s="200"/>
      <c r="C220" s="155"/>
      <c r="G220" s="155"/>
    </row>
    <row r="221" spans="2:7" ht="14.25" customHeight="1" x14ac:dyDescent="0.25">
      <c r="B221" s="200"/>
      <c r="C221" s="155"/>
      <c r="G221" s="155"/>
    </row>
    <row r="222" spans="2:7" ht="14.25" customHeight="1" x14ac:dyDescent="0.25">
      <c r="B222" s="200"/>
      <c r="C222" s="155"/>
      <c r="G222" s="155"/>
    </row>
    <row r="223" spans="2:7" ht="14.25" customHeight="1" x14ac:dyDescent="0.25">
      <c r="B223" s="200"/>
      <c r="C223" s="155"/>
      <c r="G223" s="155"/>
    </row>
    <row r="224" spans="2:7" ht="14.25" customHeight="1" x14ac:dyDescent="0.25">
      <c r="B224" s="200"/>
      <c r="C224" s="155"/>
      <c r="G224" s="155"/>
    </row>
    <row r="225" spans="2:7" ht="14.25" customHeight="1" x14ac:dyDescent="0.25">
      <c r="B225" s="200"/>
      <c r="C225" s="155"/>
      <c r="G225" s="155"/>
    </row>
    <row r="226" spans="2:7" ht="14.25" customHeight="1" x14ac:dyDescent="0.25">
      <c r="B226" s="200"/>
      <c r="C226" s="155"/>
      <c r="G226" s="155"/>
    </row>
    <row r="227" spans="2:7" ht="14.25" customHeight="1" x14ac:dyDescent="0.25">
      <c r="B227" s="200"/>
      <c r="C227" s="155"/>
      <c r="G227" s="155"/>
    </row>
    <row r="228" spans="2:7" ht="14.25" customHeight="1" x14ac:dyDescent="0.25">
      <c r="B228" s="200"/>
      <c r="C228" s="155"/>
      <c r="G228" s="155"/>
    </row>
    <row r="229" spans="2:7" ht="14.25" customHeight="1" x14ac:dyDescent="0.25">
      <c r="B229" s="200"/>
      <c r="C229" s="155"/>
      <c r="G229" s="155"/>
    </row>
    <row r="230" spans="2:7" ht="14.25" customHeight="1" x14ac:dyDescent="0.25">
      <c r="B230" s="200"/>
      <c r="C230" s="155"/>
      <c r="G230" s="155"/>
    </row>
    <row r="231" spans="2:7" ht="14.25" customHeight="1" x14ac:dyDescent="0.25">
      <c r="B231" s="200"/>
      <c r="C231" s="155"/>
      <c r="G231" s="155"/>
    </row>
    <row r="232" spans="2:7" ht="14.25" customHeight="1" x14ac:dyDescent="0.25">
      <c r="B232" s="200"/>
      <c r="C232" s="155"/>
      <c r="G232" s="155"/>
    </row>
    <row r="233" spans="2:7" ht="14.25" customHeight="1" x14ac:dyDescent="0.25">
      <c r="B233" s="200"/>
      <c r="C233" s="155"/>
      <c r="G233" s="155"/>
    </row>
    <row r="234" spans="2:7" ht="14.25" customHeight="1" x14ac:dyDescent="0.25">
      <c r="B234" s="200"/>
      <c r="C234" s="155"/>
      <c r="G234" s="155"/>
    </row>
    <row r="235" spans="2:7" ht="14.25" customHeight="1" x14ac:dyDescent="0.25">
      <c r="B235" s="200"/>
      <c r="C235" s="155"/>
      <c r="G235" s="155"/>
    </row>
    <row r="236" spans="2:7" ht="14.25" customHeight="1" x14ac:dyDescent="0.25">
      <c r="B236" s="200"/>
      <c r="C236" s="155"/>
      <c r="G236" s="155"/>
    </row>
    <row r="237" spans="2:7" ht="14.25" customHeight="1" x14ac:dyDescent="0.25">
      <c r="B237" s="200"/>
      <c r="C237" s="155"/>
      <c r="G237" s="155"/>
    </row>
    <row r="238" spans="2:7" ht="14.25" customHeight="1" x14ac:dyDescent="0.25">
      <c r="B238" s="200"/>
      <c r="C238" s="155"/>
      <c r="G238" s="155"/>
    </row>
    <row r="239" spans="2:7" ht="14.25" customHeight="1" x14ac:dyDescent="0.25">
      <c r="B239" s="200"/>
      <c r="C239" s="155"/>
      <c r="G239" s="155"/>
    </row>
    <row r="240" spans="2:7" ht="14.25" customHeight="1" x14ac:dyDescent="0.25">
      <c r="B240" s="200"/>
      <c r="C240" s="155"/>
      <c r="G240" s="155"/>
    </row>
    <row r="241" spans="2:7" ht="14.25" customHeight="1" x14ac:dyDescent="0.25">
      <c r="B241" s="200"/>
      <c r="C241" s="155"/>
      <c r="G241" s="155"/>
    </row>
    <row r="242" spans="2:7" ht="14.25" customHeight="1" x14ac:dyDescent="0.25">
      <c r="B242" s="200"/>
      <c r="C242" s="155"/>
      <c r="G242" s="155"/>
    </row>
    <row r="243" spans="2:7" ht="14.25" customHeight="1" x14ac:dyDescent="0.25">
      <c r="B243" s="200"/>
      <c r="C243" s="155"/>
      <c r="G243" s="155"/>
    </row>
    <row r="244" spans="2:7" ht="14.25" customHeight="1" x14ac:dyDescent="0.25">
      <c r="B244" s="200"/>
      <c r="C244" s="155"/>
      <c r="G244" s="155"/>
    </row>
    <row r="245" spans="2:7" ht="14.25" customHeight="1" x14ac:dyDescent="0.25">
      <c r="B245" s="200"/>
      <c r="C245" s="155"/>
      <c r="G245" s="155"/>
    </row>
    <row r="246" spans="2:7" ht="14.25" customHeight="1" x14ac:dyDescent="0.25">
      <c r="B246" s="200"/>
      <c r="C246" s="155"/>
      <c r="G246" s="155"/>
    </row>
    <row r="247" spans="2:7" ht="14.25" customHeight="1" x14ac:dyDescent="0.25">
      <c r="B247" s="200"/>
      <c r="C247" s="155"/>
      <c r="G247" s="155"/>
    </row>
    <row r="248" spans="2:7" ht="14.25" customHeight="1" x14ac:dyDescent="0.25">
      <c r="B248" s="200"/>
      <c r="C248" s="155"/>
      <c r="G248" s="155"/>
    </row>
    <row r="249" spans="2:7" ht="14.25" customHeight="1" x14ac:dyDescent="0.25">
      <c r="B249" s="200"/>
      <c r="C249" s="155"/>
      <c r="G249" s="155"/>
    </row>
    <row r="250" spans="2:7" ht="14.25" customHeight="1" x14ac:dyDescent="0.25">
      <c r="B250" s="200"/>
      <c r="C250" s="155"/>
      <c r="G250" s="155"/>
    </row>
    <row r="251" spans="2:7" ht="14.25" customHeight="1" x14ac:dyDescent="0.25">
      <c r="B251" s="200"/>
      <c r="C251" s="155"/>
      <c r="G251" s="155"/>
    </row>
    <row r="252" spans="2:7" ht="14.25" customHeight="1" x14ac:dyDescent="0.25">
      <c r="B252" s="200"/>
      <c r="C252" s="155"/>
      <c r="G252" s="155"/>
    </row>
    <row r="253" spans="2:7" ht="15.75" customHeight="1" x14ac:dyDescent="0.25"/>
    <row r="254" spans="2:7" ht="15.75" customHeight="1" x14ac:dyDescent="0.25"/>
    <row r="255" spans="2:7" ht="15.75" customHeight="1" x14ac:dyDescent="0.25"/>
    <row r="256" spans="2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9" xr:uid="{00000000-0009-0000-0000-00000E000000}">
    <filterColumn colId="3">
      <filters>
        <filter val="JOURNEY'S END RE DES:DIRECT DEP ID:XXXXX07040829BM INDN:DIAZ BARRAGAN,DARIO CO ID:XXXXX11101 PPD"/>
        <filter val="JOURNEY'S END RE DES:DIRECT DEP ID:XXXXX08235659BM INDN:DIAZ BARRAGAN,DARIO CO ID:XXXXX11101 PPD"/>
        <filter val="JOURNEY'S END RE DES:DIRECT DEP ID:XXXXX69317989BM INDN:DIAZ BARRAGAN,DARIO CO ID:XXXXX11101 PPD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montly</vt:lpstr>
      <vt:lpstr>Stocks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APR!deposit</vt:lpstr>
      <vt:lpstr>JUN!deposit</vt:lpstr>
      <vt:lpstr>MAY!deposit</vt:lpstr>
      <vt:lpstr>OCT!processing_dlg_link_5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Diaz Barragan</dc:creator>
  <cp:lastModifiedBy>Francisco Diaz Barragan</cp:lastModifiedBy>
  <dcterms:created xsi:type="dcterms:W3CDTF">2016-11-30T00:04:34Z</dcterms:created>
  <dcterms:modified xsi:type="dcterms:W3CDTF">2024-07-27T21:25:22Z</dcterms:modified>
</cp:coreProperties>
</file>