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24. Budgeting and Forecasting\Attachments\"/>
    </mc:Choice>
  </mc:AlternateContent>
  <xr:revisionPtr revIDLastSave="0" documentId="13_ncr:1_{FB2F7581-F8B3-4BF4-A41B-BDDA7B9142CC}" xr6:coauthVersionLast="45" xr6:coauthVersionMax="45" xr10:uidLastSave="{00000000-0000-0000-0000-000000000000}"/>
  <bookViews>
    <workbookView xWindow="28600" yWindow="4800" windowWidth="19320" windowHeight="7560" xr2:uid="{23F0187C-124F-4E60-85F8-E895C0E9287E}"/>
  </bookViews>
  <sheets>
    <sheet name="Cover Page" sheetId="2" r:id="rId1"/>
    <sheet name="Capital Budget Template" sheetId="3" r:id="rId2"/>
  </sheets>
  <externalReferences>
    <externalReference r:id="rId3"/>
  </externalReferences>
  <definedNames>
    <definedName name="__123Graph_A" hidden="1">[1]Graphs!$C$8:$C$18</definedName>
    <definedName name="__123Graph_AGRAPH1" hidden="1">[1]Graphs!$C$8:$C$18</definedName>
    <definedName name="__123Graph_AGRAPH2" hidden="1">[1]Summary!#REF!</definedName>
    <definedName name="__123Graph_AGRAPH3" hidden="1">[1]Summary!#REF!</definedName>
    <definedName name="__123Graph_B" hidden="1">[1]Graphs!$E$8:$E$18</definedName>
    <definedName name="__123Graph_BGRAPH1" hidden="1">[1]Graphs!$E$8:$E$18</definedName>
    <definedName name="__123Graph_C" hidden="1">[1]Graphs!$G$8:$G$18</definedName>
    <definedName name="__123Graph_CGRAPH1" hidden="1">[1]Graphs!$G$8:$G$18</definedName>
    <definedName name="__123Graph_D" hidden="1">[1]Graphs!$I$8:$I$18</definedName>
    <definedName name="__123Graph_DGRAPH1" hidden="1">[1]Graphs!$I$8:$I$18</definedName>
    <definedName name="__123Graph_E" hidden="1">[1]Graphs!$K$8:$K$18</definedName>
    <definedName name="__123Graph_EGRAPH1" hidden="1">[1]Graphs!$K$8:$K$18</definedName>
    <definedName name="__123Graph_X" hidden="1">[1]Graphs!$B$8:$B$18</definedName>
    <definedName name="__123Graph_XGRAPH1" hidden="1">[1]Graphs!$B$8:$B$18</definedName>
    <definedName name="__123Graph_XGRAPH3" hidden="1">[1]Summary!#REF!</definedName>
    <definedName name="_Fill" hidden="1">#REF!</definedName>
    <definedName name="_Sort" hidden="1">[1]Summary!$E$63:$W$92</definedName>
    <definedName name="_Table1_In1" hidden="1">[1]Graphs!$K$5</definedName>
    <definedName name="_Table1_Out" hidden="1">[1]Graphs!$J$7:$K$18</definedName>
    <definedName name="CIQWBGuid" hidden="1">"2cd8126d-26c3-430c-b7fa-a069e3a1fc62"</definedName>
    <definedName name="FormulaChecker.Colour.19" hidden="1">12648447</definedName>
    <definedName name="FormulaChecker.Colour.41" hidden="1">16737843</definedName>
    <definedName name="FormulaChecker.Colour.48" hidden="1">9868950</definedName>
    <definedName name="FormulaChecker.Colour.6" hidden="1">65535</definedName>
    <definedName name="hashpass.admin" hidden="1">"Wuu"</definedName>
    <definedName name="hashpass.corporate" hidden="1">"[ˆC"</definedName>
    <definedName name="hashpass.region" hidden="1">"A"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  <definedName name="q" hidden="1">[1]Summary!#REF!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3" l="1"/>
  <c r="E51" i="3"/>
  <c r="F51" i="3"/>
  <c r="G51" i="3"/>
  <c r="H51" i="3"/>
  <c r="I51" i="3"/>
  <c r="J51" i="3"/>
  <c r="K51" i="3"/>
  <c r="L51" i="3"/>
  <c r="C51" i="3"/>
  <c r="B52" i="3" l="1"/>
  <c r="C50" i="3"/>
  <c r="B46" i="3"/>
  <c r="C37" i="3"/>
  <c r="D37" i="3" s="1"/>
  <c r="E37" i="3" s="1"/>
  <c r="F37" i="3" s="1"/>
  <c r="G37" i="3" s="1"/>
  <c r="H37" i="3" s="1"/>
  <c r="I37" i="3" s="1"/>
  <c r="J37" i="3" s="1"/>
  <c r="K37" i="3" s="1"/>
  <c r="L37" i="3" s="1"/>
  <c r="C35" i="3"/>
  <c r="L34" i="3"/>
  <c r="K34" i="3"/>
  <c r="J34" i="3"/>
  <c r="J39" i="3" s="1"/>
  <c r="J43" i="3" s="1"/>
  <c r="I34" i="3"/>
  <c r="H34" i="3"/>
  <c r="G34" i="3"/>
  <c r="F34" i="3"/>
  <c r="G39" i="3" s="1"/>
  <c r="G43" i="3" s="1"/>
  <c r="E34" i="3"/>
  <c r="D34" i="3"/>
  <c r="C34" i="3"/>
  <c r="L31" i="3"/>
  <c r="K31" i="3"/>
  <c r="I31" i="3"/>
  <c r="H31" i="3"/>
  <c r="G31" i="3"/>
  <c r="F31" i="3"/>
  <c r="E31" i="3"/>
  <c r="D31" i="3"/>
  <c r="C31" i="3"/>
  <c r="L30" i="3"/>
  <c r="K30" i="3"/>
  <c r="J30" i="3"/>
  <c r="I30" i="3"/>
  <c r="H30" i="3"/>
  <c r="G30" i="3"/>
  <c r="F30" i="3"/>
  <c r="E30" i="3"/>
  <c r="D30" i="3"/>
  <c r="C30" i="3"/>
  <c r="B26" i="3"/>
  <c r="B25" i="3"/>
  <c r="B24" i="3"/>
  <c r="B22" i="3"/>
  <c r="B21" i="3"/>
  <c r="B23" i="3" s="1"/>
  <c r="B27" i="3" s="1"/>
  <c r="L12" i="3"/>
  <c r="C15" i="2"/>
  <c r="I46" i="3" l="1"/>
  <c r="H46" i="3"/>
  <c r="K46" i="3"/>
  <c r="L46" i="3"/>
  <c r="C46" i="3"/>
  <c r="D46" i="3"/>
  <c r="J46" i="3"/>
  <c r="E46" i="3"/>
  <c r="C39" i="3"/>
  <c r="C43" i="3" s="1"/>
  <c r="G46" i="3"/>
  <c r="K39" i="3"/>
  <c r="K43" i="3" s="1"/>
  <c r="B45" i="3"/>
  <c r="B47" i="3"/>
  <c r="D39" i="3"/>
  <c r="D43" i="3" s="1"/>
  <c r="L39" i="3"/>
  <c r="L43" i="3" s="1"/>
  <c r="D35" i="3"/>
  <c r="E39" i="3"/>
  <c r="E43" i="3" s="1"/>
  <c r="C36" i="3"/>
  <c r="C38" i="3" s="1"/>
  <c r="C44" i="3"/>
  <c r="F39" i="3"/>
  <c r="F43" i="3" s="1"/>
  <c r="C52" i="3"/>
  <c r="F46" i="3"/>
  <c r="H39" i="3"/>
  <c r="H43" i="3" s="1"/>
  <c r="I39" i="3"/>
  <c r="I43" i="3" s="1"/>
  <c r="C40" i="3" l="1"/>
  <c r="C41" i="3" s="1"/>
  <c r="C42" i="3" s="1"/>
  <c r="D50" i="3"/>
  <c r="D52" i="3" s="1"/>
  <c r="D44" i="3"/>
  <c r="D36" i="3"/>
  <c r="D38" i="3" s="1"/>
  <c r="D40" i="3" s="1"/>
  <c r="E35" i="3"/>
  <c r="E50" i="3" l="1"/>
  <c r="E52" i="3" s="1"/>
  <c r="D41" i="3"/>
  <c r="D42" i="3" s="1"/>
  <c r="D45" i="3" s="1"/>
  <c r="D47" i="3" s="1"/>
  <c r="C45" i="3"/>
  <c r="E44" i="3"/>
  <c r="E36" i="3"/>
  <c r="E38" i="3" s="1"/>
  <c r="E40" i="3" s="1"/>
  <c r="F35" i="3"/>
  <c r="F50" i="3" l="1"/>
  <c r="F52" i="3" s="1"/>
  <c r="C47" i="3"/>
  <c r="E41" i="3"/>
  <c r="E42" i="3" s="1"/>
  <c r="F44" i="3"/>
  <c r="F36" i="3"/>
  <c r="F38" i="3" s="1"/>
  <c r="F40" i="3" s="1"/>
  <c r="G35" i="3"/>
  <c r="G50" i="3" l="1"/>
  <c r="G52" i="3" s="1"/>
  <c r="E45" i="3"/>
  <c r="E47" i="3" s="1"/>
  <c r="F41" i="3"/>
  <c r="F42" i="3"/>
  <c r="F45" i="3" s="1"/>
  <c r="F47" i="3" s="1"/>
  <c r="G44" i="3"/>
  <c r="G36" i="3"/>
  <c r="G38" i="3" s="1"/>
  <c r="G40" i="3" s="1"/>
  <c r="H35" i="3"/>
  <c r="H50" i="3" l="1"/>
  <c r="I50" i="3" s="1"/>
  <c r="G41" i="3"/>
  <c r="G42" i="3" s="1"/>
  <c r="I35" i="3"/>
  <c r="H44" i="3"/>
  <c r="H36" i="3"/>
  <c r="H38" i="3" s="1"/>
  <c r="H40" i="3" s="1"/>
  <c r="H52" i="3" l="1"/>
  <c r="H41" i="3"/>
  <c r="H42" i="3" s="1"/>
  <c r="H45" i="3" s="1"/>
  <c r="H47" i="3" s="1"/>
  <c r="G45" i="3"/>
  <c r="G47" i="3" s="1"/>
  <c r="J50" i="3"/>
  <c r="I52" i="3"/>
  <c r="J35" i="3"/>
  <c r="I44" i="3"/>
  <c r="I36" i="3"/>
  <c r="I38" i="3" s="1"/>
  <c r="I40" i="3" s="1"/>
  <c r="J44" i="3" l="1"/>
  <c r="J36" i="3"/>
  <c r="J38" i="3" s="1"/>
  <c r="J40" i="3" s="1"/>
  <c r="K35" i="3"/>
  <c r="I41" i="3"/>
  <c r="I42" i="3" s="1"/>
  <c r="I45" i="3" s="1"/>
  <c r="I47" i="3" s="1"/>
  <c r="K50" i="3"/>
  <c r="J52" i="3"/>
  <c r="J41" i="3" l="1"/>
  <c r="J42" i="3" s="1"/>
  <c r="J45" i="3" s="1"/>
  <c r="L50" i="3"/>
  <c r="L52" i="3" s="1"/>
  <c r="K52" i="3"/>
  <c r="K44" i="3"/>
  <c r="K36" i="3"/>
  <c r="K38" i="3" s="1"/>
  <c r="K40" i="3" s="1"/>
  <c r="L35" i="3"/>
  <c r="K41" i="3" l="1"/>
  <c r="K42" i="3" s="1"/>
  <c r="K45" i="3" s="1"/>
  <c r="K47" i="3" s="1"/>
  <c r="L44" i="3"/>
  <c r="J31" i="3" s="1"/>
  <c r="J47" i="3" s="1"/>
  <c r="L36" i="3"/>
  <c r="L38" i="3" s="1"/>
  <c r="L40" i="3" s="1"/>
  <c r="L41" i="3" l="1"/>
  <c r="L42" i="3" s="1"/>
  <c r="L45" i="3" l="1"/>
  <c r="B57" i="3"/>
  <c r="L47" i="3" l="1"/>
  <c r="B55" i="3" s="1"/>
  <c r="B56" i="3"/>
</calcChain>
</file>

<file path=xl/sharedStrings.xml><?xml version="1.0" encoding="utf-8"?>
<sst xmlns="http://schemas.openxmlformats.org/spreadsheetml/2006/main" count="80" uniqueCount="74">
  <si>
    <t>Appendix B. Capital Budgeting Template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</si>
  <si>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</si>
  <si>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</si>
  <si>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</si>
  <si>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</si>
  <si>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</si>
  <si>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</si>
  <si>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</si>
  <si>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</si>
  <si>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</si>
  <si>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</si>
  <si>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 xml:space="preserve">© Corporate Finance Institute. All rights reserved.  </t>
  </si>
  <si>
    <t>Capital Budgeting Template</t>
  </si>
  <si>
    <t>Initial Investment</t>
  </si>
  <si>
    <t>Cash Flow Details</t>
  </si>
  <si>
    <t>Discount rate</t>
  </si>
  <si>
    <t>Revenues in  year 1</t>
  </si>
  <si>
    <t>Approach(1:Direct; 2:WACC)</t>
  </si>
  <si>
    <t>Opportunity cost</t>
  </si>
  <si>
    <t>Var. Expenses as % of Rev</t>
  </si>
  <si>
    <t>Discount Rate (Direct)</t>
  </si>
  <si>
    <t>Lifetime of the investment (yrs)</t>
  </si>
  <si>
    <t>Fixed expenses in year 1</t>
  </si>
  <si>
    <t>Beta</t>
  </si>
  <si>
    <t>Salvage Value at end of project</t>
  </si>
  <si>
    <t>Tax rate on net income</t>
  </si>
  <si>
    <t>Risk Free Rate</t>
  </si>
  <si>
    <t>Deprec. method(1:St.line;2:DDB)</t>
  </si>
  <si>
    <t>Equity Risk Premium</t>
  </si>
  <si>
    <t>Tax Credit (if any )</t>
  </si>
  <si>
    <t>Working Capital</t>
  </si>
  <si>
    <t>Debt Ratio</t>
  </si>
  <si>
    <t>Other invest.(non-depreciable)</t>
  </si>
  <si>
    <t>Initial Investment in Working Cap</t>
  </si>
  <si>
    <t>Cost of Debt</t>
  </si>
  <si>
    <t>Working Capital as % of Rev</t>
  </si>
  <si>
    <t>WACC</t>
  </si>
  <si>
    <t>Salvageable fraction at end</t>
  </si>
  <si>
    <t>Growth Rates</t>
  </si>
  <si>
    <t>Year</t>
  </si>
  <si>
    <t>Revenues</t>
  </si>
  <si>
    <t>na</t>
  </si>
  <si>
    <t>Fixed Expenses</t>
  </si>
  <si>
    <t>Investment</t>
  </si>
  <si>
    <t xml:space="preserve"> - Tax Credit</t>
  </si>
  <si>
    <t>Net Investment</t>
  </si>
  <si>
    <t xml:space="preserve"> + Working Cap</t>
  </si>
  <si>
    <t xml:space="preserve"> + Opp. Cost</t>
  </si>
  <si>
    <t xml:space="preserve"> + Other invest.</t>
  </si>
  <si>
    <t>Salvate Value</t>
  </si>
  <si>
    <t>Equipment</t>
  </si>
  <si>
    <t>Operating Cash Flow</t>
  </si>
  <si>
    <t>Lifetime Index</t>
  </si>
  <si>
    <t xml:space="preserve"> - Variable Expenses</t>
  </si>
  <si>
    <t xml:space="preserve"> - Fixed Expenses</t>
  </si>
  <si>
    <t>EBITDA</t>
  </si>
  <si>
    <t xml:space="preserve"> - Depreciation</t>
  </si>
  <si>
    <t>EBIT</t>
  </si>
  <si>
    <t xml:space="preserve"> -Tax</t>
  </si>
  <si>
    <t>EBIT(1-t)</t>
  </si>
  <si>
    <t xml:space="preserve"> + Depreciation</t>
  </si>
  <si>
    <t xml:space="preserve"> - ∂ Work. Cap</t>
  </si>
  <si>
    <t>Cash Flow (CF)</t>
  </si>
  <si>
    <t>Discount Factor</t>
  </si>
  <si>
    <t>Discounted CF</t>
  </si>
  <si>
    <t>Depreciation Schedule</t>
  </si>
  <si>
    <t>BOOK VALUE &amp; DEPRECIATION</t>
  </si>
  <si>
    <t>Book Value (opening)</t>
  </si>
  <si>
    <t>Depreciation</t>
  </si>
  <si>
    <t>Book Value (closing)</t>
  </si>
  <si>
    <t>Investment Returns</t>
  </si>
  <si>
    <t>NPV</t>
  </si>
  <si>
    <t>IRR</t>
  </si>
  <si>
    <t>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</si>
</sst>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\(&quot;$&quot;#,##0\)"/>
    <numFmt numFmtId="165" formatCode="0.000"/>
    <numFmt numFmtId="166" formatCode="&quot;$&quot;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Geneva"/>
    </font>
    <font>
      <u/>
      <sz val="11"/>
      <color rgb="FF00206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sz val="10"/>
      <name val="Geneva"/>
    </font>
    <font>
      <sz val="8"/>
      <color theme="0"/>
      <name val="Arial Narrow"/>
      <family val="2"/>
    </font>
    <font>
      <sz val="10"/>
      <name val="Arial"/>
      <family val="2"/>
    </font>
    <font>
      <b/>
      <sz val="14"/>
      <color theme="0"/>
      <name val="Arial Narrow"/>
      <family val="2"/>
    </font>
    <font>
      <sz val="10"/>
      <name val="Arial Narrow"/>
      <family val="2"/>
    </font>
    <font>
      <b/>
      <sz val="14"/>
      <color rgb="FFFFFFFF"/>
      <name val="Arial Narrow"/>
      <family val="2"/>
    </font>
    <font>
      <b/>
      <sz val="11"/>
      <color theme="0"/>
      <name val="Arial Narrow"/>
      <family val="2"/>
    </font>
    <font>
      <b/>
      <sz val="10"/>
      <name val="Arial Narrow"/>
      <family val="2"/>
    </font>
    <font>
      <sz val="10"/>
      <color rgb="FF0000FF"/>
      <name val="Arial Narrow"/>
      <family val="2"/>
    </font>
    <font>
      <b/>
      <sz val="10"/>
      <color rgb="FF0000FF"/>
      <name val="Arial Narrow"/>
      <family val="2"/>
    </font>
    <font>
      <sz val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0" fontId="12" fillId="0" borderId="0"/>
  </cellStyleXfs>
  <cellXfs count="49">
    <xf numFmtId="0" fontId="0" fillId="0" borderId="0" xfId="0"/>
    <xf numFmtId="0" fontId="2" fillId="2" borderId="0" xfId="1" applyFont="1" applyFill="1"/>
    <xf numFmtId="0" fontId="2" fillId="0" borderId="0" xfId="1" applyFont="1" applyFill="1" applyBorder="1"/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Alignment="1">
      <alignment horizontal="right"/>
    </xf>
    <xf numFmtId="0" fontId="2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6" fillId="0" borderId="1" xfId="2" applyFont="1" applyFill="1" applyBorder="1" applyProtection="1">
      <protection locked="0"/>
    </xf>
    <xf numFmtId="0" fontId="1" fillId="0" borderId="0" xfId="1"/>
    <xf numFmtId="0" fontId="2" fillId="0" borderId="1" xfId="1" applyFont="1" applyFill="1" applyBorder="1"/>
    <xf numFmtId="0" fontId="8" fillId="0" borderId="0" xfId="3" applyFont="1" applyFill="1" applyBorder="1"/>
    <xf numFmtId="0" fontId="9" fillId="3" borderId="0" xfId="1" applyFont="1" applyFill="1" applyBorder="1"/>
    <xf numFmtId="0" fontId="2" fillId="3" borderId="0" xfId="1" applyFont="1" applyFill="1" applyBorder="1"/>
    <xf numFmtId="0" fontId="2" fillId="4" borderId="0" xfId="1" applyFont="1" applyFill="1"/>
    <xf numFmtId="0" fontId="9" fillId="3" borderId="0" xfId="1" applyFont="1" applyFill="1"/>
    <xf numFmtId="0" fontId="11" fillId="3" borderId="0" xfId="4" applyFont="1" applyFill="1"/>
    <xf numFmtId="0" fontId="13" fillId="3" borderId="0" xfId="5" applyFont="1" applyFill="1" applyBorder="1" applyAlignment="1">
      <alignment horizontal="centerContinuous"/>
    </xf>
    <xf numFmtId="0" fontId="13" fillId="3" borderId="0" xfId="5" applyFont="1" applyFill="1" applyBorder="1"/>
    <xf numFmtId="0" fontId="14" fillId="0" borderId="0" xfId="4" applyFont="1"/>
    <xf numFmtId="0" fontId="15" fillId="3" borderId="0" xfId="4" applyFont="1" applyFill="1" applyBorder="1" applyAlignment="1">
      <alignment horizontal="left" vertical="center" readingOrder="1"/>
    </xf>
    <xf numFmtId="0" fontId="16" fillId="3" borderId="0" xfId="5" applyFont="1" applyFill="1" applyBorder="1" applyAlignment="1">
      <alignment horizontal="centerContinuous"/>
    </xf>
    <xf numFmtId="0" fontId="17" fillId="0" borderId="0" xfId="4" applyFont="1"/>
    <xf numFmtId="0" fontId="17" fillId="5" borderId="0" xfId="4" applyFont="1" applyFill="1" applyBorder="1"/>
    <xf numFmtId="0" fontId="14" fillId="5" borderId="0" xfId="4" applyFont="1" applyFill="1" applyBorder="1"/>
    <xf numFmtId="0" fontId="14" fillId="0" borderId="0" xfId="4" applyFont="1" applyBorder="1"/>
    <xf numFmtId="164" fontId="18" fillId="0" borderId="2" xfId="4" applyNumberFormat="1" applyFont="1" applyBorder="1" applyAlignment="1">
      <alignment horizontal="center"/>
    </xf>
    <xf numFmtId="164" fontId="18" fillId="0" borderId="0" xfId="4" applyNumberFormat="1" applyFont="1" applyBorder="1" applyAlignment="1">
      <alignment horizontal="center"/>
    </xf>
    <xf numFmtId="0" fontId="18" fillId="0" borderId="0" xfId="4" applyFont="1" applyBorder="1" applyAlignment="1">
      <alignment horizontal="center"/>
    </xf>
    <xf numFmtId="9" fontId="18" fillId="0" borderId="0" xfId="4" applyNumberFormat="1" applyFont="1" applyBorder="1" applyAlignment="1">
      <alignment horizontal="center"/>
    </xf>
    <xf numFmtId="9" fontId="18" fillId="0" borderId="2" xfId="4" applyNumberFormat="1" applyFont="1" applyBorder="1" applyAlignment="1">
      <alignment horizontal="center"/>
    </xf>
    <xf numFmtId="10" fontId="18" fillId="0" borderId="0" xfId="4" applyNumberFormat="1" applyFont="1" applyBorder="1" applyAlignment="1">
      <alignment horizontal="center"/>
    </xf>
    <xf numFmtId="0" fontId="14" fillId="0" borderId="0" xfId="4" applyFont="1" applyAlignment="1">
      <alignment horizontal="center"/>
    </xf>
    <xf numFmtId="10" fontId="14" fillId="0" borderId="2" xfId="4" applyNumberFormat="1" applyFont="1" applyBorder="1" applyAlignment="1">
      <alignment horizontal="center"/>
    </xf>
    <xf numFmtId="0" fontId="17" fillId="0" borderId="0" xfId="4" applyFont="1" applyBorder="1"/>
    <xf numFmtId="0" fontId="19" fillId="0" borderId="0" xfId="4" applyFont="1"/>
    <xf numFmtId="0" fontId="14" fillId="0" borderId="1" xfId="4" applyFont="1" applyBorder="1"/>
    <xf numFmtId="0" fontId="14" fillId="0" borderId="1" xfId="4" applyFont="1" applyBorder="1" applyAlignment="1">
      <alignment horizontal="right"/>
    </xf>
    <xf numFmtId="10" fontId="18" fillId="0" borderId="1" xfId="4" applyNumberFormat="1" applyFont="1" applyBorder="1"/>
    <xf numFmtId="0" fontId="14" fillId="0" borderId="0" xfId="4" applyFont="1" applyBorder="1" applyAlignment="1">
      <alignment horizontal="right"/>
    </xf>
    <xf numFmtId="10" fontId="18" fillId="0" borderId="0" xfId="4" applyNumberFormat="1" applyFont="1" applyBorder="1"/>
    <xf numFmtId="164" fontId="14" fillId="0" borderId="0" xfId="4" applyNumberFormat="1" applyFont="1" applyBorder="1"/>
    <xf numFmtId="164" fontId="14" fillId="0" borderId="1" xfId="4" applyNumberFormat="1" applyFont="1" applyBorder="1"/>
    <xf numFmtId="164" fontId="14" fillId="0" borderId="0" xfId="4" applyNumberFormat="1" applyFont="1"/>
    <xf numFmtId="165" fontId="14" fillId="0" borderId="0" xfId="4" applyNumberFormat="1" applyFont="1" applyBorder="1"/>
    <xf numFmtId="0" fontId="17" fillId="0" borderId="0" xfId="4" applyFont="1" applyFill="1" applyBorder="1"/>
    <xf numFmtId="164" fontId="17" fillId="0" borderId="0" xfId="4" applyNumberFormat="1" applyFont="1" applyFill="1" applyBorder="1"/>
    <xf numFmtId="10" fontId="17" fillId="0" borderId="0" xfId="4" applyNumberFormat="1" applyFont="1" applyFill="1" applyBorder="1"/>
    <xf numFmtId="0" fontId="20" fillId="0" borderId="0" xfId="4" applyFont="1"/>
    <xf numFmtId="166" fontId="14" fillId="0" borderId="0" xfId="4" applyNumberFormat="1" applyFont="1"/>
  </cellXfs>
  <cellStyles count="6">
    <cellStyle name="Hyperlink 2" xfId="2" xr:uid="{BBD7B2BA-2E73-4528-866F-8553EE74BD4D}"/>
    <cellStyle name="Hyperlink 2 2" xfId="3" xr:uid="{29846D64-7CE3-4FD6-AE11-F853FD5C2787}"/>
    <cellStyle name="Normal" xfId="0" builtinId="0"/>
    <cellStyle name="Normal 2" xfId="4" xr:uid="{B4FC7E92-8A98-4778-A9B0-F9511AEDBA4B}"/>
    <cellStyle name="Normal 2 2" xfId="1" xr:uid="{CCD265C7-EE09-4935-8478-DDE762DEC712}"/>
    <cellStyle name="Normal 27" xfId="5" xr:uid="{9ACAC483-883B-4614-A58F-5591375D20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C23C2A-FFFC-49AD-83AC-5CF3A25B4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r\CElliott\mining\Open%20Pit\Fairyland\work_march01\Economics\Lev_anl385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ilters"/>
      <sheetName val="Calc"/>
      <sheetName val="Input_Data"/>
      <sheetName val="Grade_Tonnes"/>
      <sheetName val="Graphs"/>
      <sheetName val="Module1"/>
      <sheetName val="Module2"/>
      <sheetName val="21Jan05-13Apr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K5">
            <v>1</v>
          </cell>
        </row>
        <row r="7">
          <cell r="K7">
            <v>0.23253563289931251</v>
          </cell>
        </row>
        <row r="8">
          <cell r="B8">
            <v>0.5</v>
          </cell>
          <cell r="C8">
            <v>0.69156301080363158</v>
          </cell>
          <cell r="E8">
            <v>0.74268335588123258</v>
          </cell>
          <cell r="G8">
            <v>0.55478524232601945</v>
          </cell>
          <cell r="I8">
            <v>-0.22260737883699033</v>
          </cell>
          <cell r="J8">
            <v>0.5</v>
          </cell>
          <cell r="K8">
            <v>-0.38373218355034378</v>
          </cell>
        </row>
        <row r="9">
          <cell r="B9">
            <v>0.6</v>
          </cell>
          <cell r="C9">
            <v>0.57430111680409934</v>
          </cell>
          <cell r="E9">
            <v>0.60945255368848328</v>
          </cell>
          <cell r="G9">
            <v>0.47752471537047358</v>
          </cell>
          <cell r="I9">
            <v>-0.11348517077771592</v>
          </cell>
          <cell r="J9">
            <v>0.6</v>
          </cell>
          <cell r="K9">
            <v>-0.26047862026041241</v>
          </cell>
        </row>
        <row r="10">
          <cell r="B10">
            <v>0.7</v>
          </cell>
          <cell r="C10">
            <v>0.47224285224138551</v>
          </cell>
          <cell r="E10">
            <v>0.49514633455996993</v>
          </cell>
          <cell r="G10">
            <v>0.40757916589632054</v>
          </cell>
          <cell r="I10">
            <v>-1.469458387257579E-2</v>
          </cell>
          <cell r="J10">
            <v>0.7</v>
          </cell>
          <cell r="K10">
            <v>-0.13722505697048129</v>
          </cell>
        </row>
        <row r="11">
          <cell r="B11">
            <v>0.8</v>
          </cell>
          <cell r="C11">
            <v>0.38261138527509175</v>
          </cell>
          <cell r="E11">
            <v>0.39599990685645164</v>
          </cell>
          <cell r="G11">
            <v>0.34395668446733252</v>
          </cell>
          <cell r="I11">
            <v>7.5165347573866143E-2</v>
          </cell>
          <cell r="J11">
            <v>0.8</v>
          </cell>
          <cell r="K11">
            <v>-1.3971493680549877E-2</v>
          </cell>
        </row>
        <row r="12">
          <cell r="B12">
            <v>0.9</v>
          </cell>
          <cell r="C12">
            <v>0.30326730157866993</v>
          </cell>
          <cell r="E12">
            <v>0.30918498357802143</v>
          </cell>
          <cell r="G12">
            <v>0.28583694312912827</v>
          </cell>
          <cell r="I12">
            <v>0.15725324881621544</v>
          </cell>
          <cell r="J12">
            <v>0.9</v>
          </cell>
          <cell r="K12">
            <v>0.10928206960938136</v>
          </cell>
        </row>
        <row r="13">
          <cell r="B13">
            <v>1</v>
          </cell>
          <cell r="C13">
            <v>0.23253563289931251</v>
          </cell>
          <cell r="E13">
            <v>0.23253563289931251</v>
          </cell>
          <cell r="G13">
            <v>0.23253563289931251</v>
          </cell>
          <cell r="I13">
            <v>0.23253563289931251</v>
          </cell>
          <cell r="J13">
            <v>1</v>
          </cell>
          <cell r="K13">
            <v>0.23253563289931251</v>
          </cell>
        </row>
        <row r="14">
          <cell r="B14">
            <v>1.1000000000000001</v>
          </cell>
          <cell r="C14">
            <v>0.16908631167794011</v>
          </cell>
          <cell r="E14">
            <v>0.16436510658544895</v>
          </cell>
          <cell r="G14">
            <v>0.18347739415982106</v>
          </cell>
          <cell r="I14">
            <v>0.30182513357580337</v>
          </cell>
          <cell r="J14">
            <v>1.1000000000000001</v>
          </cell>
          <cell r="K14">
            <v>0.35578919618924393</v>
          </cell>
        </row>
        <row r="15">
          <cell r="B15">
            <v>1.2</v>
          </cell>
          <cell r="C15">
            <v>0.11184974215658187</v>
          </cell>
          <cell r="E15">
            <v>0.10334026898074083</v>
          </cell>
          <cell r="G15">
            <v>0.1381749642478852</v>
          </cell>
          <cell r="I15">
            <v>0.36580995709746222</v>
          </cell>
          <cell r="J15">
            <v>1.2</v>
          </cell>
          <cell r="K15">
            <v>0.47904275947917502</v>
          </cell>
        </row>
        <row r="16">
          <cell r="B16">
            <v>1.3</v>
          </cell>
          <cell r="C16">
            <v>5.9956014949915475E-2</v>
          </cell>
          <cell r="E16">
            <v>4.8393546872797483E-2</v>
          </cell>
          <cell r="G16">
            <v>9.6212937743819518E-2</v>
          </cell>
          <cell r="I16">
            <v>0.42507681906696521</v>
          </cell>
          <cell r="J16">
            <v>1.3</v>
          </cell>
          <cell r="K16">
            <v>0.60229632276910638</v>
          </cell>
        </row>
        <row r="17">
          <cell r="B17">
            <v>1.4</v>
          </cell>
          <cell r="C17">
            <v>1.2690384904341417E-2</v>
          </cell>
          <cell r="E17">
            <v>-1.3400591531465011E-3</v>
          </cell>
          <cell r="G17">
            <v>5.7234991362869012E-2</v>
          </cell>
          <cell r="I17">
            <v>0.48012898790801661</v>
          </cell>
          <cell r="J17">
            <v>1.4</v>
          </cell>
          <cell r="K17">
            <v>0.72554988605903736</v>
          </cell>
        </row>
        <row r="18">
          <cell r="B18">
            <v>1.5</v>
          </cell>
          <cell r="C18">
            <v>-3.0539847542743345E-2</v>
          </cell>
          <cell r="E18">
            <v>-4.6568847022441372E-2</v>
          </cell>
          <cell r="G18">
            <v>2.0933740725908173E-2</v>
          </cell>
          <cell r="I18">
            <v>0.53140061108886238</v>
          </cell>
          <cell r="J18">
            <v>1.5</v>
          </cell>
          <cell r="K18">
            <v>0.84880344934896912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5CB8-E7C9-45F4-AC82-F98AECF887B8}">
  <dimension ref="B1:O46"/>
  <sheetViews>
    <sheetView showGridLines="0" tabSelected="1" zoomScaleNormal="100" workbookViewId="0"/>
  </sheetViews>
  <sheetFormatPr defaultColWidth="9.08984375" defaultRowHeight="14"/>
  <cols>
    <col min="1" max="2" width="11" style="1" customWidth="1"/>
    <col min="3" max="3" width="33.08984375" style="1" customWidth="1"/>
    <col min="4" max="22" width="11" style="1" customWidth="1"/>
    <col min="23" max="25" width="9.08984375" style="1"/>
    <col min="26" max="26" width="9.08984375" style="1" customWidth="1"/>
    <col min="27" max="16384" width="9.08984375" style="1"/>
  </cols>
  <sheetData>
    <row r="1" spans="2:15" ht="19.5" customHeight="1"/>
    <row r="2" spans="2:15" ht="19.5" customHeight="1"/>
    <row r="3" spans="2:15" ht="19.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ht="19.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ht="19.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ht="19.5" customHeight="1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ht="19.5" customHeight="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ht="19.5" customHeight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ht="19.5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 ht="19.5" customHeigh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ht="19.5" customHeight="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 ht="27">
      <c r="B12" s="2"/>
      <c r="C12" s="3" t="s">
        <v>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4" t="s">
        <v>1</v>
      </c>
      <c r="O12" s="2"/>
    </row>
    <row r="13" spans="2:15" ht="19.5" customHeight="1">
      <c r="B13" s="2"/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ht="19.5" customHeight="1">
      <c r="B14" s="2"/>
      <c r="C14" s="6" t="s">
        <v>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ht="19.5" customHeight="1">
      <c r="B15" s="2"/>
      <c r="C15" s="7" t="str">
        <f ca="1">RIGHT(CELL("filename",'Capital Budget Template'!A1),LEN(CELL("filename",'Capital Budget Template'!A1))-FIND("]",CELL("filename",'Capital Budget Template'!A1)))</f>
        <v>Capital Budget Template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 ht="19.5" customHeight="1">
      <c r="B16" s="2"/>
      <c r="C16" s="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 ht="19.5" customHeight="1">
      <c r="B17" s="2"/>
      <c r="C17" s="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 ht="19.5" customHeight="1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 ht="19.5" customHeight="1">
      <c r="B19" s="2"/>
      <c r="C19" s="2" t="s">
        <v>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2:15" ht="19.5" customHeight="1">
      <c r="B20" s="2"/>
      <c r="C20" s="9" t="s">
        <v>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2"/>
    </row>
    <row r="21" spans="2:15" ht="19.5" customHeight="1">
      <c r="B21" s="2"/>
      <c r="C21" s="2" t="s">
        <v>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2:15" ht="19.5" customHeight="1">
      <c r="B22" s="2"/>
      <c r="C22" s="10" t="s">
        <v>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2:15" ht="19.5" customHeight="1">
      <c r="B23" s="2"/>
      <c r="C23" s="10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2:15" ht="19.5" customHeight="1">
      <c r="B24" s="2"/>
      <c r="C24" s="11" t="s">
        <v>7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"/>
    </row>
    <row r="25" spans="2:15" ht="19.5" customHeight="1">
      <c r="B25" s="13"/>
      <c r="C25" s="14" t="s">
        <v>8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3"/>
    </row>
    <row r="26" spans="2:15" ht="19.5" customHeight="1">
      <c r="B26" s="13"/>
      <c r="C26" s="14" t="s">
        <v>9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3"/>
    </row>
    <row r="27" spans="2:15" ht="19.5" customHeight="1">
      <c r="B27" s="13"/>
      <c r="C27" s="14" t="s">
        <v>10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3"/>
    </row>
    <row r="28" spans="2:15" ht="19.5" customHeight="1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3"/>
    </row>
    <row r="29" spans="2:15" ht="19.5" customHeight="1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15" location="'Capital Budget Template'!A1" display="'Capital Budget Template'!A1" xr:uid="{A98B92D7-8C9E-4E8D-944F-01FAD19F690A}"/>
    <hyperlink ref="C22" r:id="rId1" xr:uid="{17DFC55D-5029-4620-9CEE-30BEB454A762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C3F5-7F53-4A82-9543-8CD664B07642}">
  <dimension ref="A1:L57"/>
  <sheetViews>
    <sheetView showGridLines="0" zoomScale="115" zoomScaleNormal="115" workbookViewId="0"/>
  </sheetViews>
  <sheetFormatPr defaultColWidth="9.1796875" defaultRowHeight="13"/>
  <cols>
    <col min="1" max="1" width="14.90625" style="18" customWidth="1"/>
    <col min="2" max="12" width="11.453125" style="18" customWidth="1"/>
    <col min="13" max="16384" width="9.1796875" style="18"/>
  </cols>
  <sheetData>
    <row r="1" spans="1:12" ht="18">
      <c r="A1" s="15" t="s">
        <v>11</v>
      </c>
      <c r="B1" s="16"/>
      <c r="C1" s="16"/>
      <c r="D1" s="17"/>
      <c r="E1" s="16"/>
      <c r="F1" s="16"/>
      <c r="G1" s="17"/>
      <c r="H1" s="16"/>
      <c r="I1" s="16"/>
      <c r="J1" s="17"/>
      <c r="K1" s="16"/>
      <c r="L1" s="16"/>
    </row>
    <row r="2" spans="1:12" s="21" customFormat="1" ht="18">
      <c r="A2" s="19" t="s">
        <v>12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15" customHeight="1">
      <c r="E3" s="21"/>
    </row>
    <row r="4" spans="1:12" ht="15" customHeight="1">
      <c r="A4" s="22" t="s">
        <v>13</v>
      </c>
      <c r="B4" s="23"/>
      <c r="C4" s="23"/>
      <c r="E4" s="22" t="s">
        <v>14</v>
      </c>
      <c r="F4" s="23"/>
      <c r="G4" s="23"/>
      <c r="H4" s="23"/>
      <c r="J4" s="22" t="s">
        <v>15</v>
      </c>
      <c r="K4" s="23"/>
      <c r="L4" s="23"/>
    </row>
    <row r="5" spans="1:12" ht="15" customHeight="1">
      <c r="A5" s="24" t="s">
        <v>13</v>
      </c>
      <c r="B5" s="24"/>
      <c r="C5" s="25">
        <v>50000</v>
      </c>
      <c r="E5" s="24" t="s">
        <v>16</v>
      </c>
      <c r="F5" s="24"/>
      <c r="H5" s="26">
        <v>40000</v>
      </c>
      <c r="J5" s="24" t="s">
        <v>17</v>
      </c>
      <c r="K5" s="24"/>
      <c r="L5" s="27">
        <v>2</v>
      </c>
    </row>
    <row r="6" spans="1:12" ht="15" customHeight="1">
      <c r="A6" s="24" t="s">
        <v>18</v>
      </c>
      <c r="B6" s="24"/>
      <c r="C6" s="26">
        <v>7484</v>
      </c>
      <c r="E6" s="24" t="s">
        <v>19</v>
      </c>
      <c r="F6" s="24"/>
      <c r="H6" s="28">
        <v>0.5</v>
      </c>
      <c r="J6" s="24" t="s">
        <v>20</v>
      </c>
      <c r="K6" s="24"/>
      <c r="L6" s="29">
        <v>0.1</v>
      </c>
    </row>
    <row r="7" spans="1:12" ht="15" customHeight="1">
      <c r="A7" s="24" t="s">
        <v>21</v>
      </c>
      <c r="B7" s="24"/>
      <c r="C7" s="27">
        <v>8</v>
      </c>
      <c r="E7" s="24" t="s">
        <v>22</v>
      </c>
      <c r="F7" s="24"/>
      <c r="H7" s="26">
        <v>5000</v>
      </c>
      <c r="J7" s="24" t="s">
        <v>23</v>
      </c>
      <c r="K7" s="24"/>
      <c r="L7" s="27">
        <v>0.9</v>
      </c>
    </row>
    <row r="8" spans="1:12" ht="15" customHeight="1">
      <c r="A8" s="24" t="s">
        <v>24</v>
      </c>
      <c r="B8" s="24"/>
      <c r="C8" s="26">
        <v>10000</v>
      </c>
      <c r="E8" s="24" t="s">
        <v>25</v>
      </c>
      <c r="F8" s="24"/>
      <c r="H8" s="28">
        <v>0.4</v>
      </c>
      <c r="J8" s="24" t="s">
        <v>26</v>
      </c>
      <c r="K8" s="24"/>
      <c r="L8" s="30">
        <v>0.08</v>
      </c>
    </row>
    <row r="9" spans="1:12" ht="15" customHeight="1">
      <c r="A9" s="24" t="s">
        <v>27</v>
      </c>
      <c r="B9" s="24"/>
      <c r="C9" s="27">
        <v>1</v>
      </c>
      <c r="G9" s="31"/>
      <c r="J9" s="24" t="s">
        <v>28</v>
      </c>
      <c r="K9" s="24"/>
      <c r="L9" s="30">
        <v>5.5E-2</v>
      </c>
    </row>
    <row r="10" spans="1:12" ht="15" customHeight="1">
      <c r="A10" s="24" t="s">
        <v>29</v>
      </c>
      <c r="B10" s="24"/>
      <c r="C10" s="28">
        <v>0.1</v>
      </c>
      <c r="E10" s="22" t="s">
        <v>30</v>
      </c>
      <c r="F10" s="23"/>
      <c r="G10" s="23"/>
      <c r="H10" s="23"/>
      <c r="J10" s="24" t="s">
        <v>31</v>
      </c>
      <c r="K10" s="24"/>
      <c r="L10" s="30">
        <v>0.3</v>
      </c>
    </row>
    <row r="11" spans="1:12" ht="15" customHeight="1">
      <c r="A11" s="24" t="s">
        <v>32</v>
      </c>
      <c r="B11" s="24"/>
      <c r="C11" s="27">
        <v>0</v>
      </c>
      <c r="E11" s="24" t="s">
        <v>33</v>
      </c>
      <c r="F11" s="24"/>
      <c r="H11" s="26">
        <v>10000</v>
      </c>
      <c r="J11" s="24" t="s">
        <v>34</v>
      </c>
      <c r="K11" s="24"/>
      <c r="L11" s="30">
        <v>0.09</v>
      </c>
    </row>
    <row r="12" spans="1:12" ht="15" customHeight="1">
      <c r="C12" s="31"/>
      <c r="E12" s="24" t="s">
        <v>35</v>
      </c>
      <c r="F12" s="24"/>
      <c r="H12" s="28">
        <v>0.25</v>
      </c>
      <c r="J12" s="18" t="s">
        <v>36</v>
      </c>
      <c r="L12" s="32">
        <f>IF(L5=1,L6,(L8+L7*L9)*(1-L10)+L11*(1-H8)*L10)</f>
        <v>0.10685</v>
      </c>
    </row>
    <row r="13" spans="1:12" ht="15" customHeight="1">
      <c r="E13" s="24" t="s">
        <v>37</v>
      </c>
      <c r="F13" s="24"/>
      <c r="H13" s="28">
        <v>1</v>
      </c>
    </row>
    <row r="14" spans="1:12" ht="15" customHeight="1"/>
    <row r="15" spans="1:12" ht="15" customHeight="1">
      <c r="A15" s="22" t="s">
        <v>38</v>
      </c>
      <c r="B15" s="23"/>
      <c r="C15" s="23"/>
      <c r="D15" s="23"/>
      <c r="E15" s="22"/>
      <c r="F15" s="23"/>
      <c r="G15" s="23"/>
      <c r="H15" s="23"/>
      <c r="I15" s="22"/>
      <c r="J15" s="23"/>
      <c r="K15" s="23"/>
      <c r="L15" s="23"/>
    </row>
    <row r="16" spans="1:12" ht="15" customHeight="1">
      <c r="A16" s="33" t="s">
        <v>39</v>
      </c>
      <c r="B16" s="34">
        <v>0</v>
      </c>
      <c r="C16" s="34">
        <v>1</v>
      </c>
      <c r="D16" s="34">
        <v>2</v>
      </c>
      <c r="E16" s="34">
        <v>3</v>
      </c>
      <c r="F16" s="34">
        <v>4</v>
      </c>
      <c r="G16" s="34">
        <v>5</v>
      </c>
      <c r="H16" s="34">
        <v>6</v>
      </c>
      <c r="I16" s="34">
        <v>7</v>
      </c>
      <c r="J16" s="34">
        <v>8</v>
      </c>
      <c r="K16" s="34">
        <v>9</v>
      </c>
      <c r="L16" s="34">
        <v>10</v>
      </c>
    </row>
    <row r="17" spans="1:12" ht="15" customHeight="1">
      <c r="A17" s="35" t="s">
        <v>40</v>
      </c>
      <c r="B17" s="35"/>
      <c r="C17" s="36" t="s">
        <v>41</v>
      </c>
      <c r="D17" s="37">
        <v>0.1</v>
      </c>
      <c r="E17" s="37">
        <v>0.1</v>
      </c>
      <c r="F17" s="37">
        <v>0.1</v>
      </c>
      <c r="G17" s="37">
        <v>0.1</v>
      </c>
      <c r="H17" s="37">
        <v>0.05</v>
      </c>
      <c r="I17" s="37">
        <v>0.05</v>
      </c>
      <c r="J17" s="37">
        <v>0.03</v>
      </c>
      <c r="K17" s="37">
        <v>0.03</v>
      </c>
      <c r="L17" s="37">
        <v>0.02</v>
      </c>
    </row>
    <row r="18" spans="1:12" ht="15" customHeight="1">
      <c r="A18" s="24" t="s">
        <v>42</v>
      </c>
      <c r="B18" s="24"/>
      <c r="C18" s="38" t="s">
        <v>41</v>
      </c>
      <c r="D18" s="39">
        <v>0.1</v>
      </c>
      <c r="E18" s="39">
        <v>0.1</v>
      </c>
      <c r="F18" s="39">
        <v>0.1</v>
      </c>
      <c r="G18" s="39">
        <v>0.1</v>
      </c>
      <c r="H18" s="39">
        <v>0.1</v>
      </c>
      <c r="I18" s="39">
        <v>0.1</v>
      </c>
      <c r="J18" s="39">
        <v>0.1</v>
      </c>
      <c r="K18" s="39">
        <v>0.1</v>
      </c>
      <c r="L18" s="39">
        <v>0.1</v>
      </c>
    </row>
    <row r="19" spans="1:12" ht="1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ht="15" customHeight="1">
      <c r="A20" s="22" t="s">
        <v>13</v>
      </c>
      <c r="B20" s="23"/>
    </row>
    <row r="21" spans="1:12" ht="15" customHeight="1">
      <c r="A21" s="24" t="s">
        <v>43</v>
      </c>
      <c r="B21" s="40">
        <f>C5</f>
        <v>50000</v>
      </c>
    </row>
    <row r="22" spans="1:12" ht="15" customHeight="1">
      <c r="A22" s="24" t="s">
        <v>44</v>
      </c>
      <c r="B22" s="40">
        <f>C5*C10</f>
        <v>5000</v>
      </c>
    </row>
    <row r="23" spans="1:12" ht="15" customHeight="1">
      <c r="A23" s="24" t="s">
        <v>45</v>
      </c>
      <c r="B23" s="41">
        <f>B21-B22</f>
        <v>45000</v>
      </c>
    </row>
    <row r="24" spans="1:12" ht="15" customHeight="1">
      <c r="A24" s="24" t="s">
        <v>46</v>
      </c>
      <c r="B24" s="40">
        <f>H11</f>
        <v>10000</v>
      </c>
    </row>
    <row r="25" spans="1:12" ht="15" customHeight="1">
      <c r="A25" s="24" t="s">
        <v>47</v>
      </c>
      <c r="B25" s="40">
        <f>C6</f>
        <v>7484</v>
      </c>
      <c r="F25" s="42"/>
    </row>
    <row r="26" spans="1:12" ht="15" customHeight="1">
      <c r="A26" s="24" t="s">
        <v>48</v>
      </c>
      <c r="B26" s="40">
        <f>C11</f>
        <v>0</v>
      </c>
    </row>
    <row r="27" spans="1:12" ht="15" customHeight="1">
      <c r="A27" s="24" t="s">
        <v>13</v>
      </c>
      <c r="B27" s="41">
        <f>B23+B24+B25+B26</f>
        <v>62484</v>
      </c>
    </row>
    <row r="28" spans="1:12" ht="15" customHeight="1"/>
    <row r="29" spans="1:12" ht="15" customHeight="1">
      <c r="A29" s="22" t="s">
        <v>49</v>
      </c>
      <c r="B29" s="23"/>
      <c r="C29" s="23"/>
      <c r="D29" s="23"/>
      <c r="E29" s="22"/>
      <c r="F29" s="23"/>
      <c r="G29" s="23"/>
      <c r="H29" s="23"/>
      <c r="I29" s="22"/>
      <c r="J29" s="23"/>
      <c r="K29" s="23"/>
      <c r="L29" s="23"/>
    </row>
    <row r="30" spans="1:12" ht="15" customHeight="1">
      <c r="A30" s="18" t="s">
        <v>50</v>
      </c>
      <c r="C30" s="42">
        <f>IF(C16=C7,C8,0)</f>
        <v>0</v>
      </c>
      <c r="D30" s="42">
        <f>IF(D16=C7,C8,0)</f>
        <v>0</v>
      </c>
      <c r="E30" s="42">
        <f>IF(E16=C7,C8,0)</f>
        <v>0</v>
      </c>
      <c r="F30" s="42">
        <f>IF(F16=C7,C8,0)</f>
        <v>0</v>
      </c>
      <c r="G30" s="42">
        <f>IF(G16=C7,C8,0)</f>
        <v>0</v>
      </c>
      <c r="H30" s="42">
        <f>IF(H16=C7,C8,0)</f>
        <v>0</v>
      </c>
      <c r="I30" s="42">
        <f>IF(I16=C7,C8,0)</f>
        <v>0</v>
      </c>
      <c r="J30" s="42">
        <f>IF(J16=C7,C8,0)</f>
        <v>10000</v>
      </c>
      <c r="K30" s="42">
        <f>IF(K16=C7,C8,0)</f>
        <v>0</v>
      </c>
      <c r="L30" s="42">
        <f>IF(L16=C7,C8,0)</f>
        <v>0</v>
      </c>
    </row>
    <row r="31" spans="1:12" ht="15" customHeight="1">
      <c r="A31" s="18" t="s">
        <v>30</v>
      </c>
      <c r="C31" s="42">
        <f>IF(C16=C7,(H11+SUM(C44:L44))*H13,0)</f>
        <v>0</v>
      </c>
      <c r="D31" s="42">
        <f>IF(D16=C7,(H11+SUM(C44:L44))*H13,0)</f>
        <v>0</v>
      </c>
      <c r="E31" s="42">
        <f>IF(E16=C7,(H11+SUM(C44:L44))*H13,0)</f>
        <v>0</v>
      </c>
      <c r="F31" s="42">
        <f>IF(F16=C7,(H11+SUM(C44:L44))*H13,0)</f>
        <v>0</v>
      </c>
      <c r="G31" s="42">
        <f>IF(G16=C7,(H11+SUM(C44:L44))*H13,0)</f>
        <v>0</v>
      </c>
      <c r="H31" s="42">
        <f>IF(21=C7,(H11+SUM(C44:L44))*H13,0)</f>
        <v>0</v>
      </c>
      <c r="I31" s="42">
        <f>IF(I16=C7,(H11+SUM(C44:L44))*H13,0)</f>
        <v>0</v>
      </c>
      <c r="J31" s="42">
        <f>IF(J16=C7,(H11+SUM(C44:L44))*H13,0)</f>
        <v>16625.953575000007</v>
      </c>
      <c r="K31" s="42">
        <f>IF(K16=C7,(H11+SUM(C44:L44))*H13,0)</f>
        <v>0</v>
      </c>
      <c r="L31" s="42">
        <f>IF(L16=C7,(H11+SUM(C44:L44))*H13,0)</f>
        <v>0</v>
      </c>
    </row>
    <row r="32" spans="1:12" ht="15" customHeight="1"/>
    <row r="33" spans="1:12" ht="15" customHeight="1">
      <c r="A33" s="22" t="s">
        <v>51</v>
      </c>
      <c r="B33" s="23"/>
      <c r="C33" s="23"/>
      <c r="D33" s="23"/>
      <c r="E33" s="22"/>
      <c r="F33" s="23"/>
      <c r="G33" s="23"/>
      <c r="H33" s="23"/>
      <c r="I33" s="22"/>
      <c r="J33" s="23"/>
      <c r="K33" s="23"/>
      <c r="L33" s="23"/>
    </row>
    <row r="34" spans="1:12" ht="15" customHeight="1">
      <c r="A34" s="24" t="s">
        <v>52</v>
      </c>
      <c r="B34" s="24"/>
      <c r="C34" s="24">
        <f>IF(C16&gt;C7,0,1)</f>
        <v>1</v>
      </c>
      <c r="D34" s="24">
        <f>IF(D16&gt;C7,0,1)</f>
        <v>1</v>
      </c>
      <c r="E34" s="24">
        <f>IF(E16&gt;C7,0,1)</f>
        <v>1</v>
      </c>
      <c r="F34" s="24">
        <f>IF(F16&gt;C7,0,1)</f>
        <v>1</v>
      </c>
      <c r="G34" s="24">
        <f>IF(G16&gt;C7,0,1)</f>
        <v>1</v>
      </c>
      <c r="H34" s="24">
        <f>IF(H16&gt;C7,0,1)</f>
        <v>1</v>
      </c>
      <c r="I34" s="24">
        <f>IF(I16&gt;C7,0,1)</f>
        <v>1</v>
      </c>
      <c r="J34" s="24">
        <f>IF(J16&gt;C7,0,1)</f>
        <v>1</v>
      </c>
      <c r="K34" s="24">
        <f>IF(K16&gt;C7,0,1)</f>
        <v>0</v>
      </c>
      <c r="L34" s="24">
        <f>IF(L16&gt;C7,0,1)</f>
        <v>0</v>
      </c>
    </row>
    <row r="35" spans="1:12" ht="15" customHeight="1">
      <c r="A35" s="24" t="s">
        <v>40</v>
      </c>
      <c r="B35" s="40"/>
      <c r="C35" s="40">
        <f>H5</f>
        <v>40000</v>
      </c>
      <c r="D35" s="40">
        <f t="shared" ref="D35:L35" si="0">C35*(1+D17)*D34</f>
        <v>44000</v>
      </c>
      <c r="E35" s="40">
        <f t="shared" si="0"/>
        <v>48400.000000000007</v>
      </c>
      <c r="F35" s="40">
        <f t="shared" si="0"/>
        <v>53240.000000000015</v>
      </c>
      <c r="G35" s="40">
        <f t="shared" si="0"/>
        <v>58564.000000000022</v>
      </c>
      <c r="H35" s="40">
        <f t="shared" si="0"/>
        <v>61492.200000000026</v>
      </c>
      <c r="I35" s="40">
        <f t="shared" si="0"/>
        <v>64566.810000000027</v>
      </c>
      <c r="J35" s="40">
        <f t="shared" si="0"/>
        <v>66503.814300000027</v>
      </c>
      <c r="K35" s="40">
        <f t="shared" si="0"/>
        <v>0</v>
      </c>
      <c r="L35" s="40">
        <f t="shared" si="0"/>
        <v>0</v>
      </c>
    </row>
    <row r="36" spans="1:12" ht="15" customHeight="1">
      <c r="A36" s="24" t="s">
        <v>53</v>
      </c>
      <c r="B36" s="40"/>
      <c r="C36" s="40">
        <f>C35*H6</f>
        <v>20000</v>
      </c>
      <c r="D36" s="40">
        <f>D35*H6</f>
        <v>22000</v>
      </c>
      <c r="E36" s="40">
        <f>E35*H6</f>
        <v>24200.000000000004</v>
      </c>
      <c r="F36" s="40">
        <f>F35*H6</f>
        <v>26620.000000000007</v>
      </c>
      <c r="G36" s="40">
        <f>G35*H6</f>
        <v>29282.000000000011</v>
      </c>
      <c r="H36" s="40">
        <f>H35*H6</f>
        <v>30746.100000000013</v>
      </c>
      <c r="I36" s="40">
        <f>I35*H6</f>
        <v>32283.405000000013</v>
      </c>
      <c r="J36" s="40">
        <f>J35*H6</f>
        <v>33251.907150000014</v>
      </c>
      <c r="K36" s="40">
        <f>K35*H6</f>
        <v>0</v>
      </c>
      <c r="L36" s="40">
        <f>L35*H6</f>
        <v>0</v>
      </c>
    </row>
    <row r="37" spans="1:12" ht="15" customHeight="1">
      <c r="A37" s="24" t="s">
        <v>54</v>
      </c>
      <c r="B37" s="40"/>
      <c r="C37" s="40">
        <f>H7</f>
        <v>5000</v>
      </c>
      <c r="D37" s="40">
        <f t="shared" ref="D37:L37" si="1">C37*(1+D18)*D34</f>
        <v>5500</v>
      </c>
      <c r="E37" s="40">
        <f t="shared" si="1"/>
        <v>6050.0000000000009</v>
      </c>
      <c r="F37" s="40">
        <f t="shared" si="1"/>
        <v>6655.0000000000018</v>
      </c>
      <c r="G37" s="40">
        <f t="shared" si="1"/>
        <v>7320.5000000000027</v>
      </c>
      <c r="H37" s="40">
        <f t="shared" si="1"/>
        <v>8052.5500000000038</v>
      </c>
      <c r="I37" s="40">
        <f t="shared" si="1"/>
        <v>8857.8050000000057</v>
      </c>
      <c r="J37" s="40">
        <f t="shared" si="1"/>
        <v>9743.5855000000065</v>
      </c>
      <c r="K37" s="40">
        <f t="shared" si="1"/>
        <v>0</v>
      </c>
      <c r="L37" s="40">
        <f t="shared" si="1"/>
        <v>0</v>
      </c>
    </row>
    <row r="38" spans="1:12" ht="15" customHeight="1">
      <c r="A38" s="35" t="s">
        <v>55</v>
      </c>
      <c r="B38" s="41"/>
      <c r="C38" s="41">
        <f t="shared" ref="C38:L38" si="2">C35-C36-C37</f>
        <v>15000</v>
      </c>
      <c r="D38" s="41">
        <f t="shared" si="2"/>
        <v>16500</v>
      </c>
      <c r="E38" s="41">
        <f t="shared" si="2"/>
        <v>18150.000000000004</v>
      </c>
      <c r="F38" s="41">
        <f t="shared" si="2"/>
        <v>19965.000000000007</v>
      </c>
      <c r="G38" s="41">
        <f t="shared" si="2"/>
        <v>21961.500000000007</v>
      </c>
      <c r="H38" s="41">
        <f t="shared" si="2"/>
        <v>22693.55000000001</v>
      </c>
      <c r="I38" s="41">
        <f t="shared" si="2"/>
        <v>23425.600000000006</v>
      </c>
      <c r="J38" s="41">
        <f t="shared" si="2"/>
        <v>23508.321650000005</v>
      </c>
      <c r="K38" s="41">
        <f t="shared" si="2"/>
        <v>0</v>
      </c>
      <c r="L38" s="41">
        <f t="shared" si="2"/>
        <v>0</v>
      </c>
    </row>
    <row r="39" spans="1:12" ht="15" customHeight="1">
      <c r="A39" s="24" t="s">
        <v>56</v>
      </c>
      <c r="B39" s="40"/>
      <c r="C39" s="40">
        <f t="shared" ref="C39:L39" si="3">C51</f>
        <v>5000</v>
      </c>
      <c r="D39" s="40">
        <f t="shared" si="3"/>
        <v>5000</v>
      </c>
      <c r="E39" s="40">
        <f t="shared" si="3"/>
        <v>5000</v>
      </c>
      <c r="F39" s="40">
        <f t="shared" si="3"/>
        <v>5000</v>
      </c>
      <c r="G39" s="40">
        <f t="shared" si="3"/>
        <v>5000</v>
      </c>
      <c r="H39" s="40">
        <f t="shared" si="3"/>
        <v>5000</v>
      </c>
      <c r="I39" s="40">
        <f t="shared" si="3"/>
        <v>5000</v>
      </c>
      <c r="J39" s="40">
        <f t="shared" si="3"/>
        <v>5000</v>
      </c>
      <c r="K39" s="40">
        <f t="shared" si="3"/>
        <v>0</v>
      </c>
      <c r="L39" s="40">
        <f t="shared" si="3"/>
        <v>0</v>
      </c>
    </row>
    <row r="40" spans="1:12" ht="15" customHeight="1">
      <c r="A40" s="24" t="s">
        <v>57</v>
      </c>
      <c r="B40" s="40"/>
      <c r="C40" s="40">
        <f>C38-C39</f>
        <v>10000</v>
      </c>
      <c r="D40" s="40">
        <f t="shared" ref="D40:L40" si="4">D38-D39</f>
        <v>11500</v>
      </c>
      <c r="E40" s="40">
        <f t="shared" si="4"/>
        <v>13150.000000000004</v>
      </c>
      <c r="F40" s="40">
        <f t="shared" si="4"/>
        <v>14965.000000000007</v>
      </c>
      <c r="G40" s="40">
        <f t="shared" si="4"/>
        <v>16961.500000000007</v>
      </c>
      <c r="H40" s="40">
        <f t="shared" si="4"/>
        <v>17693.55000000001</v>
      </c>
      <c r="I40" s="40">
        <f t="shared" si="4"/>
        <v>18425.600000000006</v>
      </c>
      <c r="J40" s="40">
        <f t="shared" si="4"/>
        <v>18508.321650000005</v>
      </c>
      <c r="K40" s="40">
        <f t="shared" si="4"/>
        <v>0</v>
      </c>
      <c r="L40" s="40">
        <f t="shared" si="4"/>
        <v>0</v>
      </c>
    </row>
    <row r="41" spans="1:12" ht="15" customHeight="1">
      <c r="A41" s="24" t="s">
        <v>58</v>
      </c>
      <c r="B41" s="40"/>
      <c r="C41" s="40">
        <f>C40*H8</f>
        <v>4000</v>
      </c>
      <c r="D41" s="40">
        <f>D40*H8</f>
        <v>4600</v>
      </c>
      <c r="E41" s="40">
        <f>E40*H8</f>
        <v>5260.0000000000018</v>
      </c>
      <c r="F41" s="40">
        <f>F40*H8</f>
        <v>5986.0000000000036</v>
      </c>
      <c r="G41" s="40">
        <f>G40*H8</f>
        <v>6784.6000000000031</v>
      </c>
      <c r="H41" s="40">
        <f>H40*H8</f>
        <v>7077.4200000000046</v>
      </c>
      <c r="I41" s="40">
        <f>I40*H8</f>
        <v>7370.2400000000025</v>
      </c>
      <c r="J41" s="40">
        <f>J40*H8</f>
        <v>7403.3286600000029</v>
      </c>
      <c r="K41" s="40">
        <f>K40*H8</f>
        <v>0</v>
      </c>
      <c r="L41" s="40">
        <f>L40*H8</f>
        <v>0</v>
      </c>
    </row>
    <row r="42" spans="1:12" ht="15" customHeight="1">
      <c r="A42" s="24" t="s">
        <v>59</v>
      </c>
      <c r="B42" s="40"/>
      <c r="C42" s="40">
        <f t="shared" ref="C42:L42" si="5">C40-C41</f>
        <v>6000</v>
      </c>
      <c r="D42" s="40">
        <f t="shared" si="5"/>
        <v>6900</v>
      </c>
      <c r="E42" s="40">
        <f t="shared" si="5"/>
        <v>7890.0000000000018</v>
      </c>
      <c r="F42" s="40">
        <f t="shared" si="5"/>
        <v>8979.0000000000036</v>
      </c>
      <c r="G42" s="40">
        <f t="shared" si="5"/>
        <v>10176.900000000005</v>
      </c>
      <c r="H42" s="40">
        <f t="shared" si="5"/>
        <v>10616.130000000005</v>
      </c>
      <c r="I42" s="40">
        <f t="shared" si="5"/>
        <v>11055.360000000004</v>
      </c>
      <c r="J42" s="40">
        <f t="shared" si="5"/>
        <v>11104.992990000002</v>
      </c>
      <c r="K42" s="40">
        <f t="shared" si="5"/>
        <v>0</v>
      </c>
      <c r="L42" s="40">
        <f t="shared" si="5"/>
        <v>0</v>
      </c>
    </row>
    <row r="43" spans="1:12" ht="15" customHeight="1">
      <c r="A43" s="24" t="s">
        <v>60</v>
      </c>
      <c r="B43" s="40"/>
      <c r="C43" s="40">
        <f t="shared" ref="C43:L43" si="6">C39</f>
        <v>5000</v>
      </c>
      <c r="D43" s="40">
        <f t="shared" si="6"/>
        <v>5000</v>
      </c>
      <c r="E43" s="40">
        <f t="shared" si="6"/>
        <v>5000</v>
      </c>
      <c r="F43" s="40">
        <f t="shared" si="6"/>
        <v>5000</v>
      </c>
      <c r="G43" s="40">
        <f t="shared" si="6"/>
        <v>5000</v>
      </c>
      <c r="H43" s="40">
        <f t="shared" si="6"/>
        <v>5000</v>
      </c>
      <c r="I43" s="40">
        <f t="shared" si="6"/>
        <v>5000</v>
      </c>
      <c r="J43" s="40">
        <f t="shared" si="6"/>
        <v>5000</v>
      </c>
      <c r="K43" s="40">
        <f t="shared" si="6"/>
        <v>0</v>
      </c>
      <c r="L43" s="40">
        <f t="shared" si="6"/>
        <v>0</v>
      </c>
    </row>
    <row r="44" spans="1:12" ht="15" customHeight="1">
      <c r="A44" s="24" t="s">
        <v>61</v>
      </c>
      <c r="B44" s="40"/>
      <c r="C44" s="40">
        <f>(H12*C35-B24)*C34</f>
        <v>0</v>
      </c>
      <c r="D44" s="40">
        <f>(H12*D35-B24)*D34</f>
        <v>1000</v>
      </c>
      <c r="E44" s="40">
        <f>(H12*E35-B24-SUM(C44,D44))*E34</f>
        <v>1100.0000000000018</v>
      </c>
      <c r="F44" s="40">
        <f>(H12*F35-B24-SUM(C44:E44))*F34</f>
        <v>1210.0000000000018</v>
      </c>
      <c r="G44" s="40">
        <f>(H12*G35-B24-SUM(C44:F44))*G34</f>
        <v>1331.0000000000018</v>
      </c>
      <c r="H44" s="40">
        <f>(H12*H35-B24-SUM(C44:G44))*H34</f>
        <v>732.05000000000109</v>
      </c>
      <c r="I44" s="40">
        <f>(H12*I35-B24-SUM(C44:H44))*I34</f>
        <v>768.65250000000015</v>
      </c>
      <c r="J44" s="40">
        <f>(H12*J35-B24-SUM(C44:I44))*J34</f>
        <v>484.25107500000013</v>
      </c>
      <c r="K44" s="40">
        <f>(H12*K35-B24-SUM(C44:J44))*K34</f>
        <v>0</v>
      </c>
      <c r="L44" s="40">
        <f>(H12*L35-B24-SUM(C44:K44))*L34</f>
        <v>0</v>
      </c>
    </row>
    <row r="45" spans="1:12" ht="15" customHeight="1">
      <c r="A45" s="35" t="s">
        <v>62</v>
      </c>
      <c r="B45" s="41">
        <f>0-B27</f>
        <v>-62484</v>
      </c>
      <c r="C45" s="41">
        <f>C42+C43-C44</f>
        <v>11000</v>
      </c>
      <c r="D45" s="41">
        <f t="shared" ref="D45:L45" si="7">D42+D43-D44</f>
        <v>10900</v>
      </c>
      <c r="E45" s="41">
        <f t="shared" si="7"/>
        <v>11790</v>
      </c>
      <c r="F45" s="41">
        <f t="shared" si="7"/>
        <v>12769.000000000002</v>
      </c>
      <c r="G45" s="41">
        <f t="shared" si="7"/>
        <v>13845.900000000003</v>
      </c>
      <c r="H45" s="41">
        <f t="shared" si="7"/>
        <v>14884.080000000004</v>
      </c>
      <c r="I45" s="41">
        <f t="shared" si="7"/>
        <v>15286.707500000004</v>
      </c>
      <c r="J45" s="41">
        <f t="shared" si="7"/>
        <v>15620.741915000002</v>
      </c>
      <c r="K45" s="41">
        <f t="shared" si="7"/>
        <v>0</v>
      </c>
      <c r="L45" s="41">
        <f t="shared" si="7"/>
        <v>0</v>
      </c>
    </row>
    <row r="46" spans="1:12" ht="15" customHeight="1">
      <c r="A46" s="24" t="s">
        <v>63</v>
      </c>
      <c r="B46" s="24">
        <f>1</f>
        <v>1</v>
      </c>
      <c r="C46" s="43">
        <f>C34*(1+L12)^C16</f>
        <v>1.1068500000000001</v>
      </c>
      <c r="D46" s="43">
        <f>D34*(1+L12)^D16</f>
        <v>1.2251169225000003</v>
      </c>
      <c r="E46" s="43">
        <f>E34*(1+L12)^E16</f>
        <v>1.3560206656691254</v>
      </c>
      <c r="F46" s="43">
        <f>F34*(1+L12)^F16</f>
        <v>1.5009114737958718</v>
      </c>
      <c r="G46" s="43">
        <f>G34*(1+L12)^G16</f>
        <v>1.6612838647709609</v>
      </c>
      <c r="H46" s="43">
        <f>H34*(1+L12)^H16</f>
        <v>1.8387920457217382</v>
      </c>
      <c r="I46" s="43">
        <f>I34*(1+L12)^I16</f>
        <v>2.0352669758071062</v>
      </c>
      <c r="J46" s="43">
        <f>J34*(1+L12)^J16</f>
        <v>2.252735252172096</v>
      </c>
      <c r="K46" s="43">
        <f>K34*(1+L12)^K16</f>
        <v>0</v>
      </c>
      <c r="L46" s="43">
        <f>L34*(1+L12)^L16</f>
        <v>0</v>
      </c>
    </row>
    <row r="47" spans="1:12" ht="15" customHeight="1">
      <c r="A47" s="35" t="s">
        <v>64</v>
      </c>
      <c r="B47" s="41">
        <f>0-B27</f>
        <v>-62484</v>
      </c>
      <c r="C47" s="41">
        <f>(C45+C30+C31)/(1+L12)^C16</f>
        <v>9938.1126620589948</v>
      </c>
      <c r="D47" s="41">
        <f>(D45+D30+D31)/(1+L12)^D16</f>
        <v>8897.1099817617596</v>
      </c>
      <c r="E47" s="41">
        <f>(E45+E30+E31)/(1+L12)^E16</f>
        <v>8694.5577589573459</v>
      </c>
      <c r="F47" s="41">
        <f>(F45+F30+F31)/(1+L12)^F16</f>
        <v>8507.4970928875864</v>
      </c>
      <c r="G47" s="41">
        <f>(G45+G30+G31)/(1+L12)^G16</f>
        <v>8334.4576406326087</v>
      </c>
      <c r="H47" s="41">
        <f>(H45+H30+H31)/(1+L12)^H16</f>
        <v>8094.4879191914833</v>
      </c>
      <c r="I47" s="41">
        <f>(I45+I30+I31)/(1+L12)^I16</f>
        <v>7510.9102057423706</v>
      </c>
      <c r="J47" s="41">
        <f>(J45+J30+J31)/(1+L12)^J16</f>
        <v>18753.51107027139</v>
      </c>
      <c r="K47" s="41">
        <f>(K45+K30+K31)/(1+L12)^K16</f>
        <v>0</v>
      </c>
      <c r="L47" s="41">
        <f>(L45+L30+L31)/(1+L12)^L16</f>
        <v>0</v>
      </c>
    </row>
    <row r="48" spans="1:12" ht="15" customHeight="1"/>
    <row r="49" spans="1:12" ht="15" customHeight="1">
      <c r="A49" s="22" t="s">
        <v>65</v>
      </c>
      <c r="B49" s="23"/>
      <c r="C49" s="23"/>
      <c r="D49" s="23"/>
      <c r="E49" s="22" t="s">
        <v>66</v>
      </c>
      <c r="F49" s="23"/>
      <c r="G49" s="23"/>
      <c r="H49" s="23"/>
      <c r="I49" s="22"/>
      <c r="J49" s="23"/>
      <c r="K49" s="23"/>
      <c r="L49" s="23"/>
    </row>
    <row r="50" spans="1:12" ht="15" customHeight="1">
      <c r="A50" s="18" t="s">
        <v>67</v>
      </c>
      <c r="C50" s="42">
        <f>C5</f>
        <v>50000</v>
      </c>
      <c r="D50" s="42">
        <f t="shared" ref="D50:L50" si="8">(C50-C51)*D34</f>
        <v>45000</v>
      </c>
      <c r="E50" s="42">
        <f t="shared" si="8"/>
        <v>40000</v>
      </c>
      <c r="F50" s="42">
        <f t="shared" si="8"/>
        <v>35000</v>
      </c>
      <c r="G50" s="42">
        <f t="shared" si="8"/>
        <v>30000</v>
      </c>
      <c r="H50" s="42">
        <f t="shared" si="8"/>
        <v>25000</v>
      </c>
      <c r="I50" s="42">
        <f t="shared" si="8"/>
        <v>20000</v>
      </c>
      <c r="J50" s="42">
        <f t="shared" si="8"/>
        <v>15000</v>
      </c>
      <c r="K50" s="42">
        <f t="shared" si="8"/>
        <v>0</v>
      </c>
      <c r="L50" s="42">
        <f t="shared" si="8"/>
        <v>0</v>
      </c>
    </row>
    <row r="51" spans="1:12" ht="15" customHeight="1">
      <c r="A51" s="18" t="s">
        <v>68</v>
      </c>
      <c r="C51" s="42">
        <f>IF($C$9=1,(($C$5-$C$8)/$C$7)*C34,(IF($C$8&lt;$C$5*(1-2/$C$7)^(C16),$C$5*(1-2/$C$7)^(C16-1)*(2/$C$7)*C34,(IF(0&gt;($C$5*(1-2/$C$7)^(C16-1))-$C$8,0,$C$5*C34*(1-2/$C$7)^(C16-1)-$C$8)))))</f>
        <v>5000</v>
      </c>
      <c r="D51" s="42">
        <f t="shared" ref="D51:L51" si="9">IF($C$9=1,(($C$5-$C$8)/$C$7)*D34,(IF($C$8&lt;$C$5*(1-2/$C$7)^(D16),$C$5*(1-2/$C$7)^(D16-1)*(2/$C$7)*D34,(IF(0&gt;($C$5*(1-2/$C$7)^(D16-1))-$C$8,0,$C$5*D34*(1-2/$C$7)^(D16-1)-$C$8)))))</f>
        <v>5000</v>
      </c>
      <c r="E51" s="42">
        <f t="shared" si="9"/>
        <v>5000</v>
      </c>
      <c r="F51" s="42">
        <f t="shared" si="9"/>
        <v>5000</v>
      </c>
      <c r="G51" s="42">
        <f t="shared" si="9"/>
        <v>5000</v>
      </c>
      <c r="H51" s="42">
        <f t="shared" si="9"/>
        <v>5000</v>
      </c>
      <c r="I51" s="42">
        <f t="shared" si="9"/>
        <v>5000</v>
      </c>
      <c r="J51" s="42">
        <f t="shared" si="9"/>
        <v>5000</v>
      </c>
      <c r="K51" s="42">
        <f t="shared" si="9"/>
        <v>0</v>
      </c>
      <c r="L51" s="42">
        <f t="shared" si="9"/>
        <v>0</v>
      </c>
    </row>
    <row r="52" spans="1:12" ht="15" customHeight="1">
      <c r="A52" s="18" t="s">
        <v>69</v>
      </c>
      <c r="B52" s="41">
        <f>C5</f>
        <v>50000</v>
      </c>
      <c r="C52" s="41">
        <f>C50-C51</f>
        <v>45000</v>
      </c>
      <c r="D52" s="41">
        <f t="shared" ref="D52:L52" si="10">D50-D51</f>
        <v>40000</v>
      </c>
      <c r="E52" s="41">
        <f t="shared" si="10"/>
        <v>35000</v>
      </c>
      <c r="F52" s="41">
        <f t="shared" si="10"/>
        <v>30000</v>
      </c>
      <c r="G52" s="41">
        <f t="shared" si="10"/>
        <v>25000</v>
      </c>
      <c r="H52" s="41">
        <f t="shared" si="10"/>
        <v>20000</v>
      </c>
      <c r="I52" s="41">
        <f t="shared" si="10"/>
        <v>15000</v>
      </c>
      <c r="J52" s="41">
        <f t="shared" si="10"/>
        <v>10000</v>
      </c>
      <c r="K52" s="41">
        <f t="shared" si="10"/>
        <v>0</v>
      </c>
      <c r="L52" s="41">
        <f t="shared" si="10"/>
        <v>0</v>
      </c>
    </row>
    <row r="53" spans="1:12" ht="15" customHeight="1">
      <c r="H53" s="48"/>
    </row>
    <row r="54" spans="1:12" ht="15" customHeight="1">
      <c r="A54" s="22" t="s">
        <v>70</v>
      </c>
      <c r="B54" s="23"/>
    </row>
    <row r="55" spans="1:12" ht="15" customHeight="1">
      <c r="A55" s="44" t="s">
        <v>71</v>
      </c>
      <c r="B55" s="45">
        <f>SUM(B47:L47)</f>
        <v>16246.644331503532</v>
      </c>
    </row>
    <row r="56" spans="1:12" ht="15.5">
      <c r="A56" s="44" t="s">
        <v>72</v>
      </c>
      <c r="B56" s="46">
        <f>IRR(B45:L45,L12)</f>
        <v>0.12488980830342666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</row>
    <row r="57" spans="1:12" ht="15.5">
      <c r="A57" s="44" t="s">
        <v>73</v>
      </c>
      <c r="B57" s="46">
        <f>SUM(C42:L42)/SUM(B52:L52)</f>
        <v>0.26934215922222227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</row>
  </sheetData>
  <printOptions gridLinesSet="0"/>
  <pageMargins left="0.75" right="0.75" top="1" bottom="1" header="0.5" footer="0.5"/>
  <pageSetup firstPageNumber="5" orientation="landscape" useFirstPageNumber="1" r:id="rId1"/>
  <headerFooter alignWithMargins="0">
    <oddHeader>&amp;C&amp;"Times"&amp;12CAPITAL BUDGETING WORKSHEET&amp;R&amp;P</oddHeader>
  </headerFooter>
  <rowBreaks count="1" manualBreakCount="1">
    <brk id="20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Capital Budget Template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2019-01-09T19:36:48Z</dcterms:created>
  <dcterms:modified xsi:type="dcterms:W3CDTF">2020-07-07T16:01:36Z</dcterms:modified>
</cp:coreProperties>
</file>