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Attachments\"/>
    </mc:Choice>
  </mc:AlternateContent>
  <xr:revisionPtr revIDLastSave="0" documentId="13_ncr:1_{6F518AFB-C8CB-4EDB-B609-96C7FC6B7C41}" xr6:coauthVersionLast="46" xr6:coauthVersionMax="46" xr10:uidLastSave="{00000000-0000-0000-0000-000000000000}"/>
  <bookViews>
    <workbookView xWindow="1140" yWindow="1140" windowWidth="19200" windowHeight="17760" xr2:uid="{FED1C20F-AE0D-417B-A7E2-FF11FEC31890}"/>
  </bookViews>
  <sheets>
    <sheet name="Cover Page" sheetId="5" r:id="rId1"/>
    <sheet name="Control Panel" sheetId="8" r:id="rId2"/>
    <sheet name="Outputs" sheetId="14" r:id="rId3"/>
    <sheet name="Sensitivities" sheetId="10" r:id="rId4"/>
    <sheet name="Model" sheetId="11" r:id="rId5"/>
    <sheet name="Comps Data" sheetId="4" r:id="rId6"/>
    <sheet name="Diluted Shares Calculation" sheetId="16" r:id="rId7"/>
  </sheets>
  <definedNames>
    <definedName name="CIQWBGuid" hidden="1">"ee90eabe-7726-4331-9dc2-b3b41b219158"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"10/15/2020 15:24:52"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4" l="1"/>
  <c r="B6" i="16"/>
  <c r="F8" i="16"/>
  <c r="F11" i="16"/>
  <c r="F48" i="16"/>
  <c r="F12" i="16" s="1"/>
  <c r="F56" i="16"/>
  <c r="F57" i="16"/>
  <c r="F58" i="16"/>
  <c r="F59" i="16"/>
  <c r="B66" i="16"/>
  <c r="F68" i="16"/>
  <c r="E87" i="16" s="1"/>
  <c r="F87" i="16" s="1"/>
  <c r="F71" i="16"/>
  <c r="F107" i="16"/>
  <c r="F72" i="16"/>
  <c r="E86" i="16"/>
  <c r="F86" i="16" s="1"/>
  <c r="F115" i="16"/>
  <c r="F116" i="16"/>
  <c r="F117" i="16"/>
  <c r="F118" i="16"/>
  <c r="F119" i="16" s="1"/>
  <c r="F74" i="16" s="1"/>
  <c r="H18" i="4" s="1"/>
  <c r="F121" i="16"/>
  <c r="F122" i="16"/>
  <c r="H26" i="4" s="1"/>
  <c r="B125" i="16"/>
  <c r="F127" i="16"/>
  <c r="F176" i="16" s="1"/>
  <c r="F130" i="16"/>
  <c r="F166" i="16"/>
  <c r="F131" i="16" s="1"/>
  <c r="E148" i="16"/>
  <c r="F148" i="16" s="1"/>
  <c r="F174" i="16"/>
  <c r="F175" i="16"/>
  <c r="D176" i="16"/>
  <c r="F177" i="16"/>
  <c r="B184" i="16"/>
  <c r="F186" i="16"/>
  <c r="F189" i="16"/>
  <c r="F225" i="16"/>
  <c r="F190" i="16" s="1"/>
  <c r="J16" i="4" s="1"/>
  <c r="F233" i="16"/>
  <c r="F234" i="16"/>
  <c r="F235" i="16"/>
  <c r="F236" i="16"/>
  <c r="F237" i="16"/>
  <c r="F192" i="16" s="1"/>
  <c r="J18" i="4" s="1"/>
  <c r="B243" i="16"/>
  <c r="F245" i="16"/>
  <c r="E262" i="16" s="1"/>
  <c r="F248" i="16"/>
  <c r="F284" i="16"/>
  <c r="F249" i="16" s="1"/>
  <c r="C262" i="16"/>
  <c r="E292" i="16"/>
  <c r="F292" i="16" s="1"/>
  <c r="F293" i="16"/>
  <c r="F294" i="16"/>
  <c r="F295" i="16"/>
  <c r="F298" i="16"/>
  <c r="F299" i="16"/>
  <c r="K26" i="4" s="1"/>
  <c r="K27" i="4" s="1"/>
  <c r="B302" i="16"/>
  <c r="F304" i="16"/>
  <c r="E324" i="16" s="1"/>
  <c r="F324" i="16" s="1"/>
  <c r="F307" i="16"/>
  <c r="F343" i="16"/>
  <c r="F308" i="16"/>
  <c r="E325" i="16"/>
  <c r="F325" i="16" s="1"/>
  <c r="F351" i="16"/>
  <c r="F352" i="16"/>
  <c r="F353" i="16"/>
  <c r="F354" i="16"/>
  <c r="B361" i="16"/>
  <c r="F363" i="16"/>
  <c r="F366" i="16"/>
  <c r="F402" i="16"/>
  <c r="F367" i="16" s="1"/>
  <c r="M16" i="4" s="1"/>
  <c r="F410" i="16"/>
  <c r="F411" i="16"/>
  <c r="F414" i="16" s="1"/>
  <c r="F369" i="16" s="1"/>
  <c r="M18" i="4" s="1"/>
  <c r="F412" i="16"/>
  <c r="F413" i="16"/>
  <c r="B420" i="16"/>
  <c r="F422" i="16"/>
  <c r="E440" i="16" s="1"/>
  <c r="F440" i="16" s="1"/>
  <c r="F461" i="16"/>
  <c r="F426" i="16" s="1"/>
  <c r="N16" i="4" s="1"/>
  <c r="F469" i="16"/>
  <c r="F470" i="16"/>
  <c r="F471" i="16"/>
  <c r="F472" i="16"/>
  <c r="I5" i="4"/>
  <c r="J5" i="4" s="1"/>
  <c r="K5" i="4" s="1"/>
  <c r="L5" i="4" s="1"/>
  <c r="M5" i="4" s="1"/>
  <c r="N5" i="4" s="1"/>
  <c r="N15" i="4"/>
  <c r="F425" i="16" s="1"/>
  <c r="L16" i="4"/>
  <c r="E23" i="4"/>
  <c r="K23" i="4"/>
  <c r="H23" i="4"/>
  <c r="I24" i="4"/>
  <c r="I23" i="4" s="1"/>
  <c r="I25" i="4" s="1"/>
  <c r="J23" i="4"/>
  <c r="L23" i="4"/>
  <c r="M23" i="4"/>
  <c r="N23" i="4"/>
  <c r="E25" i="4"/>
  <c r="K25" i="4"/>
  <c r="H25" i="4"/>
  <c r="J25" i="4"/>
  <c r="L25" i="4"/>
  <c r="M25" i="4"/>
  <c r="N25" i="4"/>
  <c r="M26" i="4"/>
  <c r="M27" i="4" s="1"/>
  <c r="N26" i="4"/>
  <c r="N27" i="4"/>
  <c r="I30" i="4"/>
  <c r="N29" i="4"/>
  <c r="E34" i="4"/>
  <c r="K34" i="4"/>
  <c r="H34" i="4"/>
  <c r="I34" i="4"/>
  <c r="J34" i="4"/>
  <c r="L34" i="4"/>
  <c r="M34" i="4"/>
  <c r="N34" i="4"/>
  <c r="I35" i="4"/>
  <c r="I36" i="4"/>
  <c r="E37" i="4"/>
  <c r="E38" i="4" s="1"/>
  <c r="K37" i="4"/>
  <c r="H37" i="4"/>
  <c r="I37" i="4"/>
  <c r="J37" i="4"/>
  <c r="J38" i="4" s="1"/>
  <c r="L37" i="4"/>
  <c r="L38" i="4" s="1"/>
  <c r="M37" i="4"/>
  <c r="N37" i="4"/>
  <c r="K38" i="4"/>
  <c r="H38" i="4"/>
  <c r="I38" i="4"/>
  <c r="M38" i="4"/>
  <c r="N38" i="4"/>
  <c r="K39" i="4"/>
  <c r="H39" i="4"/>
  <c r="I39" i="4"/>
  <c r="J39" i="4"/>
  <c r="L39" i="4"/>
  <c r="M39" i="4"/>
  <c r="N39" i="4"/>
  <c r="E42" i="4"/>
  <c r="E44" i="4" s="1"/>
  <c r="H42" i="4"/>
  <c r="L42" i="4"/>
  <c r="L44" i="4" s="1"/>
  <c r="H43" i="4"/>
  <c r="L43" i="4"/>
  <c r="H44" i="4"/>
  <c r="I44" i="4"/>
  <c r="J44" i="4"/>
  <c r="K44" i="4"/>
  <c r="M44" i="4"/>
  <c r="N44" i="4"/>
  <c r="E54" i="4"/>
  <c r="K54" i="4"/>
  <c r="H54" i="4"/>
  <c r="I54" i="4"/>
  <c r="J54" i="4"/>
  <c r="L54" i="4"/>
  <c r="M54" i="4"/>
  <c r="N54" i="4"/>
  <c r="E60" i="4"/>
  <c r="K60" i="4"/>
  <c r="H60" i="4"/>
  <c r="I60" i="4"/>
  <c r="J60" i="4"/>
  <c r="L60" i="4"/>
  <c r="M60" i="4"/>
  <c r="N60" i="4"/>
  <c r="C5" i="10"/>
  <c r="B51" i="10"/>
  <c r="K51" i="10"/>
  <c r="B76" i="10"/>
  <c r="K76" i="10"/>
  <c r="B9" i="14"/>
  <c r="B14" i="14"/>
  <c r="B8" i="14"/>
  <c r="H19" i="8"/>
  <c r="F476" i="16" l="1"/>
  <c r="E266" i="16"/>
  <c r="F266" i="16" s="1"/>
  <c r="E147" i="16"/>
  <c r="F147" i="16" s="1"/>
  <c r="E88" i="16"/>
  <c r="F88" i="16" s="1"/>
  <c r="F296" i="16"/>
  <c r="F251" i="16" s="1"/>
  <c r="K18" i="4" s="1"/>
  <c r="F60" i="16"/>
  <c r="F14" i="16" s="1"/>
  <c r="E18" i="4" s="1"/>
  <c r="F473" i="16"/>
  <c r="F428" i="16" s="1"/>
  <c r="N18" i="4" s="1"/>
  <c r="E443" i="16"/>
  <c r="F443" i="16" s="1"/>
  <c r="E265" i="16"/>
  <c r="F265" i="16" s="1"/>
  <c r="E264" i="16"/>
  <c r="F264" i="16" s="1"/>
  <c r="E85" i="16"/>
  <c r="E442" i="16"/>
  <c r="F442" i="16" s="1"/>
  <c r="E441" i="16"/>
  <c r="F441" i="16" s="1"/>
  <c r="E263" i="16"/>
  <c r="F263" i="16" s="1"/>
  <c r="F355" i="16"/>
  <c r="F310" i="16" s="1"/>
  <c r="L18" i="4" s="1"/>
  <c r="K16" i="4"/>
  <c r="F178" i="16"/>
  <c r="F133" i="16" s="1"/>
  <c r="I18" i="4" s="1"/>
  <c r="K29" i="4"/>
  <c r="K76" i="4"/>
  <c r="K77" i="4"/>
  <c r="H27" i="4"/>
  <c r="I16" i="4"/>
  <c r="E16" i="4"/>
  <c r="F475" i="16"/>
  <c r="E439" i="16"/>
  <c r="E323" i="16"/>
  <c r="F323" i="16" s="1"/>
  <c r="F181" i="16"/>
  <c r="I26" i="4" s="1"/>
  <c r="I27" i="4" s="1"/>
  <c r="E146" i="16"/>
  <c r="F146" i="16" s="1"/>
  <c r="E29" i="16"/>
  <c r="F29" i="16" s="1"/>
  <c r="H16" i="4"/>
  <c r="F358" i="16"/>
  <c r="L26" i="4" s="1"/>
  <c r="L27" i="4" s="1"/>
  <c r="E322" i="16"/>
  <c r="F322" i="16" s="1"/>
  <c r="F180" i="16"/>
  <c r="E145" i="16"/>
  <c r="F145" i="16" s="1"/>
  <c r="E28" i="16"/>
  <c r="F28" i="16" s="1"/>
  <c r="F357" i="16"/>
  <c r="E321" i="16"/>
  <c r="E207" i="16"/>
  <c r="F207" i="16" s="1"/>
  <c r="E144" i="16"/>
  <c r="F85" i="16"/>
  <c r="E27" i="16"/>
  <c r="F27" i="16" s="1"/>
  <c r="M29" i="4"/>
  <c r="N76" i="4"/>
  <c r="E384" i="16"/>
  <c r="F384" i="16" s="1"/>
  <c r="F262" i="16"/>
  <c r="F267" i="16" s="1"/>
  <c r="F270" i="16" s="1"/>
  <c r="E206" i="16"/>
  <c r="F206" i="16" s="1"/>
  <c r="F63" i="16"/>
  <c r="E26" i="4" s="1"/>
  <c r="E27" i="4" s="1"/>
  <c r="E26" i="16"/>
  <c r="F26" i="16" s="1"/>
  <c r="I19" i="8"/>
  <c r="M76" i="4"/>
  <c r="E383" i="16"/>
  <c r="F383" i="16" s="1"/>
  <c r="E205" i="16"/>
  <c r="F205" i="16" s="1"/>
  <c r="F62" i="16"/>
  <c r="E25" i="16"/>
  <c r="N77" i="4"/>
  <c r="E382" i="16"/>
  <c r="F382" i="16" s="1"/>
  <c r="F240" i="16"/>
  <c r="J26" i="4" s="1"/>
  <c r="J27" i="4" s="1"/>
  <c r="E204" i="16"/>
  <c r="F204" i="16" s="1"/>
  <c r="E89" i="16"/>
  <c r="F89" i="16" s="1"/>
  <c r="M77" i="4"/>
  <c r="F417" i="16"/>
  <c r="E381" i="16"/>
  <c r="F381" i="16" s="1"/>
  <c r="F239" i="16"/>
  <c r="E203" i="16"/>
  <c r="F416" i="16"/>
  <c r="E380" i="16"/>
  <c r="E90" i="16" l="1"/>
  <c r="F92" i="16" s="1"/>
  <c r="E267" i="16"/>
  <c r="F269" i="16" s="1"/>
  <c r="F271" i="16" s="1"/>
  <c r="F250" i="16" s="1"/>
  <c r="K17" i="4" s="1"/>
  <c r="I77" i="4"/>
  <c r="I76" i="4"/>
  <c r="I29" i="4"/>
  <c r="J77" i="4"/>
  <c r="J76" i="4"/>
  <c r="J29" i="4"/>
  <c r="L77" i="4"/>
  <c r="L76" i="4"/>
  <c r="L29" i="4"/>
  <c r="F90" i="16"/>
  <c r="F93" i="16" s="1"/>
  <c r="F94" i="16"/>
  <c r="F73" i="16" s="1"/>
  <c r="E149" i="16"/>
  <c r="F151" i="16" s="1"/>
  <c r="F144" i="16"/>
  <c r="F149" i="16" s="1"/>
  <c r="F152" i="16" s="1"/>
  <c r="E385" i="16"/>
  <c r="F387" i="16" s="1"/>
  <c r="F380" i="16"/>
  <c r="F385" i="16" s="1"/>
  <c r="F388" i="16" s="1"/>
  <c r="E326" i="16"/>
  <c r="F328" i="16" s="1"/>
  <c r="F321" i="16"/>
  <c r="F326" i="16" s="1"/>
  <c r="F329" i="16" s="1"/>
  <c r="H76" i="4"/>
  <c r="H77" i="4"/>
  <c r="H29" i="4"/>
  <c r="F252" i="16"/>
  <c r="F254" i="16" s="1"/>
  <c r="K19" i="4"/>
  <c r="E29" i="4"/>
  <c r="E77" i="4"/>
  <c r="E76" i="4"/>
  <c r="F203" i="16"/>
  <c r="F208" i="16" s="1"/>
  <c r="F211" i="16" s="1"/>
  <c r="E208" i="16"/>
  <c r="F210" i="16" s="1"/>
  <c r="E444" i="16"/>
  <c r="F446" i="16" s="1"/>
  <c r="F439" i="16"/>
  <c r="F444" i="16" s="1"/>
  <c r="F447" i="16" s="1"/>
  <c r="F25" i="16"/>
  <c r="F30" i="16" s="1"/>
  <c r="F33" i="16" s="1"/>
  <c r="E30" i="16"/>
  <c r="F32" i="16" s="1"/>
  <c r="F212" i="16" l="1"/>
  <c r="F191" i="16" s="1"/>
  <c r="F448" i="16"/>
  <c r="F427" i="16" s="1"/>
  <c r="F389" i="16"/>
  <c r="F368" i="16" s="1"/>
  <c r="H17" i="4"/>
  <c r="H19" i="4" s="1"/>
  <c r="H21" i="4" s="1"/>
  <c r="F75" i="16"/>
  <c r="F77" i="16" s="1"/>
  <c r="F330" i="16"/>
  <c r="F309" i="16" s="1"/>
  <c r="M17" i="4"/>
  <c r="M19" i="4" s="1"/>
  <c r="M21" i="4" s="1"/>
  <c r="F370" i="16"/>
  <c r="F372" i="16" s="1"/>
  <c r="F153" i="16"/>
  <c r="F132" i="16" s="1"/>
  <c r="N17" i="4"/>
  <c r="N19" i="4" s="1"/>
  <c r="N21" i="4" s="1"/>
  <c r="F429" i="16"/>
  <c r="F431" i="16" s="1"/>
  <c r="J17" i="4"/>
  <c r="J19" i="4" s="1"/>
  <c r="J21" i="4" s="1"/>
  <c r="F193" i="16"/>
  <c r="F195" i="16" s="1"/>
  <c r="F34" i="16"/>
  <c r="F13" i="16" s="1"/>
  <c r="K21" i="4"/>
  <c r="H66" i="4" l="1"/>
  <c r="H73" i="4"/>
  <c r="H67" i="4"/>
  <c r="H72" i="4"/>
  <c r="H32" i="4"/>
  <c r="H78" i="4"/>
  <c r="N32" i="4"/>
  <c r="N67" i="4"/>
  <c r="N72" i="4"/>
  <c r="N66" i="4"/>
  <c r="N73" i="4"/>
  <c r="N78" i="4"/>
  <c r="E17" i="4"/>
  <c r="E19" i="4" s="1"/>
  <c r="F15" i="16"/>
  <c r="F17" i="16" s="1"/>
  <c r="F311" i="16"/>
  <c r="F313" i="16" s="1"/>
  <c r="L17" i="4"/>
  <c r="L19" i="4" s="1"/>
  <c r="L21" i="4" s="1"/>
  <c r="I17" i="4"/>
  <c r="I19" i="4" s="1"/>
  <c r="I21" i="4" s="1"/>
  <c r="F134" i="16"/>
  <c r="F136" i="16" s="1"/>
  <c r="M67" i="4"/>
  <c r="M32" i="4"/>
  <c r="M66" i="4"/>
  <c r="M73" i="4"/>
  <c r="M72" i="4"/>
  <c r="M78" i="4"/>
  <c r="K73" i="4"/>
  <c r="K72" i="4"/>
  <c r="K32" i="4"/>
  <c r="K66" i="4"/>
  <c r="K67" i="4"/>
  <c r="K78" i="4"/>
  <c r="J67" i="4"/>
  <c r="J66" i="4"/>
  <c r="J73" i="4"/>
  <c r="J72" i="4"/>
  <c r="J32" i="4"/>
  <c r="J78" i="4"/>
  <c r="H65" i="4" l="1"/>
  <c r="H64" i="4"/>
  <c r="H71" i="4"/>
  <c r="H70" i="4"/>
  <c r="M70" i="4"/>
  <c r="M71" i="4"/>
  <c r="M65" i="4"/>
  <c r="M64" i="4"/>
  <c r="K65" i="4"/>
  <c r="K64" i="4"/>
  <c r="K71" i="4"/>
  <c r="K70" i="4"/>
  <c r="E21" i="4"/>
  <c r="I67" i="4"/>
  <c r="I66" i="4"/>
  <c r="I73" i="4"/>
  <c r="I72" i="4"/>
  <c r="I32" i="4"/>
  <c r="I78" i="4"/>
  <c r="J65" i="4"/>
  <c r="J64" i="4"/>
  <c r="J71" i="4"/>
  <c r="J70" i="4"/>
  <c r="L67" i="4"/>
  <c r="L66" i="4"/>
  <c r="L73" i="4"/>
  <c r="L72" i="4"/>
  <c r="L32" i="4"/>
  <c r="L78" i="4"/>
  <c r="N71" i="4"/>
  <c r="N70" i="4"/>
  <c r="N64" i="4"/>
  <c r="N65" i="4"/>
  <c r="L70" i="4" l="1"/>
  <c r="L71" i="4"/>
  <c r="L65" i="4"/>
  <c r="L64" i="4"/>
  <c r="E72" i="4"/>
  <c r="E32" i="4"/>
  <c r="E67" i="4"/>
  <c r="E73" i="4"/>
  <c r="E66" i="4"/>
  <c r="E78" i="4"/>
  <c r="I65" i="4"/>
  <c r="I64" i="4"/>
  <c r="I70" i="4"/>
  <c r="I71" i="4"/>
  <c r="E64" i="4" l="1"/>
  <c r="E71" i="4"/>
  <c r="E70" i="4"/>
  <c r="E65" i="4"/>
</calcChain>
</file>

<file path=xl/sharedStrings.xml><?xml version="1.0" encoding="utf-8"?>
<sst xmlns="http://schemas.openxmlformats.org/spreadsheetml/2006/main" count="719" uniqueCount="259">
  <si>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</si>
  <si>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</si>
  <si>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</si>
  <si>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</si>
  <si>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</si>
  <si>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</si>
  <si>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</si>
  <si>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</si>
  <si>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</si>
  <si>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Net Debt</t>
  </si>
  <si>
    <t>EBITDA</t>
  </si>
  <si>
    <t>EV/EBITDA</t>
  </si>
  <si>
    <t>Current Capitalization</t>
  </si>
  <si>
    <t>Revenue</t>
  </si>
  <si>
    <t>FY+1</t>
  </si>
  <si>
    <t>FY+2</t>
  </si>
  <si>
    <t>Cash Flow</t>
  </si>
  <si>
    <t>EV/Revenue</t>
  </si>
  <si>
    <t>© Corporate Finance Institute. All rights reserved.</t>
  </si>
  <si>
    <t>Stock Ticker</t>
  </si>
  <si>
    <t>Date</t>
  </si>
  <si>
    <t>Shares Outstanding</t>
  </si>
  <si>
    <t>Market Capitalization (Diluted)</t>
  </si>
  <si>
    <t>Total Debt</t>
  </si>
  <si>
    <t>Convertible Debt</t>
  </si>
  <si>
    <t>Enterprise Value (Diluted)</t>
  </si>
  <si>
    <t>Consensus Research Estimates</t>
  </si>
  <si>
    <t>Current Trading Multiples</t>
  </si>
  <si>
    <t>Financial Estimates and Current Trading Multiples</t>
  </si>
  <si>
    <t>Total Debt / Equity</t>
  </si>
  <si>
    <t>Table of Contents</t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</si>
  <si>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</si>
  <si>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</si>
  <si>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</si>
  <si>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</si>
  <si>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Leverage Metrics</t>
  </si>
  <si>
    <t>Acquirer</t>
  </si>
  <si>
    <t>Acquirer:</t>
  </si>
  <si>
    <t>Target:</t>
  </si>
  <si>
    <t>Net Property, Plant &amp; Equipment</t>
  </si>
  <si>
    <t>Financial Data</t>
  </si>
  <si>
    <t>Financing Assumptions</t>
  </si>
  <si>
    <t>Debt Financing Fees</t>
  </si>
  <si>
    <t>Equity Financing Fees</t>
  </si>
  <si>
    <t>Purchase Price</t>
  </si>
  <si>
    <t>Takeover Premium</t>
  </si>
  <si>
    <t>Offer Price</t>
  </si>
  <si>
    <t>Share Exchange Ratio</t>
  </si>
  <si>
    <t>Target Debt</t>
  </si>
  <si>
    <t>Enterprise Value</t>
  </si>
  <si>
    <t>Sources of Cash</t>
  </si>
  <si>
    <t>Debt Issued</t>
  </si>
  <si>
    <t>Total Sources</t>
  </si>
  <si>
    <t>Uses of Cash</t>
  </si>
  <si>
    <t>Total Uses</t>
  </si>
  <si>
    <t>Equity Issued</t>
  </si>
  <si>
    <t>Purchase of Target Equity</t>
  </si>
  <si>
    <t>Refinance of Target Debt</t>
  </si>
  <si>
    <t>Other Transaction Costs</t>
  </si>
  <si>
    <t>% Debt Financing</t>
  </si>
  <si>
    <t>% Equity Financing</t>
  </si>
  <si>
    <t>Existing Goodwill</t>
  </si>
  <si>
    <t>Target Toggle</t>
  </si>
  <si>
    <t>Net Earnings</t>
  </si>
  <si>
    <t>Goodwill</t>
  </si>
  <si>
    <t>Total Equity</t>
  </si>
  <si>
    <t>Accretion/Dilution</t>
  </si>
  <si>
    <t>Sensitivity Analysis</t>
  </si>
  <si>
    <t>2021 EPS Accretion/(Dilution)</t>
  </si>
  <si>
    <t>EPS</t>
  </si>
  <si>
    <t>CFPS</t>
  </si>
  <si>
    <t>Amortization of Debt Financing Fees</t>
  </si>
  <si>
    <t>Acquisition Overview</t>
  </si>
  <si>
    <t>Acquiree</t>
  </si>
  <si>
    <t>Acquisition Premium</t>
  </si>
  <si>
    <t>Acquisition Assumptions</t>
  </si>
  <si>
    <t>Transaction Costs</t>
  </si>
  <si>
    <t>Interest on New Debt</t>
  </si>
  <si>
    <t>Term of New Debt</t>
  </si>
  <si>
    <t>Other Assumptions</t>
  </si>
  <si>
    <t>Effective Tax Rate</t>
  </si>
  <si>
    <t>Equity Issuance Discount (to Current Price)</t>
  </si>
  <si>
    <t>Average Amortization Period (Years)</t>
  </si>
  <si>
    <t>All Amounts Denominated in US$MM Unless Otherwise Stated</t>
  </si>
  <si>
    <t>Capitalization Summary</t>
  </si>
  <si>
    <t>Acquisition Summary</t>
  </si>
  <si>
    <t>Adjustments</t>
  </si>
  <si>
    <t>Pro Forma</t>
  </si>
  <si>
    <t>Pro Forma Balance Sheet Items</t>
  </si>
  <si>
    <t>Pro Forma Financial Performance</t>
  </si>
  <si>
    <t>Income and Cash Flow Adjustments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</si>
  <si>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</si>
  <si>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t>Diluted Shares Outstanding</t>
  </si>
  <si>
    <r>
      <t xml:space="preserve">Diluted Shares Outstanding </t>
    </r>
    <r>
      <rPr>
        <i/>
        <sz val="11"/>
        <color theme="1"/>
        <rFont val="Arial Narrow"/>
        <family val="2"/>
      </rPr>
      <t>(MM)</t>
    </r>
  </si>
  <si>
    <t>Cash and Cash Equivalents</t>
  </si>
  <si>
    <t>Total Transaction Costs</t>
  </si>
  <si>
    <t>Total Liabilities</t>
  </si>
  <si>
    <t>Total Assets</t>
  </si>
  <si>
    <t>Goodwill Created</t>
  </si>
  <si>
    <t>FMV of Equity</t>
  </si>
  <si>
    <t>FMV of Total Liabilities</t>
  </si>
  <si>
    <t>FMV of Total Assets</t>
  </si>
  <si>
    <t>Incremental Depreciation</t>
  </si>
  <si>
    <t>Book Value of PP&amp;E</t>
  </si>
  <si>
    <t>Other Adjustments</t>
  </si>
  <si>
    <t>Additional Interest Expense</t>
  </si>
  <si>
    <t>2021 CFPS Accretion/(Dilution)</t>
  </si>
  <si>
    <t>Outputs</t>
  </si>
  <si>
    <t>Financial Metrics</t>
  </si>
  <si>
    <t>Model</t>
  </si>
  <si>
    <t>Comps Financial Data</t>
  </si>
  <si>
    <t>Implied Exchange Ratio</t>
  </si>
  <si>
    <t>Equity Bid Value</t>
  </si>
  <si>
    <t>Net Debt Assumed</t>
  </si>
  <si>
    <t>Transaction Value</t>
  </si>
  <si>
    <t>Acquisition Financing</t>
  </si>
  <si>
    <t>% Debt</t>
  </si>
  <si>
    <t>% Equity</t>
  </si>
  <si>
    <t>Sources and Uses of Cash</t>
  </si>
  <si>
    <t>Accretion / Dilution Summary</t>
  </si>
  <si>
    <t>Capitalization</t>
  </si>
  <si>
    <t>Fully Diluted Shares Outstanding (MM)</t>
  </si>
  <si>
    <t>Share Price ($/sh.)</t>
  </si>
  <si>
    <t>Financial Forecast Summary</t>
  </si>
  <si>
    <t>Change</t>
  </si>
  <si>
    <t>FY+1 Revenue</t>
  </si>
  <si>
    <t>FY+2 Revenue</t>
  </si>
  <si>
    <t>FY+1 EBITDA</t>
  </si>
  <si>
    <t>FY+2 EBITDA</t>
  </si>
  <si>
    <t>FY+2 EPS</t>
  </si>
  <si>
    <t>FY+2 CFPS</t>
  </si>
  <si>
    <t>Trading and Leverage Metrics</t>
  </si>
  <si>
    <t>FY+1 EV/EBITDA</t>
  </si>
  <si>
    <t>FY+2 EV/EBITDA</t>
  </si>
  <si>
    <t>FY+1 P/E</t>
  </si>
  <si>
    <t>FY+2 P/E</t>
  </si>
  <si>
    <t>FY+1 P/CF</t>
  </si>
  <si>
    <t>FY+2 P/CF</t>
  </si>
  <si>
    <t>FY+1 Net Debt/EBITDA</t>
  </si>
  <si>
    <t>FY+2 Net Debt/EBITDA</t>
  </si>
  <si>
    <t>Total Debt/Capital</t>
  </si>
  <si>
    <t>P/E</t>
  </si>
  <si>
    <t>Net Debt/EBITDA</t>
  </si>
  <si>
    <t>2021 Net Debt/EBITDA</t>
  </si>
  <si>
    <t>Sensitivities</t>
  </si>
  <si>
    <t>Diluted Shares Calculation</t>
  </si>
  <si>
    <t>Total</t>
  </si>
  <si>
    <t>2022 EPS Accretion/(Dilution)</t>
  </si>
  <si>
    <t>Current Assumptions (Do Not Remove)</t>
  </si>
  <si>
    <t>New Equity</t>
  </si>
  <si>
    <t>New Debt</t>
  </si>
  <si>
    <t>Refinancing of Target Debt</t>
  </si>
  <si>
    <t>Cash-on-Hand</t>
  </si>
  <si>
    <t>Incremental Interest</t>
  </si>
  <si>
    <t>Debt Issue Cost Amortization</t>
  </si>
  <si>
    <t>Tax Impact</t>
  </si>
  <si>
    <t>Net Earnings Adjustment (FY+1)</t>
  </si>
  <si>
    <t>Total Net Earnings Adjustment</t>
  </si>
  <si>
    <t>Normalized Net Earnings</t>
  </si>
  <si>
    <t>Options and Dilutive Securities Schedule</t>
  </si>
  <si>
    <t>Number</t>
  </si>
  <si>
    <t>Exercise</t>
  </si>
  <si>
    <t>Type</t>
  </si>
  <si>
    <t>Outstanding</t>
  </si>
  <si>
    <t>Price</t>
  </si>
  <si>
    <t>Converted</t>
  </si>
  <si>
    <t>Proceeds</t>
  </si>
  <si>
    <t>[MM]</t>
  </si>
  <si>
    <t>[$/sh.]</t>
  </si>
  <si>
    <t>[$MM]</t>
  </si>
  <si>
    <t>In-the-Money Options</t>
  </si>
  <si>
    <t>Shares Repurchased (TSM)</t>
  </si>
  <si>
    <t>Face</t>
  </si>
  <si>
    <t>Conversion</t>
  </si>
  <si>
    <t>Shares</t>
  </si>
  <si>
    <t>Details</t>
  </si>
  <si>
    <t>Value</t>
  </si>
  <si>
    <t>Issued</t>
  </si>
  <si>
    <t>Total Converted</t>
  </si>
  <si>
    <t>Total Unconverted</t>
  </si>
  <si>
    <t>Check</t>
  </si>
  <si>
    <t xml:space="preserve"> </t>
  </si>
  <si>
    <t>P/CF</t>
  </si>
  <si>
    <t>Total Debt / Market Capitalization</t>
  </si>
  <si>
    <t>Total Debt / Book Capitalization</t>
  </si>
  <si>
    <t>Comps Data</t>
  </si>
  <si>
    <t>Normalized Cash Flow</t>
  </si>
  <si>
    <r>
      <t>FY+1 EPS</t>
    </r>
    <r>
      <rPr>
        <b/>
        <vertAlign val="superscript"/>
        <sz val="11"/>
        <color theme="1"/>
        <rFont val="Arial Narrow"/>
        <family val="2"/>
      </rPr>
      <t>1</t>
    </r>
  </si>
  <si>
    <r>
      <t>FY+1 CFPS</t>
    </r>
    <r>
      <rPr>
        <b/>
        <vertAlign val="superscript"/>
        <sz val="11"/>
        <color theme="1"/>
        <rFont val="Arial Narrow"/>
        <family val="2"/>
      </rPr>
      <t>1</t>
    </r>
  </si>
  <si>
    <t>1. Normalized amounts (i.e. excludes one-time transaction costs)</t>
  </si>
  <si>
    <t>Notes:</t>
  </si>
  <si>
    <t>Merger Model Detail</t>
  </si>
  <si>
    <t>Inputs and Assumptions</t>
  </si>
  <si>
    <t>Model Outputs</t>
  </si>
  <si>
    <t>2022 CFPS Accretion/(Dilution)</t>
  </si>
  <si>
    <t>Control Panel</t>
  </si>
  <si>
    <t>Additional Shares Issued (TSM)</t>
  </si>
  <si>
    <t>Restricted Stock Units / Restricted Stock Awards</t>
  </si>
  <si>
    <t>Unvested</t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</si>
  <si>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</si>
  <si>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Market Capitalization</t>
  </si>
  <si>
    <t>Net Earnings Adjustment (FY+2)</t>
  </si>
  <si>
    <t>Goodwill and FMV of Assets</t>
  </si>
  <si>
    <t>Sensitivities Control</t>
  </si>
  <si>
    <t>Toggles and Controls (DO NOT DELETE)</t>
  </si>
  <si>
    <t>Total Debt (Balance Sheet)</t>
  </si>
  <si>
    <t>Total Convertible Debt (Balance Sheet)</t>
  </si>
  <si>
    <t>Total Non-Convertible Debt</t>
  </si>
  <si>
    <t>Convertible Debt Outstanding (If-Converted)</t>
  </si>
  <si>
    <t>Total Debt (Adjusted)</t>
  </si>
  <si>
    <t>Other Intangible Assets</t>
  </si>
  <si>
    <t>PP&amp;E, Existing Goodwill and Other Intangibles</t>
  </si>
  <si>
    <t>Book Value of Total Assets</t>
  </si>
  <si>
    <t>Less: Book Value of PP&amp;E, Goodwill and Other Intangibles</t>
  </si>
  <si>
    <t>Book Value of Other Assets</t>
  </si>
  <si>
    <t>Less: FMV of Other Assets</t>
  </si>
  <si>
    <t>FMV of PP&amp;E, Goodwill and Other Intangibles</t>
  </si>
  <si>
    <t>Book Value of Goodwill</t>
  </si>
  <si>
    <t>Book Value of Other Intangible Assets</t>
  </si>
  <si>
    <t>Total Book Value of PP&amp;E, Goodwill and Other Intangibles</t>
  </si>
  <si>
    <t>FMV Adjustment for PP&amp;E, Goodwill and Other Intangibles</t>
  </si>
  <si>
    <t>FMV Adjustment for PP&amp;E, Goodwill and Other Intangibles Attributed to Depreciable Property</t>
  </si>
  <si>
    <t>FMV of PP&amp;E, Goodwill and Intangibles Attributed to Depreciable Property</t>
  </si>
  <si>
    <t>FMV of PP&amp;E, Goodwill and Intangibles Attributed to Non-Depreciable Property</t>
  </si>
  <si>
    <t>Target Cash and Cash Equivalents</t>
  </si>
  <si>
    <t>Target Debt Change of Control Premium</t>
  </si>
  <si>
    <t>FMV of Equity (Market Capitalization)</t>
  </si>
  <si>
    <t>Debt Change-of-Control Premium</t>
  </si>
  <si>
    <t>Amazon</t>
  </si>
  <si>
    <t>Walmart</t>
  </si>
  <si>
    <t>Twitter</t>
  </si>
  <si>
    <t>eBay</t>
  </si>
  <si>
    <t>Snap Inc.</t>
  </si>
  <si>
    <t>Expedia</t>
  </si>
  <si>
    <t>Alphabet</t>
  </si>
  <si>
    <t>Facebook</t>
  </si>
  <si>
    <t>Restricted Stock Units</t>
  </si>
  <si>
    <t>Restricted Stock and Performance Share Units</t>
  </si>
  <si>
    <t>Stock Options</t>
  </si>
  <si>
    <t>Performance Restricted Stock Units</t>
  </si>
  <si>
    <t>TSR Restricted Stock Units</t>
  </si>
  <si>
    <t>Restricted Common Stock</t>
  </si>
  <si>
    <t>Convertible Notes (2021)</t>
  </si>
  <si>
    <t>Convertible Notes (2024)</t>
  </si>
  <si>
    <t>Convertible Notes (2025)</t>
  </si>
  <si>
    <t>RSUs and RSAs</t>
  </si>
  <si>
    <t>Convertible Notes (2026)</t>
  </si>
  <si>
    <t>AMZN</t>
  </si>
  <si>
    <t>WMT</t>
  </si>
  <si>
    <t>TWTR</t>
  </si>
  <si>
    <t>EBAY</t>
  </si>
  <si>
    <t>SNAP</t>
  </si>
  <si>
    <t>EXPE</t>
  </si>
  <si>
    <t>GOOGL</t>
  </si>
  <si>
    <t>FB</t>
  </si>
  <si>
    <t>Amazon 10-K Excerpt</t>
  </si>
  <si>
    <t>%</t>
  </si>
  <si>
    <t>Net Debt/EV</t>
  </si>
  <si>
    <t>Merger Model - Blank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</si>
</sst>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;\-&quot;$&quot;#,##0"/>
    <numFmt numFmtId="7" formatCode="&quot;$&quot;#,##0.00;\-&quot;$&quot;#,##0.00"/>
    <numFmt numFmtId="43" formatCode="_-* #,##0.00_-;\-* #,##0.00_-;_-* &quot;-&quot;??_-;_-@_-"/>
    <numFmt numFmtId="164" formatCode="&quot;$&quot;#,##0_);\(&quot;$&quot;#,##0\)"/>
    <numFmt numFmtId="165" formatCode="0.0\x"/>
    <numFmt numFmtId="166" formatCode="&quot;$&quot;#,##0"/>
    <numFmt numFmtId="167" formatCode="#,##0.0_)_%;\(#,##0.0\)_%;#,##0.0_)_%;@_)_%"/>
    <numFmt numFmtId="168" formatCode="0.0%"/>
    <numFmt numFmtId="169" formatCode="&quot;$&quot;#,##0.00"/>
    <numFmt numFmtId="170" formatCode="_(* #,##0.00_);_(* \(#,##0.00\);_(* &quot;-&quot;??_);_(@_)"/>
    <numFmt numFmtId="171" formatCode="#\ &quot;Years&quot;"/>
    <numFmt numFmtId="172" formatCode="&quot;$&quot;#,##0.00_);\(&quot;$&quot;#,##0.00\)"/>
    <numFmt numFmtId="173" formatCode="#,##0.0_ ;\-#,##0.0\ "/>
    <numFmt numFmtId="174" formatCode="#,##0.0"/>
    <numFmt numFmtId="175" formatCode="&quot;$&quot;#,##0.0_);\(&quot;$&quot;#,##0.0\)"/>
    <numFmt numFmtId="176" formatCode="_-* #,##0.0_-;\-* #,##0.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2"/>
      <color rgb="FF0000FF"/>
      <name val="Arial Narrow"/>
      <family val="2"/>
    </font>
    <font>
      <sz val="8"/>
      <name val="Calibri"/>
      <family val="2"/>
      <scheme val="minor"/>
    </font>
    <font>
      <b/>
      <u/>
      <sz val="11"/>
      <color theme="1"/>
      <name val="Arial Narrow"/>
      <family val="2"/>
    </font>
    <font>
      <b/>
      <u/>
      <sz val="11"/>
      <name val="Arial Narrow"/>
      <family val="2"/>
    </font>
    <font>
      <u/>
      <sz val="11"/>
      <name val="Arial Narrow"/>
      <family val="2"/>
    </font>
    <font>
      <b/>
      <sz val="11"/>
      <color theme="0"/>
      <name val="Arial Narrow"/>
      <family val="2"/>
    </font>
    <font>
      <b/>
      <u/>
      <sz val="11"/>
      <color theme="0"/>
      <name val="Arial Narrow"/>
      <family val="2"/>
    </font>
    <font>
      <sz val="11"/>
      <color rgb="FF00B050"/>
      <name val="Arial Narrow"/>
      <family val="2"/>
    </font>
    <font>
      <b/>
      <sz val="11"/>
      <color rgb="FFFFFFFF"/>
      <name val="Arial Narrow"/>
      <family val="2"/>
    </font>
    <font>
      <i/>
      <sz val="11"/>
      <color rgb="FF00B050"/>
      <name val="Arial Narrow"/>
      <family val="2"/>
    </font>
    <font>
      <u/>
      <sz val="11"/>
      <color theme="1"/>
      <name val="Arial Narrow"/>
      <family val="2"/>
    </font>
    <font>
      <i/>
      <sz val="8"/>
      <name val="Arial Narrow"/>
      <family val="2"/>
    </font>
    <font>
      <i/>
      <sz val="11"/>
      <color theme="1" tint="0.499984740745262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i/>
      <sz val="10"/>
      <name val="Arial Narrow"/>
      <family val="2"/>
    </font>
    <font>
      <b/>
      <sz val="12"/>
      <name val="Arial Narrow"/>
      <family val="2"/>
    </font>
    <font>
      <i/>
      <sz val="11"/>
      <name val="Arial Narrow"/>
      <family val="2"/>
    </font>
    <font>
      <b/>
      <vertAlign val="superscript"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5F7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tted">
        <color indexed="64"/>
      </right>
      <top style="dashed">
        <color auto="1"/>
      </top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7" fontId="3" fillId="0" borderId="0"/>
    <xf numFmtId="0" fontId="3" fillId="0" borderId="0"/>
    <xf numFmtId="0" fontId="4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17" fillId="0" borderId="0" xfId="4" applyFont="1" applyAlignment="1">
      <alignment horizontal="center"/>
    </xf>
    <xf numFmtId="37" fontId="21" fillId="3" borderId="0" xfId="0" applyNumberFormat="1" applyFont="1" applyFill="1" applyAlignment="1">
      <alignment vertical="top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0" fontId="24" fillId="0" borderId="0" xfId="4" applyFont="1" applyAlignment="1">
      <alignment horizontal="left"/>
    </xf>
    <xf numFmtId="0" fontId="5" fillId="0" borderId="2" xfId="0" applyFont="1" applyBorder="1"/>
    <xf numFmtId="0" fontId="7" fillId="5" borderId="0" xfId="0" applyFont="1" applyFill="1"/>
    <xf numFmtId="0" fontId="5" fillId="5" borderId="0" xfId="0" applyFont="1" applyFill="1"/>
    <xf numFmtId="0" fontId="5" fillId="0" borderId="0" xfId="0" applyFont="1" applyAlignment="1">
      <alignment horizontal="right"/>
    </xf>
    <xf numFmtId="5" fontId="7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17" fillId="0" borderId="0" xfId="4" applyFont="1" applyAlignment="1">
      <alignment horizontal="right"/>
    </xf>
    <xf numFmtId="165" fontId="5" fillId="0" borderId="0" xfId="0" applyNumberFormat="1" applyFont="1" applyAlignment="1">
      <alignment horizontal="right"/>
    </xf>
    <xf numFmtId="168" fontId="5" fillId="0" borderId="0" xfId="1" applyNumberFormat="1" applyFont="1" applyAlignment="1">
      <alignment horizontal="right"/>
    </xf>
    <xf numFmtId="0" fontId="26" fillId="0" borderId="0" xfId="7" quotePrefix="1" applyFont="1" applyFill="1" applyProtection="1">
      <protection locked="0"/>
    </xf>
    <xf numFmtId="0" fontId="5" fillId="0" borderId="0" xfId="0" applyFont="1" applyFill="1" applyAlignment="1">
      <alignment horizontal="right"/>
    </xf>
    <xf numFmtId="0" fontId="17" fillId="0" borderId="0" xfId="4" applyFont="1" applyFill="1" applyAlignment="1">
      <alignment horizontal="right"/>
    </xf>
    <xf numFmtId="0" fontId="5" fillId="0" borderId="1" xfId="0" applyFont="1" applyBorder="1"/>
    <xf numFmtId="169" fontId="5" fillId="0" borderId="0" xfId="0" applyNumberFormat="1" applyFont="1" applyFill="1" applyAlignment="1">
      <alignment horizontal="right"/>
    </xf>
    <xf numFmtId="37" fontId="5" fillId="0" borderId="0" xfId="0" applyNumberFormat="1" applyFont="1"/>
    <xf numFmtId="0" fontId="20" fillId="0" borderId="0" xfId="0" applyFont="1"/>
    <xf numFmtId="0" fontId="5" fillId="0" borderId="0" xfId="0" applyFont="1" applyFill="1"/>
    <xf numFmtId="0" fontId="5" fillId="6" borderId="0" xfId="0" applyFont="1" applyFill="1"/>
    <xf numFmtId="0" fontId="7" fillId="6" borderId="0" xfId="0" applyFont="1" applyFill="1"/>
    <xf numFmtId="0" fontId="28" fillId="6" borderId="0" xfId="0" applyFont="1" applyFill="1"/>
    <xf numFmtId="0" fontId="7" fillId="6" borderId="0" xfId="0" applyFont="1" applyFill="1" applyAlignment="1">
      <alignment horizontal="right"/>
    </xf>
    <xf numFmtId="166" fontId="20" fillId="0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6" borderId="0" xfId="0" applyFont="1" applyFill="1" applyAlignment="1">
      <alignment vertical="center"/>
    </xf>
    <xf numFmtId="0" fontId="5" fillId="0" borderId="0" xfId="0" applyFont="1" applyBorder="1"/>
    <xf numFmtId="0" fontId="7" fillId="0" borderId="1" xfId="0" applyFont="1" applyBorder="1"/>
    <xf numFmtId="0" fontId="8" fillId="0" borderId="0" xfId="0" applyFont="1" applyAlignment="1">
      <alignment horizontal="right"/>
    </xf>
    <xf numFmtId="0" fontId="28" fillId="6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24" fillId="0" borderId="0" xfId="4" applyFont="1" applyAlignment="1">
      <alignment horizontal="right"/>
    </xf>
    <xf numFmtId="37" fontId="12" fillId="3" borderId="0" xfId="0" applyNumberFormat="1" applyFont="1" applyFill="1" applyAlignment="1">
      <alignment horizontal="right" vertical="center"/>
    </xf>
    <xf numFmtId="37" fontId="23" fillId="3" borderId="0" xfId="0" applyNumberFormat="1" applyFont="1" applyFill="1" applyAlignment="1">
      <alignment horizontal="right" vertical="center"/>
    </xf>
    <xf numFmtId="0" fontId="29" fillId="0" borderId="0" xfId="4" applyFont="1" applyAlignment="1">
      <alignment horizontal="left" vertical="center"/>
    </xf>
    <xf numFmtId="0" fontId="28" fillId="0" borderId="0" xfId="0" applyFont="1" applyAlignment="1">
      <alignment vertical="center"/>
    </xf>
    <xf numFmtId="0" fontId="18" fillId="0" borderId="0" xfId="0" applyNumberFormat="1" applyFont="1" applyFill="1" applyAlignment="1">
      <alignment horizontal="right"/>
    </xf>
    <xf numFmtId="0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9" fillId="6" borderId="0" xfId="0" applyNumberFormat="1" applyFont="1" applyFill="1"/>
    <xf numFmtId="0" fontId="19" fillId="0" borderId="0" xfId="0" applyNumberFormat="1" applyFont="1"/>
    <xf numFmtId="0" fontId="18" fillId="0" borderId="0" xfId="0" applyNumberFormat="1" applyFont="1" applyFill="1"/>
    <xf numFmtId="0" fontId="18" fillId="0" borderId="0" xfId="0" applyNumberFormat="1" applyFont="1" applyAlignment="1">
      <alignment vertical="center"/>
    </xf>
    <xf numFmtId="0" fontId="31" fillId="5" borderId="0" xfId="0" applyNumberFormat="1" applyFont="1" applyFill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Border="1"/>
    <xf numFmtId="0" fontId="20" fillId="0" borderId="0" xfId="0" applyFont="1" applyBorder="1"/>
    <xf numFmtId="0" fontId="19" fillId="0" borderId="0" xfId="0" applyNumberFormat="1" applyFont="1" applyFill="1"/>
    <xf numFmtId="0" fontId="29" fillId="0" borderId="0" xfId="0" applyNumberFormat="1" applyFont="1" applyFill="1"/>
    <xf numFmtId="0" fontId="29" fillId="0" borderId="0" xfId="0" applyNumberFormat="1" applyFont="1" applyFill="1" applyAlignment="1">
      <alignment horizontal="right"/>
    </xf>
    <xf numFmtId="0" fontId="18" fillId="0" borderId="0" xfId="0" applyNumberFormat="1" applyFont="1" applyFill="1" applyAlignment="1">
      <alignment vertical="center"/>
    </xf>
    <xf numFmtId="0" fontId="18" fillId="0" borderId="0" xfId="1" applyNumberFormat="1" applyFont="1" applyFill="1" applyAlignment="1">
      <alignment horizontal="right"/>
    </xf>
    <xf numFmtId="0" fontId="30" fillId="0" borderId="0" xfId="0" applyNumberFormat="1" applyFont="1" applyFill="1"/>
    <xf numFmtId="0" fontId="18" fillId="0" borderId="0" xfId="0" applyNumberFormat="1" applyFont="1" applyFill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5" fillId="0" borderId="0" xfId="0" applyFont="1" applyFill="1" applyAlignment="1">
      <alignment vertical="center"/>
    </xf>
    <xf numFmtId="0" fontId="18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0" fontId="18" fillId="0" borderId="0" xfId="0" applyNumberFormat="1" applyFont="1" applyFill="1" applyBorder="1" applyAlignment="1">
      <alignment horizontal="righ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4" applyNumberFormat="1" applyFont="1" applyFill="1" applyBorder="1" applyAlignment="1">
      <alignment horizontal="left" vertical="center"/>
    </xf>
    <xf numFmtId="0" fontId="32" fillId="5" borderId="0" xfId="0" applyNumberFormat="1" applyFont="1" applyFill="1"/>
    <xf numFmtId="0" fontId="32" fillId="5" borderId="0" xfId="0" applyNumberFormat="1" applyFont="1" applyFill="1" applyAlignment="1">
      <alignment horizontal="right"/>
    </xf>
    <xf numFmtId="0" fontId="5" fillId="0" borderId="1" xfId="0" applyFont="1" applyBorder="1" applyAlignment="1">
      <alignment vertical="center"/>
    </xf>
    <xf numFmtId="37" fontId="5" fillId="0" borderId="0" xfId="0" applyNumberFormat="1" applyFont="1" applyBorder="1"/>
    <xf numFmtId="166" fontId="33" fillId="0" borderId="0" xfId="0" applyNumberFormat="1" applyFont="1"/>
    <xf numFmtId="0" fontId="23" fillId="5" borderId="0" xfId="0" applyNumberFormat="1" applyFont="1" applyFill="1"/>
    <xf numFmtId="0" fontId="23" fillId="5" borderId="0" xfId="0" applyFont="1" applyFill="1"/>
    <xf numFmtId="0" fontId="18" fillId="0" borderId="0" xfId="0" applyFont="1" applyFill="1" applyBorder="1" applyAlignment="1">
      <alignment vertical="center"/>
    </xf>
    <xf numFmtId="166" fontId="18" fillId="0" borderId="0" xfId="4" applyNumberFormat="1" applyFont="1" applyFill="1" applyBorder="1" applyAlignment="1">
      <alignment horizontal="right" vertical="center"/>
    </xf>
    <xf numFmtId="0" fontId="19" fillId="6" borderId="0" xfId="0" applyNumberFormat="1" applyFont="1" applyFill="1" applyBorder="1" applyAlignment="1">
      <alignment horizontal="centerContinuous" vertical="center"/>
    </xf>
    <xf numFmtId="0" fontId="19" fillId="6" borderId="0" xfId="0" applyFont="1" applyFill="1" applyBorder="1" applyAlignment="1">
      <alignment horizontal="centerContinuous" vertical="center"/>
    </xf>
    <xf numFmtId="166" fontId="18" fillId="0" borderId="0" xfId="4" applyNumberFormat="1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horizontal="centerContinuous" vertical="center"/>
    </xf>
    <xf numFmtId="0" fontId="19" fillId="0" borderId="0" xfId="0" applyNumberFormat="1" applyFont="1" applyFill="1" applyBorder="1" applyAlignment="1">
      <alignment horizontal="centerContinuous" vertical="center"/>
    </xf>
    <xf numFmtId="9" fontId="12" fillId="0" borderId="0" xfId="0" applyNumberFormat="1" applyFont="1" applyFill="1" applyBorder="1" applyAlignment="1">
      <alignment vertical="center"/>
    </xf>
    <xf numFmtId="9" fontId="20" fillId="0" borderId="0" xfId="4" applyNumberFormat="1" applyFont="1" applyFill="1" applyBorder="1" applyAlignment="1">
      <alignment horizontal="right"/>
    </xf>
    <xf numFmtId="9" fontId="18" fillId="0" borderId="0" xfId="0" applyNumberFormat="1" applyFont="1" applyFill="1" applyBorder="1" applyAlignment="1">
      <alignment horizontal="right"/>
    </xf>
    <xf numFmtId="9" fontId="20" fillId="0" borderId="0" xfId="0" applyNumberFormat="1" applyFont="1" applyFill="1" applyBorder="1" applyAlignment="1">
      <alignment vertical="center"/>
    </xf>
    <xf numFmtId="9" fontId="18" fillId="0" borderId="0" xfId="1" applyFont="1" applyFill="1" applyBorder="1" applyAlignment="1">
      <alignment vertical="center"/>
    </xf>
    <xf numFmtId="9" fontId="5" fillId="0" borderId="0" xfId="1" applyFont="1" applyAlignment="1">
      <alignment vertical="center"/>
    </xf>
    <xf numFmtId="168" fontId="20" fillId="0" borderId="7" xfId="0" applyNumberFormat="1" applyFont="1" applyFill="1" applyBorder="1" applyAlignment="1">
      <alignment horizontal="right"/>
    </xf>
    <xf numFmtId="37" fontId="18" fillId="0" borderId="0" xfId="0" applyNumberFormat="1" applyFont="1" applyFill="1" applyAlignment="1">
      <alignment horizontal="right"/>
    </xf>
    <xf numFmtId="0" fontId="18" fillId="0" borderId="0" xfId="0" applyNumberFormat="1" applyFont="1" applyFill="1" applyBorder="1" applyAlignment="1">
      <alignment horizontal="centerContinuous" vertical="center"/>
    </xf>
    <xf numFmtId="0" fontId="24" fillId="0" borderId="0" xfId="4" applyNumberFormat="1" applyFont="1" applyFill="1" applyBorder="1" applyAlignment="1">
      <alignment horizontal="centerContinuous" vertical="center"/>
    </xf>
    <xf numFmtId="169" fontId="18" fillId="0" borderId="0" xfId="4" applyNumberFormat="1" applyFont="1" applyFill="1" applyBorder="1" applyAlignment="1">
      <alignment horizontal="centerContinuous" vertical="center"/>
    </xf>
    <xf numFmtId="168" fontId="5" fillId="0" borderId="0" xfId="0" applyNumberFormat="1" applyFont="1"/>
    <xf numFmtId="171" fontId="20" fillId="0" borderId="7" xfId="0" applyNumberFormat="1" applyFont="1" applyFill="1" applyBorder="1"/>
    <xf numFmtId="0" fontId="5" fillId="0" borderId="0" xfId="0" applyFont="1" applyAlignment="1">
      <alignment horizontal="centerContinuous"/>
    </xf>
    <xf numFmtId="37" fontId="12" fillId="3" borderId="0" xfId="0" applyNumberFormat="1" applyFont="1" applyFill="1" applyAlignment="1">
      <alignment vertical="top"/>
    </xf>
    <xf numFmtId="0" fontId="34" fillId="3" borderId="0" xfId="0" applyFont="1" applyFill="1" applyAlignment="1">
      <alignment horizontal="left" vertical="center" readingOrder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9" fontId="5" fillId="0" borderId="0" xfId="0" applyNumberFormat="1" applyFont="1"/>
    <xf numFmtId="166" fontId="5" fillId="0" borderId="0" xfId="0" applyNumberFormat="1" applyFont="1"/>
    <xf numFmtId="169" fontId="33" fillId="0" borderId="0" xfId="0" applyNumberFormat="1" applyFont="1"/>
    <xf numFmtId="5" fontId="5" fillId="0" borderId="0" xfId="0" applyNumberFormat="1" applyFont="1"/>
    <xf numFmtId="5" fontId="33" fillId="0" borderId="0" xfId="0" applyNumberFormat="1" applyFont="1"/>
    <xf numFmtId="168" fontId="33" fillId="0" borderId="0" xfId="1" applyNumberFormat="1" applyFont="1"/>
    <xf numFmtId="166" fontId="5" fillId="0" borderId="1" xfId="0" applyNumberFormat="1" applyFont="1" applyBorder="1"/>
    <xf numFmtId="166" fontId="7" fillId="0" borderId="1" xfId="0" applyNumberFormat="1" applyFont="1" applyBorder="1"/>
    <xf numFmtId="169" fontId="7" fillId="0" borderId="1" xfId="0" applyNumberFormat="1" applyFont="1" applyBorder="1"/>
    <xf numFmtId="166" fontId="7" fillId="0" borderId="0" xfId="0" applyNumberFormat="1" applyFont="1"/>
    <xf numFmtId="5" fontId="7" fillId="0" borderId="1" xfId="0" applyNumberFormat="1" applyFont="1" applyBorder="1"/>
    <xf numFmtId="168" fontId="35" fillId="0" borderId="0" xfId="1" applyNumberFormat="1" applyFont="1"/>
    <xf numFmtId="0" fontId="7" fillId="0" borderId="2" xfId="0" applyFont="1" applyBorder="1" applyAlignment="1">
      <alignment horizontal="right"/>
    </xf>
    <xf numFmtId="37" fontId="7" fillId="0" borderId="2" xfId="0" applyNumberFormat="1" applyFont="1" applyBorder="1" applyAlignment="1">
      <alignment horizontal="right"/>
    </xf>
    <xf numFmtId="0" fontId="7" fillId="0" borderId="0" xfId="0" applyFont="1" applyBorder="1"/>
    <xf numFmtId="166" fontId="7" fillId="0" borderId="0" xfId="0" applyNumberFormat="1" applyFont="1" applyBorder="1"/>
    <xf numFmtId="5" fontId="5" fillId="0" borderId="0" xfId="0" applyNumberFormat="1" applyFont="1" applyAlignment="1">
      <alignment horizontal="right"/>
    </xf>
    <xf numFmtId="5" fontId="19" fillId="0" borderId="1" xfId="0" applyNumberFormat="1" applyFont="1" applyBorder="1"/>
    <xf numFmtId="0" fontId="19" fillId="0" borderId="1" xfId="0" applyFont="1" applyBorder="1"/>
    <xf numFmtId="0" fontId="29" fillId="0" borderId="1" xfId="0" applyNumberFormat="1" applyFont="1" applyFill="1" applyBorder="1" applyAlignment="1">
      <alignment vertical="center"/>
    </xf>
    <xf numFmtId="0" fontId="29" fillId="0" borderId="1" xfId="0" applyNumberFormat="1" applyFont="1" applyBorder="1" applyAlignment="1">
      <alignment vertical="center"/>
    </xf>
    <xf numFmtId="165" fontId="18" fillId="0" borderId="5" xfId="1" applyNumberFormat="1" applyFont="1" applyFill="1" applyBorder="1" applyAlignment="1">
      <alignment vertical="center"/>
    </xf>
    <xf numFmtId="165" fontId="18" fillId="0" borderId="1" xfId="1" applyNumberFormat="1" applyFont="1" applyFill="1" applyBorder="1" applyAlignment="1"/>
    <xf numFmtId="165" fontId="18" fillId="0" borderId="6" xfId="1" applyNumberFormat="1" applyFont="1" applyFill="1" applyBorder="1" applyAlignment="1">
      <alignment vertical="center"/>
    </xf>
    <xf numFmtId="165" fontId="18" fillId="0" borderId="0" xfId="1" applyNumberFormat="1" applyFont="1" applyFill="1" applyBorder="1" applyAlignment="1"/>
    <xf numFmtId="165" fontId="18" fillId="0" borderId="0" xfId="1" applyNumberFormat="1" applyFont="1" applyFill="1" applyAlignment="1"/>
    <xf numFmtId="0" fontId="26" fillId="0" borderId="0" xfId="7" quotePrefix="1" applyFont="1" applyFill="1"/>
    <xf numFmtId="0" fontId="18" fillId="0" borderId="3" xfId="0" applyFont="1" applyBorder="1"/>
    <xf numFmtId="0" fontId="18" fillId="0" borderId="4" xfId="0" applyFont="1" applyBorder="1"/>
    <xf numFmtId="0" fontId="5" fillId="0" borderId="0" xfId="0" applyFont="1" applyAlignment="1">
      <alignment horizontal="left" indent="1"/>
    </xf>
    <xf numFmtId="0" fontId="7" fillId="0" borderId="2" xfId="0" applyFont="1" applyBorder="1"/>
    <xf numFmtId="37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9" fontId="7" fillId="0" borderId="0" xfId="0" applyNumberFormat="1" applyFont="1"/>
    <xf numFmtId="168" fontId="5" fillId="0" borderId="2" xfId="1" applyNumberFormat="1" applyFont="1" applyBorder="1"/>
    <xf numFmtId="168" fontId="5" fillId="0" borderId="0" xfId="1" applyNumberFormat="1" applyFont="1"/>
    <xf numFmtId="9" fontId="5" fillId="0" borderId="0" xfId="1" applyFont="1" applyAlignment="1">
      <alignment horizontal="right"/>
    </xf>
    <xf numFmtId="1" fontId="5" fillId="0" borderId="2" xfId="0" applyNumberFormat="1" applyFont="1" applyBorder="1" applyAlignment="1">
      <alignment horizontal="right"/>
    </xf>
    <xf numFmtId="9" fontId="5" fillId="0" borderId="2" xfId="1" applyFont="1" applyBorder="1" applyAlignment="1">
      <alignment horizontal="right"/>
    </xf>
    <xf numFmtId="9" fontId="7" fillId="0" borderId="1" xfId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9" fontId="7" fillId="0" borderId="0" xfId="1" applyFont="1" applyAlignment="1">
      <alignment horizontal="right"/>
    </xf>
    <xf numFmtId="5" fontId="33" fillId="0" borderId="0" xfId="0" applyNumberFormat="1" applyFont="1" applyFill="1"/>
    <xf numFmtId="0" fontId="33" fillId="0" borderId="0" xfId="0" applyFont="1" applyFill="1"/>
    <xf numFmtId="5" fontId="33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5" fontId="5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/>
    </xf>
    <xf numFmtId="0" fontId="33" fillId="0" borderId="0" xfId="0" applyFont="1" applyFill="1" applyAlignment="1">
      <alignment horizontal="right"/>
    </xf>
    <xf numFmtId="169" fontId="5" fillId="0" borderId="0" xfId="0" applyNumberFormat="1" applyFont="1" applyFill="1"/>
    <xf numFmtId="9" fontId="5" fillId="0" borderId="0" xfId="1" applyFont="1" applyFill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166" fontId="20" fillId="0" borderId="0" xfId="0" applyNumberFormat="1" applyFont="1" applyFill="1"/>
    <xf numFmtId="3" fontId="5" fillId="0" borderId="2" xfId="0" applyNumberFormat="1" applyFont="1" applyBorder="1" applyAlignment="1">
      <alignment horizontal="right"/>
    </xf>
    <xf numFmtId="0" fontId="28" fillId="0" borderId="0" xfId="0" applyFont="1"/>
    <xf numFmtId="3" fontId="33" fillId="0" borderId="0" xfId="0" applyNumberFormat="1" applyFont="1"/>
    <xf numFmtId="168" fontId="20" fillId="0" borderId="8" xfId="0" applyNumberFormat="1" applyFont="1" applyFill="1" applyBorder="1" applyAlignment="1">
      <alignment horizontal="right"/>
    </xf>
    <xf numFmtId="0" fontId="5" fillId="0" borderId="0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9" fontId="33" fillId="6" borderId="0" xfId="1" applyFont="1" applyFill="1" applyBorder="1" applyAlignment="1">
      <alignment vertical="center"/>
    </xf>
    <xf numFmtId="9" fontId="33" fillId="6" borderId="0" xfId="1" applyFont="1" applyFill="1" applyAlignment="1">
      <alignment vertical="center"/>
    </xf>
    <xf numFmtId="168" fontId="12" fillId="0" borderId="0" xfId="0" applyNumberFormat="1" applyFont="1"/>
    <xf numFmtId="0" fontId="19" fillId="0" borderId="0" xfId="0" applyNumberFormat="1" applyFont="1" applyBorder="1" applyAlignment="1">
      <alignment horizontal="center"/>
    </xf>
    <xf numFmtId="3" fontId="3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6" fontId="5" fillId="0" borderId="0" xfId="0" applyNumberFormat="1" applyFont="1" applyFill="1"/>
    <xf numFmtId="0" fontId="7" fillId="0" borderId="1" xfId="0" applyFont="1" applyFill="1" applyBorder="1"/>
    <xf numFmtId="5" fontId="5" fillId="0" borderId="0" xfId="0" applyNumberFormat="1" applyFont="1" applyFill="1"/>
    <xf numFmtId="0" fontId="7" fillId="0" borderId="0" xfId="0" applyFont="1" applyFill="1"/>
    <xf numFmtId="5" fontId="7" fillId="0" borderId="0" xfId="0" applyNumberFormat="1" applyFont="1" applyFill="1"/>
    <xf numFmtId="0" fontId="5" fillId="0" borderId="2" xfId="0" applyFont="1" applyFill="1" applyBorder="1"/>
    <xf numFmtId="0" fontId="5" fillId="0" borderId="1" xfId="0" applyFont="1" applyFill="1" applyBorder="1"/>
    <xf numFmtId="164" fontId="7" fillId="0" borderId="1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29" fillId="0" borderId="0" xfId="4" applyFont="1" applyFill="1" applyAlignment="1">
      <alignment horizontal="left" vertical="center"/>
    </xf>
    <xf numFmtId="168" fontId="5" fillId="0" borderId="0" xfId="0" applyNumberFormat="1" applyFont="1" applyFill="1" applyBorder="1"/>
    <xf numFmtId="171" fontId="18" fillId="0" borderId="0" xfId="0" applyNumberFormat="1" applyFont="1" applyFill="1" applyBorder="1"/>
    <xf numFmtId="0" fontId="36" fillId="0" borderId="0" xfId="0" applyFont="1"/>
    <xf numFmtId="173" fontId="5" fillId="0" borderId="0" xfId="0" applyNumberFormat="1" applyFont="1" applyAlignment="1">
      <alignment horizontal="right"/>
    </xf>
    <xf numFmtId="173" fontId="5" fillId="0" borderId="2" xfId="0" applyNumberFormat="1" applyFont="1" applyBorder="1" applyAlignment="1">
      <alignment horizontal="right"/>
    </xf>
    <xf numFmtId="5" fontId="7" fillId="0" borderId="0" xfId="0" applyNumberFormat="1" applyFont="1" applyAlignment="1">
      <alignment horizontal="right"/>
    </xf>
    <xf numFmtId="169" fontId="18" fillId="0" borderId="0" xfId="0" applyNumberFormat="1" applyFont="1" applyBorder="1" applyAlignment="1">
      <alignment horizontal="right"/>
    </xf>
    <xf numFmtId="0" fontId="17" fillId="0" borderId="0" xfId="4" applyFont="1" applyAlignment="1">
      <alignment horizontal="left"/>
    </xf>
    <xf numFmtId="0" fontId="37" fillId="0" borderId="0" xfId="2" applyFont="1" applyAlignment="1">
      <alignment horizontal="center" vertical="center"/>
    </xf>
    <xf numFmtId="166" fontId="5" fillId="0" borderId="0" xfId="0" applyNumberFormat="1" applyFont="1" applyAlignment="1">
      <alignment horizontal="right"/>
    </xf>
    <xf numFmtId="166" fontId="5" fillId="0" borderId="2" xfId="0" applyNumberFormat="1" applyFont="1" applyBorder="1" applyAlignment="1">
      <alignment horizontal="right"/>
    </xf>
    <xf numFmtId="3" fontId="18" fillId="0" borderId="0" xfId="0" applyNumberFormat="1" applyFont="1" applyFill="1" applyAlignment="1">
      <alignment horizontal="right"/>
    </xf>
    <xf numFmtId="173" fontId="7" fillId="0" borderId="1" xfId="0" applyNumberFormat="1" applyFont="1" applyBorder="1" applyAlignment="1">
      <alignment horizontal="right"/>
    </xf>
    <xf numFmtId="174" fontId="5" fillId="0" borderId="0" xfId="0" applyNumberFormat="1" applyFont="1"/>
    <xf numFmtId="166" fontId="7" fillId="0" borderId="1" xfId="0" applyNumberFormat="1" applyFont="1" applyBorder="1" applyAlignment="1">
      <alignment horizontal="right"/>
    </xf>
    <xf numFmtId="0" fontId="38" fillId="0" borderId="0" xfId="0" applyFont="1"/>
    <xf numFmtId="164" fontId="5" fillId="0" borderId="0" xfId="0" applyNumberFormat="1" applyFont="1"/>
    <xf numFmtId="164" fontId="5" fillId="0" borderId="2" xfId="0" applyNumberFormat="1" applyFont="1" applyBorder="1"/>
    <xf numFmtId="164" fontId="7" fillId="0" borderId="0" xfId="0" applyNumberFormat="1" applyFont="1"/>
    <xf numFmtId="164" fontId="7" fillId="0" borderId="1" xfId="0" applyNumberFormat="1" applyFont="1" applyFill="1" applyBorder="1"/>
    <xf numFmtId="164" fontId="7" fillId="0" borderId="0" xfId="0" applyNumberFormat="1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3" fontId="33" fillId="0" borderId="0" xfId="0" applyNumberFormat="1" applyFont="1" applyFill="1" applyAlignment="1">
      <alignment horizontal="right"/>
    </xf>
    <xf numFmtId="3" fontId="33" fillId="0" borderId="0" xfId="0" applyNumberFormat="1" applyFont="1" applyFill="1"/>
    <xf numFmtId="3" fontId="33" fillId="0" borderId="0" xfId="0" applyNumberFormat="1" applyFont="1" applyFill="1" applyBorder="1" applyAlignment="1">
      <alignment horizontal="right"/>
    </xf>
    <xf numFmtId="3" fontId="33" fillId="0" borderId="0" xfId="0" applyNumberFormat="1" applyFont="1" applyFill="1" applyBorder="1"/>
    <xf numFmtId="166" fontId="18" fillId="0" borderId="0" xfId="0" applyNumberFormat="1" applyFont="1" applyFill="1" applyAlignment="1">
      <alignment horizontal="right"/>
    </xf>
    <xf numFmtId="3" fontId="20" fillId="0" borderId="0" xfId="0" applyNumberFormat="1" applyFont="1"/>
    <xf numFmtId="0" fontId="18" fillId="0" borderId="0" xfId="0" applyFont="1"/>
    <xf numFmtId="37" fontId="39" fillId="3" borderId="0" xfId="0" applyNumberFormat="1" applyFont="1" applyFill="1" applyAlignment="1">
      <alignment vertical="top"/>
    </xf>
    <xf numFmtId="0" fontId="40" fillId="3" borderId="0" xfId="0" applyFont="1" applyFill="1" applyAlignment="1">
      <alignment horizontal="left" vertical="center" readingOrder="1"/>
    </xf>
    <xf numFmtId="37" fontId="41" fillId="3" borderId="0" xfId="0" applyNumberFormat="1" applyFont="1" applyFill="1" applyAlignment="1">
      <alignment vertical="top"/>
    </xf>
    <xf numFmtId="0" fontId="42" fillId="0" borderId="0" xfId="0" applyFont="1" applyAlignment="1">
      <alignment horizontal="right"/>
    </xf>
    <xf numFmtId="0" fontId="19" fillId="5" borderId="0" xfId="0" applyFont="1" applyFill="1"/>
    <xf numFmtId="169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9" fillId="6" borderId="0" xfId="0" applyFont="1" applyFill="1" applyAlignment="1">
      <alignment horizontal="right"/>
    </xf>
    <xf numFmtId="3" fontId="18" fillId="0" borderId="1" xfId="0" applyNumberFormat="1" applyFont="1" applyBorder="1" applyAlignment="1">
      <alignment horizontal="right"/>
    </xf>
    <xf numFmtId="5" fontId="19" fillId="0" borderId="0" xfId="0" applyNumberFormat="1" applyFont="1" applyBorder="1" applyAlignment="1">
      <alignment horizontal="right"/>
    </xf>
    <xf numFmtId="168" fontId="18" fillId="0" borderId="0" xfId="1" applyNumberFormat="1" applyFont="1" applyFill="1" applyAlignment="1">
      <alignment horizontal="right"/>
    </xf>
    <xf numFmtId="0" fontId="18" fillId="5" borderId="0" xfId="0" applyFont="1" applyFill="1"/>
    <xf numFmtId="165" fontId="18" fillId="0" borderId="0" xfId="0" applyNumberFormat="1" applyFont="1" applyAlignment="1">
      <alignment horizontal="right"/>
    </xf>
    <xf numFmtId="165" fontId="18" fillId="0" borderId="0" xfId="0" applyNumberFormat="1" applyFont="1" applyFill="1" applyAlignment="1">
      <alignment horizontal="right"/>
    </xf>
    <xf numFmtId="168" fontId="18" fillId="0" borderId="0" xfId="1" applyNumberFormat="1" applyFont="1" applyAlignment="1">
      <alignment horizontal="right"/>
    </xf>
    <xf numFmtId="166" fontId="33" fillId="0" borderId="2" xfId="0" applyNumberFormat="1" applyFont="1" applyFill="1" applyBorder="1" applyAlignment="1">
      <alignment horizontal="right"/>
    </xf>
    <xf numFmtId="166" fontId="33" fillId="0" borderId="0" xfId="0" applyNumberFormat="1" applyFont="1" applyFill="1" applyAlignment="1">
      <alignment horizontal="right"/>
    </xf>
    <xf numFmtId="5" fontId="7" fillId="0" borderId="0" xfId="0" applyNumberFormat="1" applyFont="1"/>
    <xf numFmtId="166" fontId="18" fillId="0" borderId="0" xfId="0" applyNumberFormat="1" applyFont="1"/>
    <xf numFmtId="166" fontId="7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166" fontId="20" fillId="0" borderId="0" xfId="0" applyNumberFormat="1" applyFont="1"/>
    <xf numFmtId="166" fontId="7" fillId="0" borderId="0" xfId="0" applyNumberFormat="1" applyFont="1" applyBorder="1" applyAlignment="1">
      <alignment horizontal="right"/>
    </xf>
    <xf numFmtId="166" fontId="19" fillId="0" borderId="0" xfId="0" applyNumberFormat="1" applyFont="1" applyBorder="1" applyAlignment="1">
      <alignment horizontal="right"/>
    </xf>
    <xf numFmtId="166" fontId="18" fillId="0" borderId="0" xfId="0" applyNumberFormat="1" applyFont="1" applyAlignment="1">
      <alignment horizontal="right"/>
    </xf>
    <xf numFmtId="166" fontId="38" fillId="0" borderId="0" xfId="9" applyNumberFormat="1" applyFont="1" applyFill="1" applyAlignment="1">
      <alignment horizontal="right"/>
    </xf>
    <xf numFmtId="166" fontId="38" fillId="0" borderId="0" xfId="0" applyNumberFormat="1" applyFont="1"/>
    <xf numFmtId="166" fontId="43" fillId="0" borderId="0" xfId="9" applyNumberFormat="1" applyFont="1" applyFill="1" applyAlignment="1">
      <alignment horizontal="right"/>
    </xf>
    <xf numFmtId="166" fontId="17" fillId="0" borderId="0" xfId="4" applyNumberFormat="1" applyFont="1" applyFill="1" applyAlignment="1">
      <alignment horizontal="center"/>
    </xf>
    <xf numFmtId="9" fontId="18" fillId="0" borderId="0" xfId="4" applyNumberFormat="1" applyFont="1" applyFill="1" applyBorder="1" applyAlignment="1">
      <alignment horizontal="right"/>
    </xf>
    <xf numFmtId="9" fontId="18" fillId="0" borderId="0" xfId="0" applyNumberFormat="1" applyFont="1" applyFill="1" applyBorder="1" applyAlignment="1">
      <alignment vertical="center"/>
    </xf>
    <xf numFmtId="168" fontId="18" fillId="0" borderId="5" xfId="1" applyNumberFormat="1" applyFont="1" applyFill="1" applyBorder="1" applyAlignment="1">
      <alignment vertical="center"/>
    </xf>
    <xf numFmtId="168" fontId="18" fillId="0" borderId="1" xfId="1" applyNumberFormat="1" applyFont="1" applyFill="1" applyBorder="1" applyAlignment="1"/>
    <xf numFmtId="168" fontId="18" fillId="0" borderId="6" xfId="1" applyNumberFormat="1" applyFont="1" applyFill="1" applyBorder="1" applyAlignment="1">
      <alignment vertical="center"/>
    </xf>
    <xf numFmtId="168" fontId="18" fillId="0" borderId="0" xfId="1" applyNumberFormat="1" applyFont="1" applyFill="1" applyBorder="1" applyAlignment="1"/>
    <xf numFmtId="168" fontId="18" fillId="0" borderId="0" xfId="1" applyNumberFormat="1" applyFont="1" applyFill="1" applyAlignment="1"/>
    <xf numFmtId="168" fontId="5" fillId="0" borderId="6" xfId="1" applyNumberFormat="1" applyFont="1" applyFill="1" applyBorder="1" applyAlignment="1"/>
    <xf numFmtId="168" fontId="5" fillId="0" borderId="0" xfId="1" applyNumberFormat="1" applyFont="1" applyFill="1" applyAlignment="1"/>
    <xf numFmtId="165" fontId="5" fillId="0" borderId="6" xfId="1" applyNumberFormat="1" applyFont="1" applyFill="1" applyBorder="1" applyAlignment="1"/>
    <xf numFmtId="165" fontId="5" fillId="0" borderId="0" xfId="1" applyNumberFormat="1" applyFont="1" applyFill="1" applyAlignment="1"/>
    <xf numFmtId="0" fontId="33" fillId="6" borderId="0" xfId="1" applyNumberFormat="1" applyFont="1" applyFill="1" applyAlignment="1">
      <alignment vertical="center"/>
    </xf>
    <xf numFmtId="0" fontId="5" fillId="0" borderId="5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9" fontId="12" fillId="0" borderId="0" xfId="0" applyNumberFormat="1" applyFont="1"/>
    <xf numFmtId="0" fontId="5" fillId="0" borderId="0" xfId="0" applyNumberFormat="1" applyFont="1"/>
    <xf numFmtId="176" fontId="5" fillId="0" borderId="0" xfId="9" applyNumberFormat="1" applyFont="1" applyBorder="1" applyAlignment="1">
      <alignment horizontal="right"/>
    </xf>
    <xf numFmtId="0" fontId="28" fillId="0" borderId="0" xfId="0" applyFont="1" applyFill="1"/>
    <xf numFmtId="0" fontId="37" fillId="0" borderId="0" xfId="2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0" fontId="10" fillId="2" borderId="0" xfId="2" applyFont="1" applyFill="1"/>
    <xf numFmtId="168" fontId="20" fillId="0" borderId="7" xfId="0" applyNumberFormat="1" applyFont="1" applyBorder="1" applyAlignment="1">
      <alignment horizontal="right"/>
    </xf>
    <xf numFmtId="166" fontId="20" fillId="0" borderId="7" xfId="0" applyNumberFormat="1" applyFont="1" applyBorder="1" applyAlignment="1">
      <alignment horizontal="right"/>
    </xf>
    <xf numFmtId="168" fontId="18" fillId="0" borderId="0" xfId="0" applyNumberFormat="1" applyFont="1" applyFill="1" applyBorder="1" applyAlignment="1">
      <alignment horizontal="right"/>
    </xf>
    <xf numFmtId="0" fontId="20" fillId="0" borderId="2" xfId="0" applyFont="1" applyBorder="1" applyAlignment="1">
      <alignment horizontal="right"/>
    </xf>
    <xf numFmtId="168" fontId="20" fillId="0" borderId="0" xfId="1" applyNumberFormat="1" applyFont="1"/>
    <xf numFmtId="166" fontId="19" fillId="0" borderId="1" xfId="0" applyNumberFormat="1" applyFont="1" applyFill="1" applyBorder="1" applyAlignment="1">
      <alignment horizontal="right"/>
    </xf>
    <xf numFmtId="0" fontId="19" fillId="0" borderId="0" xfId="0" applyFont="1" applyFill="1"/>
    <xf numFmtId="166" fontId="19" fillId="0" borderId="0" xfId="0" applyNumberFormat="1" applyFont="1" applyFill="1" applyAlignment="1">
      <alignment horizontal="right"/>
    </xf>
    <xf numFmtId="166" fontId="19" fillId="0" borderId="1" xfId="0" applyNumberFormat="1" applyFont="1" applyFill="1" applyBorder="1"/>
    <xf numFmtId="176" fontId="7" fillId="0" borderId="0" xfId="9" applyNumberFormat="1" applyFont="1" applyBorder="1" applyAlignment="1">
      <alignment horizontal="right"/>
    </xf>
    <xf numFmtId="176" fontId="7" fillId="0" borderId="1" xfId="9" applyNumberFormat="1" applyFont="1" applyBorder="1" applyAlignment="1">
      <alignment horizontal="right"/>
    </xf>
    <xf numFmtId="173" fontId="7" fillId="0" borderId="0" xfId="0" applyNumberFormat="1" applyFont="1" applyBorder="1" applyAlignment="1">
      <alignment horizontal="right"/>
    </xf>
    <xf numFmtId="166" fontId="5" fillId="0" borderId="0" xfId="0" applyNumberFormat="1" applyFont="1" applyBorder="1"/>
    <xf numFmtId="0" fontId="12" fillId="0" borderId="0" xfId="0" applyFont="1"/>
    <xf numFmtId="166" fontId="33" fillId="0" borderId="0" xfId="0" applyNumberFormat="1" applyFont="1" applyBorder="1"/>
    <xf numFmtId="166" fontId="33" fillId="0" borderId="2" xfId="0" applyNumberFormat="1" applyFont="1" applyBorder="1"/>
    <xf numFmtId="0" fontId="7" fillId="7" borderId="0" xfId="0" applyFont="1" applyFill="1"/>
    <xf numFmtId="172" fontId="7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right"/>
    </xf>
    <xf numFmtId="9" fontId="7" fillId="7" borderId="0" xfId="1" applyFont="1" applyFill="1" applyAlignment="1">
      <alignment horizontal="right"/>
    </xf>
    <xf numFmtId="16" fontId="18" fillId="0" borderId="0" xfId="0" applyNumberFormat="1" applyFont="1"/>
    <xf numFmtId="2" fontId="5" fillId="0" borderId="0" xfId="0" applyNumberFormat="1" applyFont="1" applyAlignment="1">
      <alignment horizontal="right"/>
    </xf>
    <xf numFmtId="9" fontId="18" fillId="0" borderId="0" xfId="0" applyNumberFormat="1" applyFont="1" applyFill="1" applyAlignment="1">
      <alignment horizontal="right" vertical="center"/>
    </xf>
    <xf numFmtId="9" fontId="18" fillId="0" borderId="0" xfId="0" applyNumberFormat="1" applyFont="1" applyAlignment="1">
      <alignment horizontal="right" vertical="center"/>
    </xf>
    <xf numFmtId="168" fontId="18" fillId="0" borderId="0" xfId="1" applyNumberFormat="1" applyFont="1" applyFill="1" applyAlignment="1">
      <alignment horizontal="right" vertical="center"/>
    </xf>
    <xf numFmtId="165" fontId="18" fillId="0" borderId="0" xfId="0" applyNumberFormat="1" applyFont="1" applyFill="1" applyAlignment="1">
      <alignment horizontal="right" vertical="center"/>
    </xf>
    <xf numFmtId="165" fontId="18" fillId="0" borderId="0" xfId="0" applyNumberFormat="1" applyFont="1" applyAlignment="1">
      <alignment horizontal="right" vertical="center"/>
    </xf>
    <xf numFmtId="166" fontId="20" fillId="0" borderId="0" xfId="0" applyNumberFormat="1" applyFont="1" applyAlignment="1">
      <alignment horizontal="right"/>
    </xf>
    <xf numFmtId="166" fontId="17" fillId="0" borderId="0" xfId="4" applyNumberFormat="1" applyFont="1" applyAlignment="1">
      <alignment horizontal="center"/>
    </xf>
    <xf numFmtId="0" fontId="20" fillId="8" borderId="0" xfId="0" applyFont="1" applyFill="1" applyAlignment="1">
      <alignment horizontal="right"/>
    </xf>
    <xf numFmtId="169" fontId="20" fillId="8" borderId="0" xfId="0" applyNumberFormat="1" applyFont="1" applyFill="1" applyAlignment="1">
      <alignment horizontal="right"/>
    </xf>
    <xf numFmtId="14" fontId="20" fillId="8" borderId="0" xfId="0" applyNumberFormat="1" applyFont="1" applyFill="1" applyAlignment="1">
      <alignment horizontal="right"/>
    </xf>
    <xf numFmtId="0" fontId="5" fillId="8" borderId="0" xfId="0" applyFont="1" applyFill="1"/>
    <xf numFmtId="166" fontId="20" fillId="8" borderId="0" xfId="0" applyNumberFormat="1" applyFont="1" applyFill="1" applyBorder="1" applyAlignment="1">
      <alignment horizontal="right"/>
    </xf>
    <xf numFmtId="3" fontId="20" fillId="8" borderId="0" xfId="0" applyNumberFormat="1" applyFont="1" applyFill="1" applyAlignment="1">
      <alignment horizontal="right"/>
    </xf>
    <xf numFmtId="166" fontId="20" fillId="8" borderId="0" xfId="0" applyNumberFormat="1" applyFont="1" applyFill="1" applyAlignment="1">
      <alignment horizontal="right"/>
    </xf>
    <xf numFmtId="168" fontId="20" fillId="8" borderId="0" xfId="0" applyNumberFormat="1" applyFont="1" applyFill="1" applyAlignment="1">
      <alignment horizontal="right"/>
    </xf>
    <xf numFmtId="171" fontId="20" fillId="8" borderId="0" xfId="0" applyNumberFormat="1" applyFont="1" applyFill="1"/>
    <xf numFmtId="0" fontId="20" fillId="8" borderId="0" xfId="0" applyFont="1" applyFill="1"/>
    <xf numFmtId="173" fontId="20" fillId="8" borderId="0" xfId="0" applyNumberFormat="1" applyFont="1" applyFill="1" applyAlignment="1">
      <alignment horizontal="right"/>
    </xf>
    <xf numFmtId="7" fontId="20" fillId="8" borderId="0" xfId="0" applyNumberFormat="1" applyFont="1" applyFill="1" applyAlignment="1">
      <alignment horizontal="right"/>
    </xf>
    <xf numFmtId="0" fontId="20" fillId="8" borderId="2" xfId="0" applyFont="1" applyFill="1" applyBorder="1"/>
    <xf numFmtId="173" fontId="20" fillId="8" borderId="0" xfId="0" applyNumberFormat="1" applyFont="1" applyFill="1" applyBorder="1" applyAlignment="1">
      <alignment horizontal="right"/>
    </xf>
    <xf numFmtId="7" fontId="20" fillId="8" borderId="2" xfId="0" applyNumberFormat="1" applyFont="1" applyFill="1" applyBorder="1" applyAlignment="1">
      <alignment horizontal="right"/>
    </xf>
    <xf numFmtId="0" fontId="5" fillId="8" borderId="0" xfId="0" applyFont="1" applyFill="1" applyAlignment="1">
      <alignment horizontal="right"/>
    </xf>
    <xf numFmtId="0" fontId="20" fillId="8" borderId="0" xfId="0" applyFont="1" applyFill="1" applyBorder="1"/>
    <xf numFmtId="0" fontId="5" fillId="8" borderId="0" xfId="0" applyFont="1" applyFill="1" applyBorder="1"/>
    <xf numFmtId="0" fontId="5" fillId="8" borderId="0" xfId="0" applyFont="1" applyFill="1" applyBorder="1" applyAlignment="1">
      <alignment horizontal="right"/>
    </xf>
    <xf numFmtId="0" fontId="5" fillId="8" borderId="2" xfId="0" applyFont="1" applyFill="1" applyBorder="1"/>
    <xf numFmtId="0" fontId="5" fillId="8" borderId="2" xfId="0" applyFont="1" applyFill="1" applyBorder="1" applyAlignment="1">
      <alignment horizontal="right"/>
    </xf>
    <xf numFmtId="173" fontId="20" fillId="8" borderId="2" xfId="0" applyNumberFormat="1" applyFont="1" applyFill="1" applyBorder="1" applyAlignment="1">
      <alignment horizontal="right"/>
    </xf>
    <xf numFmtId="5" fontId="20" fillId="8" borderId="0" xfId="0" applyNumberFormat="1" applyFont="1" applyFill="1" applyAlignment="1">
      <alignment horizontal="right"/>
    </xf>
    <xf numFmtId="5" fontId="20" fillId="8" borderId="2" xfId="0" applyNumberFormat="1" applyFont="1" applyFill="1" applyBorder="1" applyAlignment="1">
      <alignment horizontal="right"/>
    </xf>
    <xf numFmtId="0" fontId="36" fillId="0" borderId="0" xfId="0" applyFont="1" applyAlignment="1">
      <alignment horizontal="center"/>
    </xf>
    <xf numFmtId="3" fontId="18" fillId="0" borderId="0" xfId="0" applyNumberFormat="1" applyFont="1" applyAlignment="1">
      <alignment horizontal="right"/>
    </xf>
  </cellXfs>
  <cellStyles count="10">
    <cellStyle name="=C:\WINNT\SYSTEM32\COMMAND.COM 2" xfId="6" xr:uid="{17513744-6964-4139-9C1D-FFBE53C9FC48}"/>
    <cellStyle name="Comma" xfId="9" builtinId="3"/>
    <cellStyle name="Comma 3" xfId="8" xr:uid="{D51DCFBC-7D45-4DA9-B0D5-6C723D94302F}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  <color rgb="FFD9E5F7"/>
      <color rgb="FFAFC8EE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Sensitivities!$C$57:$I$57</c:f>
              <c:numCache>
                <c:formatCode>General</c:formatCode>
                <c:ptCount val="7"/>
              </c:numCache>
            </c:numRef>
          </c:cat>
          <c:val>
            <c:numRef>
              <c:f>Sensitivities!$C$58:$I$58</c:f>
              <c:numCache>
                <c:formatCode>0.0%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398-4F2E-9127-45BFAED1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84286112"/>
        <c:axId val="485685760"/>
      </c:barChart>
      <c:catAx>
        <c:axId val="4842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5685760"/>
        <c:crosses val="autoZero"/>
        <c:auto val="1"/>
        <c:lblAlgn val="ctr"/>
        <c:lblOffset val="100"/>
        <c:noMultiLvlLbl val="0"/>
      </c:catAx>
      <c:valAx>
        <c:axId val="4856857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4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Sensitivities!$L$57:$R$57</c:f>
              <c:numCache>
                <c:formatCode>General</c:formatCode>
                <c:ptCount val="7"/>
              </c:numCache>
            </c:numRef>
          </c:cat>
          <c:val>
            <c:numRef>
              <c:f>Sensitivities!$L$58:$R$58</c:f>
              <c:numCache>
                <c:formatCode>0.0%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6B7C-4015-A354-AC5B2EF1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84286112"/>
        <c:axId val="485685760"/>
      </c:barChart>
      <c:catAx>
        <c:axId val="4842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5685760"/>
        <c:crosses val="autoZero"/>
        <c:auto val="1"/>
        <c:lblAlgn val="ctr"/>
        <c:lblOffset val="100"/>
        <c:noMultiLvlLbl val="0"/>
      </c:catAx>
      <c:valAx>
        <c:axId val="4856857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4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Sensitivities!$C$82:$I$82</c:f>
              <c:numCache>
                <c:formatCode>General</c:formatCode>
                <c:ptCount val="7"/>
              </c:numCache>
            </c:numRef>
          </c:cat>
          <c:val>
            <c:numRef>
              <c:f>Sensitivities!$C$83:$I$83</c:f>
              <c:numCache>
                <c:formatCode>0.0%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0BD-4B45-B224-2BE4C56B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84286112"/>
        <c:axId val="485685760"/>
      </c:barChart>
      <c:catAx>
        <c:axId val="4842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5685760"/>
        <c:crosses val="autoZero"/>
        <c:auto val="1"/>
        <c:lblAlgn val="ctr"/>
        <c:lblOffset val="100"/>
        <c:noMultiLvlLbl val="0"/>
      </c:catAx>
      <c:valAx>
        <c:axId val="4856857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4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Sensitivities!$L$82:$R$82</c:f>
              <c:numCache>
                <c:formatCode>General</c:formatCode>
                <c:ptCount val="7"/>
              </c:numCache>
            </c:numRef>
          </c:cat>
          <c:val>
            <c:numRef>
              <c:f>Sensitivities!$L$83:$R$83</c:f>
              <c:numCache>
                <c:formatCode>0.0%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1EF-4DDA-B75E-5EE3E7A4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84286112"/>
        <c:axId val="485685760"/>
      </c:barChart>
      <c:catAx>
        <c:axId val="4842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5685760"/>
        <c:crosses val="autoZero"/>
        <c:auto val="1"/>
        <c:lblAlgn val="ctr"/>
        <c:lblOffset val="100"/>
        <c:noMultiLvlLbl val="0"/>
      </c:catAx>
      <c:valAx>
        <c:axId val="48568576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84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59</xdr:row>
      <xdr:rowOff>28575</xdr:rowOff>
    </xdr:from>
    <xdr:to>
      <xdr:col>8</xdr:col>
      <xdr:colOff>676276</xdr:colOff>
      <xdr:row>72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6B10A-7730-4680-8BCC-E3198AF2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59</xdr:row>
      <xdr:rowOff>28575</xdr:rowOff>
    </xdr:from>
    <xdr:to>
      <xdr:col>17</xdr:col>
      <xdr:colOff>676276</xdr:colOff>
      <xdr:row>72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114C4-3FBA-4644-B27B-2041941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84</xdr:row>
      <xdr:rowOff>28575</xdr:rowOff>
    </xdr:from>
    <xdr:to>
      <xdr:col>8</xdr:col>
      <xdr:colOff>676276</xdr:colOff>
      <xdr:row>97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3F3DD-6D36-49C4-B63C-5D02C4FA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84</xdr:row>
      <xdr:rowOff>28575</xdr:rowOff>
    </xdr:from>
    <xdr:to>
      <xdr:col>17</xdr:col>
      <xdr:colOff>676276</xdr:colOff>
      <xdr:row>97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9AE23-F3D1-433C-8F3F-6DED4EEE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6</xdr:col>
      <xdr:colOff>932550</xdr:colOff>
      <xdr:row>98</xdr:row>
      <xdr:rowOff>56928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795F6F-DA5B-44E7-9690-E95CFE0C3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6205200"/>
          <a:ext cx="7200000" cy="201272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118</xdr:row>
      <xdr:rowOff>152400</xdr:rowOff>
    </xdr:from>
    <xdr:to>
      <xdr:col>6</xdr:col>
      <xdr:colOff>1008750</xdr:colOff>
      <xdr:row>126</xdr:row>
      <xdr:rowOff>54580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C6CA3E-FA1C-4E79-BC5C-4F7F80731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1336000"/>
          <a:ext cx="7200000" cy="132458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98</xdr:row>
      <xdr:rowOff>44450</xdr:rowOff>
    </xdr:from>
    <xdr:to>
      <xdr:col>6</xdr:col>
      <xdr:colOff>938900</xdr:colOff>
      <xdr:row>118</xdr:row>
      <xdr:rowOff>22596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9BEC5E-E513-4895-9DE3-770A57B53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400" y="17672050"/>
          <a:ext cx="7200000" cy="3534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258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30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285" customFormat="1" ht="19.5" customHeight="1" x14ac:dyDescent="0.35">
      <c r="B15" s="7"/>
      <c r="C15" s="34" t="s">
        <v>195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2:13" s="285" customFormat="1" ht="19.5" customHeight="1" x14ac:dyDescent="0.35">
      <c r="B16" s="7"/>
      <c r="C16" s="34" t="s">
        <v>107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s="285" customFormat="1" ht="19.5" customHeight="1" x14ac:dyDescent="0.35">
      <c r="B17" s="7"/>
      <c r="C17" s="34" t="s">
        <v>144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s="285" customFormat="1" ht="19.5" customHeight="1" x14ac:dyDescent="0.35">
      <c r="B18" s="7"/>
      <c r="C18" s="34" t="s">
        <v>109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2:13" s="285" customFormat="1" ht="19.5" customHeight="1" x14ac:dyDescent="0.35">
      <c r="B19" s="7"/>
      <c r="C19" s="34" t="s">
        <v>185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2:13" s="285" customFormat="1" ht="17.149999999999999" customHeight="1" x14ac:dyDescent="0.35">
      <c r="B20" s="7"/>
      <c r="C20" s="143" t="s">
        <v>145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2:13" s="285" customFormat="1" ht="17.25" customHeight="1" x14ac:dyDescent="0.35"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2:13" s="285" customFormat="1" ht="17.25" customHeight="1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8" t="s">
        <v>2</v>
      </c>
      <c r="D24" s="8"/>
      <c r="E24" s="8"/>
      <c r="F24" s="8"/>
      <c r="G24" s="8"/>
      <c r="H24" s="8"/>
      <c r="I24" s="8"/>
      <c r="J24" s="8"/>
      <c r="K24" s="8"/>
      <c r="L24" s="8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9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9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0" t="s">
        <v>5</v>
      </c>
      <c r="D28" s="10"/>
      <c r="E28" s="11"/>
      <c r="F28" s="11"/>
      <c r="G28" s="11"/>
      <c r="H28" s="11"/>
      <c r="I28" s="11"/>
      <c r="J28" s="11"/>
      <c r="K28" s="11"/>
      <c r="L28" s="11"/>
      <c r="M28" s="2"/>
    </row>
    <row r="29" spans="2:13" ht="19.5" customHeight="1" x14ac:dyDescent="0.3">
      <c r="B29" s="12"/>
      <c r="C29" s="10" t="s">
        <v>6</v>
      </c>
      <c r="D29" s="10"/>
      <c r="E29" s="10"/>
      <c r="F29" s="10"/>
      <c r="G29" s="10"/>
      <c r="H29" s="10"/>
      <c r="I29" s="10"/>
      <c r="J29" s="10"/>
      <c r="K29" s="10"/>
      <c r="L29" s="10"/>
      <c r="M29" s="12"/>
    </row>
    <row r="30" spans="2:13" ht="19.5" customHeight="1" x14ac:dyDescent="0.3">
      <c r="B30" s="12"/>
      <c r="C30" s="10" t="s">
        <v>7</v>
      </c>
      <c r="D30" s="10"/>
      <c r="E30" s="10"/>
      <c r="F30" s="10"/>
      <c r="G30" s="10"/>
      <c r="H30" s="10"/>
      <c r="I30" s="10"/>
      <c r="J30" s="10"/>
      <c r="K30" s="10"/>
      <c r="L30" s="10"/>
      <c r="M30" s="12"/>
    </row>
    <row r="31" spans="2:13" ht="19.5" customHeight="1" x14ac:dyDescent="0.3">
      <c r="B31" s="12"/>
      <c r="C31" s="10" t="s">
        <v>8</v>
      </c>
      <c r="D31" s="10"/>
      <c r="E31" s="10"/>
      <c r="F31" s="10"/>
      <c r="G31" s="10"/>
      <c r="H31" s="10"/>
      <c r="I31" s="10"/>
      <c r="J31" s="10"/>
      <c r="K31" s="10"/>
      <c r="L31" s="10"/>
      <c r="M31" s="12"/>
    </row>
    <row r="32" spans="2:13" ht="19.5" customHeight="1" x14ac:dyDescent="0.3"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2"/>
    </row>
    <row r="33" spans="2:13" ht="19.5" customHeight="1" x14ac:dyDescent="0.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'Control Panel'!A1" display="Control Panel" xr:uid="{3D950BCB-2197-4694-9ADF-9880D731B473}"/>
    <hyperlink ref="C16" location="Outputs!A1" display="Outputs" xr:uid="{FCB3F611-D00F-40FF-8D35-68E4EA0F6B67}"/>
    <hyperlink ref="C17" location="Sensitivities!A1" display="Sensitivities" xr:uid="{F1905D38-C51D-43B0-A433-06DE71638432}"/>
    <hyperlink ref="C18" location="Model!A1" display="Model" xr:uid="{93BD5298-604F-4962-B93B-5D566E528B21}"/>
    <hyperlink ref="C19" location="'Comps Data'!A1" display="Comps Data" xr:uid="{A842B583-80E2-4745-B0CA-9EB9AB38F02D}"/>
    <hyperlink ref="C20" location="'Diluted Shares Calculation'!A1" display="Diluted Shares Calculation" xr:uid="{E45E6C6A-1B26-48CC-9675-F98C71A8ACAC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22D5-68CF-4C12-BFD5-291F52213736}">
  <dimension ref="A1:O32"/>
  <sheetViews>
    <sheetView showGridLines="0" zoomScaleNormal="100" workbookViewId="0">
      <pane ySplit="3" topLeftCell="A17" activePane="bottomLeft" state="frozen"/>
      <selection activeCell="L66" sqref="L66"/>
      <selection pane="bottomLeft" activeCell="H32" sqref="H32"/>
    </sheetView>
  </sheetViews>
  <sheetFormatPr defaultColWidth="12.7265625" defaultRowHeight="14" x14ac:dyDescent="0.3"/>
  <cols>
    <col min="1" max="1" width="5.7265625" style="18" customWidth="1"/>
    <col min="2" max="12" width="12.7265625" style="18"/>
    <col min="13" max="13" width="2.7265625" style="18" customWidth="1"/>
    <col min="14" max="14" width="20.7265625" style="18" customWidth="1"/>
    <col min="15" max="16384" width="12.7265625" style="18"/>
  </cols>
  <sheetData>
    <row r="1" spans="1:15" s="14" customFormat="1" ht="15.5" x14ac:dyDescent="0.35">
      <c r="A1" s="21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s="2" customFormat="1" ht="18" x14ac:dyDescent="0.3">
      <c r="A2" s="15" t="s">
        <v>192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s="14" customFormat="1" ht="15.5" x14ac:dyDescent="0.35">
      <c r="A3" s="22" t="s">
        <v>83</v>
      </c>
      <c r="B3" s="17"/>
      <c r="C3" s="17"/>
      <c r="D3" s="17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5" x14ac:dyDescent="0.3">
      <c r="A5" s="41"/>
      <c r="B5" s="81"/>
      <c r="C5" s="81"/>
      <c r="D5" s="81"/>
      <c r="E5" s="69"/>
      <c r="F5" s="69"/>
      <c r="G5" s="69"/>
      <c r="H5" s="69"/>
      <c r="I5" s="65"/>
      <c r="J5" s="65"/>
      <c r="K5" s="61"/>
    </row>
    <row r="6" spans="1:15" ht="15.5" x14ac:dyDescent="0.35">
      <c r="B6" s="90" t="s">
        <v>72</v>
      </c>
      <c r="C6" s="90"/>
      <c r="D6" s="90"/>
      <c r="E6" s="90"/>
      <c r="F6" s="90"/>
      <c r="G6" s="90"/>
      <c r="H6" s="90"/>
      <c r="I6" s="65"/>
      <c r="J6" s="65"/>
      <c r="K6" s="90" t="s">
        <v>204</v>
      </c>
      <c r="L6" s="90"/>
      <c r="M6" s="90"/>
      <c r="N6" s="90"/>
      <c r="O6" s="90"/>
    </row>
    <row r="7" spans="1:15" ht="5.25" customHeight="1" x14ac:dyDescent="0.3">
      <c r="A7" s="41"/>
      <c r="B7" s="71"/>
      <c r="C7" s="72"/>
      <c r="D7" s="73"/>
      <c r="E7" s="68"/>
      <c r="F7" s="83"/>
      <c r="H7" s="80"/>
      <c r="I7" s="65"/>
      <c r="J7" s="65"/>
    </row>
    <row r="8" spans="1:15" ht="13.5" customHeight="1" x14ac:dyDescent="0.3">
      <c r="A8" s="41"/>
      <c r="B8" s="98"/>
      <c r="C8" s="108"/>
      <c r="D8" s="109"/>
      <c r="E8" s="108"/>
      <c r="F8" s="107"/>
      <c r="G8" s="112"/>
      <c r="H8" s="107"/>
      <c r="I8" s="65"/>
      <c r="J8" s="65"/>
      <c r="K8" s="63" t="s">
        <v>62</v>
      </c>
      <c r="L8" s="63"/>
      <c r="N8" s="63" t="s">
        <v>203</v>
      </c>
      <c r="O8" s="63"/>
    </row>
    <row r="9" spans="1:15" ht="17" x14ac:dyDescent="0.3">
      <c r="A9" s="41"/>
      <c r="B9" s="98"/>
      <c r="C9" s="108"/>
      <c r="D9" s="109"/>
      <c r="E9" s="108"/>
      <c r="F9" s="107"/>
      <c r="G9" s="112"/>
      <c r="H9" s="107"/>
      <c r="I9" s="65"/>
      <c r="J9" s="65"/>
      <c r="K9" s="88"/>
      <c r="L9" s="70"/>
      <c r="N9" s="18" t="s">
        <v>74</v>
      </c>
      <c r="O9" s="288"/>
    </row>
    <row r="10" spans="1:15" x14ac:dyDescent="0.3">
      <c r="A10" s="41"/>
      <c r="B10" s="80"/>
      <c r="C10" s="69"/>
      <c r="D10" s="68"/>
      <c r="E10" s="68"/>
      <c r="F10" s="83"/>
      <c r="H10" s="82"/>
      <c r="I10" s="65"/>
      <c r="J10" s="65"/>
      <c r="K10" s="39"/>
      <c r="L10" s="40"/>
      <c r="N10" s="77" t="s">
        <v>59</v>
      </c>
      <c r="O10" s="288"/>
    </row>
    <row r="11" spans="1:15" ht="15.5" x14ac:dyDescent="0.35">
      <c r="B11" s="90" t="s">
        <v>75</v>
      </c>
      <c r="C11" s="90"/>
      <c r="D11" s="90"/>
      <c r="E11" s="90"/>
      <c r="F11" s="90"/>
      <c r="G11" s="90"/>
      <c r="H11" s="90"/>
      <c r="I11" s="65"/>
      <c r="J11" s="65"/>
      <c r="K11" s="39"/>
      <c r="L11" s="40"/>
      <c r="N11" s="18" t="s">
        <v>73</v>
      </c>
      <c r="O11" s="68"/>
    </row>
    <row r="12" spans="1:15" x14ac:dyDescent="0.3">
      <c r="A12" s="41"/>
      <c r="B12" s="74" t="s">
        <v>36</v>
      </c>
      <c r="C12" s="65"/>
      <c r="D12" s="60"/>
      <c r="E12" s="60"/>
      <c r="F12" s="60"/>
      <c r="H12" s="106"/>
      <c r="I12" s="65"/>
      <c r="J12" s="65"/>
      <c r="K12" s="39"/>
      <c r="L12" s="40"/>
    </row>
    <row r="13" spans="1:15" x14ac:dyDescent="0.3">
      <c r="A13" s="41"/>
      <c r="B13" s="18" t="s">
        <v>73</v>
      </c>
      <c r="H13" s="175"/>
      <c r="I13" s="69"/>
      <c r="J13" s="69"/>
      <c r="K13" s="39"/>
      <c r="L13" s="40"/>
    </row>
    <row r="14" spans="1:15" x14ac:dyDescent="0.3">
      <c r="A14" s="41"/>
      <c r="B14" s="74" t="s">
        <v>74</v>
      </c>
      <c r="C14" s="65"/>
      <c r="D14" s="60"/>
      <c r="E14" s="60"/>
      <c r="F14" s="60"/>
      <c r="H14" s="175"/>
      <c r="J14" s="65"/>
      <c r="K14" s="39"/>
      <c r="L14" s="40"/>
    </row>
    <row r="15" spans="1:15" x14ac:dyDescent="0.3">
      <c r="A15" s="41"/>
      <c r="B15" s="74"/>
      <c r="C15" s="65"/>
      <c r="D15" s="60"/>
      <c r="E15" s="60"/>
      <c r="F15" s="60"/>
      <c r="H15" s="60"/>
      <c r="I15" s="65"/>
      <c r="J15" s="65"/>
      <c r="K15" s="39"/>
      <c r="L15" s="40"/>
    </row>
    <row r="16" spans="1:15" x14ac:dyDescent="0.3">
      <c r="A16" s="41"/>
      <c r="B16" s="74"/>
      <c r="C16" s="65"/>
      <c r="D16" s="60"/>
      <c r="E16" s="60"/>
      <c r="F16" s="60"/>
      <c r="H16" s="60"/>
      <c r="I16" s="65"/>
      <c r="J16" s="65"/>
      <c r="K16" s="144"/>
      <c r="L16" s="145"/>
    </row>
    <row r="17" spans="1:11" ht="15.5" x14ac:dyDescent="0.35">
      <c r="B17" s="90" t="s">
        <v>41</v>
      </c>
      <c r="C17" s="90"/>
      <c r="D17" s="90"/>
      <c r="E17" s="90"/>
      <c r="F17" s="90"/>
      <c r="G17" s="90"/>
      <c r="H17" s="90"/>
      <c r="I17" s="65"/>
      <c r="J17" s="65"/>
    </row>
    <row r="18" spans="1:11" x14ac:dyDescent="0.3">
      <c r="A18" s="41"/>
      <c r="B18" s="77" t="s">
        <v>59</v>
      </c>
      <c r="C18" s="60"/>
      <c r="D18" s="60"/>
      <c r="E18" s="60"/>
      <c r="F18" s="65"/>
      <c r="H18" s="105"/>
      <c r="J18" s="65"/>
    </row>
    <row r="19" spans="1:11" x14ac:dyDescent="0.3">
      <c r="A19" s="41"/>
      <c r="B19" s="77" t="s">
        <v>60</v>
      </c>
      <c r="C19" s="60"/>
      <c r="D19" s="60"/>
      <c r="E19" s="60"/>
      <c r="H19" s="110">
        <f>1-H18</f>
        <v>1</v>
      </c>
      <c r="I19" s="181">
        <f>1-O10</f>
        <v>1</v>
      </c>
      <c r="J19" s="65"/>
      <c r="K19" s="61"/>
    </row>
    <row r="20" spans="1:11" x14ac:dyDescent="0.3">
      <c r="A20" s="41"/>
      <c r="B20" s="74"/>
      <c r="C20" s="65"/>
      <c r="D20" s="60"/>
      <c r="E20" s="60"/>
      <c r="I20" s="65"/>
      <c r="J20" s="65"/>
      <c r="K20" s="61"/>
    </row>
    <row r="21" spans="1:11" x14ac:dyDescent="0.3">
      <c r="A21" s="41"/>
      <c r="B21" s="78" t="s">
        <v>43</v>
      </c>
      <c r="C21" s="76"/>
      <c r="D21" s="60"/>
      <c r="E21" s="60"/>
      <c r="H21" s="286"/>
      <c r="I21" s="65"/>
      <c r="J21" s="65"/>
      <c r="K21" s="61"/>
    </row>
    <row r="22" spans="1:11" x14ac:dyDescent="0.3">
      <c r="A22" s="41"/>
      <c r="B22" s="18" t="s">
        <v>81</v>
      </c>
      <c r="H22" s="286"/>
      <c r="I22" s="65"/>
      <c r="J22" s="65"/>
      <c r="K22" s="61"/>
    </row>
    <row r="23" spans="1:11" x14ac:dyDescent="0.3">
      <c r="A23" s="41"/>
      <c r="B23" s="78" t="s">
        <v>42</v>
      </c>
      <c r="C23" s="65"/>
      <c r="D23" s="60"/>
      <c r="E23" s="60"/>
      <c r="H23" s="286"/>
      <c r="I23" s="65"/>
      <c r="J23" s="65"/>
      <c r="K23" s="61"/>
    </row>
    <row r="24" spans="1:11" x14ac:dyDescent="0.3">
      <c r="A24" s="41"/>
      <c r="B24" s="18" t="s">
        <v>76</v>
      </c>
      <c r="C24" s="65"/>
      <c r="D24" s="60"/>
      <c r="E24" s="60"/>
      <c r="H24" s="287"/>
      <c r="I24" s="65"/>
      <c r="J24" s="65"/>
      <c r="K24" s="61"/>
    </row>
    <row r="25" spans="1:11" x14ac:dyDescent="0.3">
      <c r="A25" s="41"/>
      <c r="B25" s="74"/>
      <c r="C25" s="65"/>
      <c r="D25" s="75"/>
      <c r="E25" s="75"/>
      <c r="I25" s="65"/>
      <c r="J25" s="65"/>
      <c r="K25" s="61"/>
    </row>
    <row r="26" spans="1:11" x14ac:dyDescent="0.3">
      <c r="A26" s="41"/>
      <c r="B26" s="65" t="s">
        <v>77</v>
      </c>
      <c r="C26" s="65"/>
      <c r="D26" s="65"/>
      <c r="E26" s="65"/>
      <c r="H26" s="105"/>
      <c r="I26" s="65"/>
      <c r="J26" s="65"/>
      <c r="K26" s="61"/>
    </row>
    <row r="27" spans="1:11" x14ac:dyDescent="0.3">
      <c r="A27" s="41"/>
      <c r="B27" s="65" t="s">
        <v>78</v>
      </c>
      <c r="C27" s="65"/>
      <c r="D27" s="65"/>
      <c r="E27" s="65"/>
      <c r="H27" s="111"/>
      <c r="I27" s="65"/>
      <c r="J27" s="65"/>
      <c r="K27" s="61"/>
    </row>
    <row r="29" spans="1:11" x14ac:dyDescent="0.3">
      <c r="B29" s="18" t="s">
        <v>225</v>
      </c>
      <c r="H29" s="105"/>
    </row>
    <row r="31" spans="1:11" ht="15.5" x14ac:dyDescent="0.35">
      <c r="B31" s="90" t="s">
        <v>79</v>
      </c>
      <c r="C31" s="90"/>
      <c r="D31" s="90"/>
      <c r="E31" s="90"/>
      <c r="F31" s="90"/>
      <c r="G31" s="90"/>
      <c r="H31" s="90"/>
      <c r="I31" s="65"/>
      <c r="J31" s="65"/>
      <c r="K31" s="61"/>
    </row>
    <row r="32" spans="1:11" x14ac:dyDescent="0.3">
      <c r="B32" s="18" t="s">
        <v>80</v>
      </c>
      <c r="H32" s="105"/>
    </row>
  </sheetData>
  <pageMargins left="0.7" right="0.7" top="0.75" bottom="0.75" header="0.3" footer="0.3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6D3D-2652-4F3B-B12F-C102CB99DB80}">
  <dimension ref="A1:O52"/>
  <sheetViews>
    <sheetView showGridLines="0" topLeftCell="G1" workbookViewId="0">
      <pane ySplit="3" topLeftCell="A4" activePane="bottomLeft" state="frozen"/>
      <selection activeCell="L66" sqref="L66"/>
      <selection pane="bottomLeft" activeCell="I4" sqref="I4"/>
    </sheetView>
  </sheetViews>
  <sheetFormatPr defaultColWidth="10.7265625" defaultRowHeight="14" x14ac:dyDescent="0.3"/>
  <cols>
    <col min="1" max="1" width="5.7265625" style="18" customWidth="1"/>
    <col min="2" max="2" width="25.7265625" style="18" customWidth="1"/>
    <col min="3" max="3" width="12.7265625" style="18" customWidth="1"/>
    <col min="4" max="4" width="1.7265625" style="18" customWidth="1"/>
    <col min="5" max="5" width="27.7265625" style="18" customWidth="1"/>
    <col min="6" max="6" width="12.7265625" style="18" customWidth="1"/>
    <col min="7" max="7" width="10.7265625" style="18"/>
    <col min="8" max="8" width="40.7265625" style="18" customWidth="1"/>
    <col min="9" max="9" width="12.7265625" style="18" customWidth="1"/>
    <col min="10" max="10" width="1.7265625" style="18" customWidth="1"/>
    <col min="11" max="11" width="12.7265625" style="18" customWidth="1"/>
    <col min="12" max="12" width="1.7265625" style="18" customWidth="1"/>
    <col min="13" max="13" width="12.7265625" style="18" customWidth="1"/>
    <col min="14" max="14" width="1.7265625" style="18" customWidth="1"/>
    <col min="15" max="15" width="12.7265625" style="18" customWidth="1"/>
    <col min="16" max="16384" width="10.7265625" style="18"/>
  </cols>
  <sheetData>
    <row r="1" spans="1:15" x14ac:dyDescent="0.3">
      <c r="A1" s="21" t="s">
        <v>18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s="2" customFormat="1" ht="18" x14ac:dyDescent="0.3">
      <c r="A2" s="15" t="s">
        <v>193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x14ac:dyDescent="0.3">
      <c r="A3" s="22" t="s">
        <v>83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6" spans="1:15" ht="15.5" x14ac:dyDescent="0.35">
      <c r="B6" s="90" t="s">
        <v>72</v>
      </c>
      <c r="C6" s="90"/>
      <c r="D6" s="90"/>
      <c r="E6" s="90"/>
      <c r="F6" s="90"/>
      <c r="H6" s="90" t="s">
        <v>119</v>
      </c>
      <c r="I6" s="90"/>
      <c r="J6" s="90"/>
      <c r="K6" s="90"/>
      <c r="L6" s="90"/>
      <c r="M6" s="90"/>
      <c r="N6" s="90"/>
      <c r="O6" s="90"/>
    </row>
    <row r="7" spans="1:15" ht="5.25" customHeight="1" x14ac:dyDescent="0.3"/>
    <row r="8" spans="1:15" x14ac:dyDescent="0.3">
      <c r="B8" s="18" t="str">
        <f>+TEXT('Control Panel'!H12,"")&amp;" Price"</f>
        <v xml:space="preserve"> Price</v>
      </c>
      <c r="F8" s="117"/>
      <c r="I8" s="148"/>
      <c r="J8" s="116"/>
      <c r="K8" s="148"/>
      <c r="L8" s="116"/>
      <c r="M8" s="149" t="s">
        <v>87</v>
      </c>
      <c r="N8" s="116"/>
      <c r="O8" s="149" t="s">
        <v>124</v>
      </c>
    </row>
    <row r="9" spans="1:15" x14ac:dyDescent="0.3">
      <c r="B9" s="18" t="str">
        <f>+TEXT('Control Panel'!H13,"")&amp;" Price"</f>
        <v xml:space="preserve"> Price</v>
      </c>
      <c r="F9" s="117"/>
      <c r="H9" s="173" t="s">
        <v>120</v>
      </c>
    </row>
    <row r="10" spans="1:15" x14ac:dyDescent="0.3">
      <c r="B10" s="25" t="s">
        <v>74</v>
      </c>
      <c r="C10" s="25"/>
      <c r="D10" s="25"/>
      <c r="E10" s="25"/>
      <c r="F10" s="151"/>
      <c r="H10" s="41" t="s">
        <v>122</v>
      </c>
      <c r="I10" s="38"/>
      <c r="J10" s="38"/>
      <c r="K10" s="38"/>
      <c r="L10" s="38"/>
      <c r="M10" s="38"/>
      <c r="N10" s="38"/>
      <c r="O10" s="167"/>
    </row>
    <row r="11" spans="1:15" x14ac:dyDescent="0.3">
      <c r="B11" s="19" t="s">
        <v>46</v>
      </c>
      <c r="C11" s="19"/>
      <c r="D11" s="19"/>
      <c r="E11" s="19"/>
      <c r="F11" s="150"/>
      <c r="H11" s="25" t="s">
        <v>121</v>
      </c>
      <c r="I11" s="172"/>
      <c r="J11" s="172"/>
      <c r="K11" s="172"/>
      <c r="L11" s="172"/>
      <c r="M11" s="172"/>
      <c r="N11" s="154"/>
      <c r="O11" s="155"/>
    </row>
    <row r="12" spans="1:15" x14ac:dyDescent="0.3">
      <c r="B12" s="18" t="s">
        <v>111</v>
      </c>
      <c r="F12" s="307"/>
      <c r="H12" s="19" t="s">
        <v>200</v>
      </c>
      <c r="I12" s="216"/>
      <c r="J12" s="216"/>
      <c r="K12" s="216"/>
      <c r="L12" s="216"/>
      <c r="M12" s="216"/>
      <c r="N12" s="30"/>
      <c r="O12" s="156"/>
    </row>
    <row r="13" spans="1:15" x14ac:dyDescent="0.3">
      <c r="H13" s="25" t="s">
        <v>9</v>
      </c>
      <c r="I13" s="217"/>
      <c r="J13" s="217"/>
      <c r="K13" s="217"/>
      <c r="L13" s="217"/>
      <c r="M13" s="217"/>
      <c r="N13" s="157"/>
      <c r="O13" s="155"/>
    </row>
    <row r="14" spans="1:15" x14ac:dyDescent="0.3">
      <c r="B14" s="18" t="str">
        <f>+TEXT('Control Panel'!H13,"")&amp;" Fully Diluted Shares Outstanding (MM)"</f>
        <v xml:space="preserve"> Fully Diluted Shares Outstanding (MM)</v>
      </c>
      <c r="F14" s="169"/>
      <c r="H14" s="19" t="s">
        <v>49</v>
      </c>
      <c r="I14" s="216"/>
      <c r="J14" s="216"/>
      <c r="K14" s="216"/>
      <c r="L14" s="216"/>
      <c r="M14" s="216"/>
      <c r="N14" s="30"/>
      <c r="O14" s="158"/>
    </row>
    <row r="15" spans="1:15" x14ac:dyDescent="0.3">
      <c r="B15" s="18" t="s">
        <v>112</v>
      </c>
      <c r="F15" s="212"/>
      <c r="I15" s="218"/>
      <c r="J15" s="218"/>
      <c r="K15" s="218"/>
      <c r="L15" s="218"/>
      <c r="M15" s="218"/>
      <c r="N15" s="28"/>
      <c r="O15" s="28"/>
    </row>
    <row r="16" spans="1:15" x14ac:dyDescent="0.3">
      <c r="B16" s="25" t="s">
        <v>113</v>
      </c>
      <c r="C16" s="25"/>
      <c r="D16" s="25"/>
      <c r="E16" s="25"/>
      <c r="F16" s="213"/>
      <c r="H16" s="173" t="s">
        <v>123</v>
      </c>
      <c r="I16" s="218"/>
      <c r="J16" s="218"/>
      <c r="K16" s="218"/>
      <c r="L16" s="218"/>
      <c r="M16" s="218"/>
      <c r="N16" s="28"/>
      <c r="O16" s="28"/>
    </row>
    <row r="17" spans="2:15" x14ac:dyDescent="0.3">
      <c r="B17" s="19" t="s">
        <v>114</v>
      </c>
      <c r="C17" s="19"/>
      <c r="D17" s="19"/>
      <c r="E17" s="19"/>
      <c r="F17" s="214"/>
      <c r="H17" s="18" t="s">
        <v>125</v>
      </c>
      <c r="I17" s="218"/>
      <c r="J17" s="218"/>
      <c r="K17" s="218"/>
      <c r="L17" s="218"/>
      <c r="M17" s="218"/>
      <c r="N17" s="28"/>
      <c r="O17" s="153"/>
    </row>
    <row r="18" spans="2:15" x14ac:dyDescent="0.3">
      <c r="H18" s="18" t="s">
        <v>126</v>
      </c>
      <c r="I18" s="218"/>
      <c r="J18" s="218"/>
      <c r="K18" s="218"/>
      <c r="L18" s="218"/>
      <c r="M18" s="218"/>
      <c r="N18" s="28"/>
      <c r="O18" s="153"/>
    </row>
    <row r="19" spans="2:15" x14ac:dyDescent="0.3">
      <c r="B19" s="19" t="s">
        <v>115</v>
      </c>
      <c r="I19" s="218"/>
      <c r="J19" s="218"/>
      <c r="K19" s="218"/>
      <c r="L19" s="218"/>
      <c r="M19" s="218"/>
      <c r="N19" s="28"/>
      <c r="O19" s="153"/>
    </row>
    <row r="20" spans="2:15" x14ac:dyDescent="0.3">
      <c r="B20" s="146" t="s">
        <v>116</v>
      </c>
      <c r="F20" s="152"/>
      <c r="H20" s="18" t="s">
        <v>127</v>
      </c>
      <c r="I20" s="218"/>
      <c r="J20" s="218"/>
      <c r="K20" s="218"/>
      <c r="L20" s="218"/>
      <c r="M20" s="218"/>
      <c r="N20" s="28"/>
      <c r="O20" s="153"/>
    </row>
    <row r="21" spans="2:15" x14ac:dyDescent="0.3">
      <c r="B21" s="146" t="s">
        <v>117</v>
      </c>
      <c r="F21" s="152"/>
      <c r="H21" s="18" t="s">
        <v>128</v>
      </c>
      <c r="I21" s="218"/>
      <c r="J21" s="218"/>
      <c r="K21" s="218"/>
      <c r="L21" s="218"/>
      <c r="M21" s="218"/>
      <c r="N21" s="28"/>
      <c r="O21" s="153"/>
    </row>
    <row r="22" spans="2:15" x14ac:dyDescent="0.3">
      <c r="I22" s="218"/>
      <c r="J22" s="218"/>
      <c r="K22" s="218"/>
      <c r="L22" s="218"/>
      <c r="M22" s="218"/>
      <c r="N22" s="28"/>
      <c r="O22" s="153"/>
    </row>
    <row r="23" spans="2:15" ht="17" x14ac:dyDescent="0.3">
      <c r="H23" s="302" t="s">
        <v>187</v>
      </c>
      <c r="I23" s="303"/>
      <c r="J23" s="303"/>
      <c r="K23" s="303"/>
      <c r="L23" s="303"/>
      <c r="M23" s="303"/>
      <c r="N23" s="304"/>
      <c r="O23" s="305"/>
    </row>
    <row r="24" spans="2:15" ht="15.5" x14ac:dyDescent="0.35">
      <c r="B24" s="90" t="s">
        <v>118</v>
      </c>
      <c r="C24" s="90"/>
      <c r="D24" s="90"/>
      <c r="E24" s="90"/>
      <c r="F24" s="90"/>
      <c r="H24" s="302" t="s">
        <v>129</v>
      </c>
      <c r="I24" s="303"/>
      <c r="J24" s="303"/>
      <c r="K24" s="303"/>
      <c r="L24" s="303"/>
      <c r="M24" s="303"/>
      <c r="N24" s="304"/>
      <c r="O24" s="305"/>
    </row>
    <row r="25" spans="2:15" ht="5.25" customHeight="1" x14ac:dyDescent="0.3">
      <c r="I25" s="219"/>
      <c r="J25" s="219"/>
      <c r="K25" s="219"/>
      <c r="L25" s="219"/>
      <c r="M25" s="219"/>
      <c r="N25" s="28"/>
      <c r="O25" s="153"/>
    </row>
    <row r="26" spans="2:15" x14ac:dyDescent="0.3">
      <c r="B26" s="147" t="s">
        <v>50</v>
      </c>
      <c r="C26" s="147"/>
      <c r="E26" s="147" t="s">
        <v>53</v>
      </c>
      <c r="F26" s="147"/>
      <c r="I26" s="219"/>
      <c r="J26" s="219"/>
      <c r="K26" s="219"/>
      <c r="L26" s="219"/>
      <c r="M26" s="219"/>
      <c r="N26" s="28"/>
      <c r="O26" s="28"/>
    </row>
    <row r="27" spans="2:15" ht="17" x14ac:dyDescent="0.3">
      <c r="B27" s="18" t="s">
        <v>149</v>
      </c>
      <c r="C27" s="212"/>
      <c r="E27" s="18" t="s">
        <v>56</v>
      </c>
      <c r="F27" s="212"/>
      <c r="H27" s="302" t="s">
        <v>188</v>
      </c>
      <c r="I27" s="303"/>
      <c r="J27" s="303"/>
      <c r="K27" s="303"/>
      <c r="L27" s="303"/>
      <c r="M27" s="303"/>
      <c r="N27" s="304"/>
      <c r="O27" s="305"/>
    </row>
    <row r="28" spans="2:15" x14ac:dyDescent="0.3">
      <c r="B28" s="18" t="s">
        <v>150</v>
      </c>
      <c r="C28" s="212"/>
      <c r="E28" s="18" t="s">
        <v>57</v>
      </c>
      <c r="F28" s="212"/>
      <c r="H28" s="302" t="s">
        <v>130</v>
      </c>
      <c r="I28" s="303"/>
      <c r="J28" s="303"/>
      <c r="K28" s="303"/>
      <c r="L28" s="303"/>
      <c r="M28" s="303"/>
      <c r="N28" s="304"/>
      <c r="O28" s="305"/>
    </row>
    <row r="29" spans="2:15" x14ac:dyDescent="0.3">
      <c r="B29" s="18" t="s">
        <v>151</v>
      </c>
      <c r="C29" s="212"/>
      <c r="E29" s="18" t="s">
        <v>227</v>
      </c>
      <c r="F29" s="212"/>
      <c r="I29" s="28"/>
      <c r="J29" s="28"/>
      <c r="K29" s="28"/>
      <c r="L29" s="28"/>
      <c r="M29" s="28"/>
      <c r="N29" s="28"/>
      <c r="O29" s="153"/>
    </row>
    <row r="30" spans="2:15" x14ac:dyDescent="0.3">
      <c r="B30" s="18" t="s">
        <v>152</v>
      </c>
      <c r="C30" s="212"/>
      <c r="E30" s="18" t="s">
        <v>42</v>
      </c>
      <c r="F30" s="212"/>
      <c r="H30" s="173" t="s">
        <v>131</v>
      </c>
      <c r="I30" s="28"/>
      <c r="J30" s="28"/>
      <c r="K30" s="28"/>
      <c r="L30" s="28"/>
      <c r="M30" s="28"/>
      <c r="N30" s="28"/>
      <c r="O30" s="153"/>
    </row>
    <row r="31" spans="2:15" x14ac:dyDescent="0.3">
      <c r="C31" s="212"/>
      <c r="E31" s="18" t="s">
        <v>43</v>
      </c>
      <c r="F31" s="212"/>
      <c r="H31" s="18" t="s">
        <v>132</v>
      </c>
      <c r="I31" s="32"/>
      <c r="J31" s="32"/>
      <c r="K31" s="32"/>
      <c r="L31" s="32"/>
      <c r="M31" s="32"/>
      <c r="N31" s="28"/>
      <c r="O31" s="153"/>
    </row>
    <row r="32" spans="2:15" x14ac:dyDescent="0.3">
      <c r="C32" s="212"/>
      <c r="E32" s="18" t="s">
        <v>58</v>
      </c>
      <c r="F32" s="212"/>
      <c r="H32" s="18" t="s">
        <v>133</v>
      </c>
      <c r="I32" s="32"/>
      <c r="J32" s="32"/>
      <c r="K32" s="32"/>
      <c r="L32" s="32"/>
      <c r="M32" s="32"/>
      <c r="N32" s="28"/>
      <c r="O32" s="153"/>
    </row>
    <row r="33" spans="2:15" x14ac:dyDescent="0.3">
      <c r="B33" s="186" t="s">
        <v>52</v>
      </c>
      <c r="C33" s="215"/>
      <c r="D33" s="41"/>
      <c r="E33" s="186" t="s">
        <v>54</v>
      </c>
      <c r="F33" s="215"/>
      <c r="I33" s="32"/>
      <c r="J33" s="32"/>
      <c r="K33" s="32"/>
      <c r="L33" s="32"/>
      <c r="M33" s="32"/>
      <c r="N33" s="28"/>
      <c r="O33" s="153"/>
    </row>
    <row r="34" spans="2:15" x14ac:dyDescent="0.3">
      <c r="B34" s="41"/>
      <c r="C34" s="41"/>
      <c r="D34" s="41"/>
      <c r="E34" s="41"/>
      <c r="F34" s="185"/>
      <c r="H34" s="18" t="s">
        <v>134</v>
      </c>
      <c r="I34" s="32"/>
      <c r="J34" s="32"/>
      <c r="K34" s="32"/>
      <c r="L34" s="32"/>
      <c r="M34" s="32"/>
      <c r="N34" s="28"/>
      <c r="O34" s="153"/>
    </row>
    <row r="35" spans="2:15" x14ac:dyDescent="0.3">
      <c r="B35" s="41"/>
      <c r="C35" s="41"/>
      <c r="D35" s="41"/>
      <c r="E35" s="41"/>
      <c r="F35" s="41"/>
      <c r="H35" s="18" t="s">
        <v>135</v>
      </c>
      <c r="I35" s="32"/>
      <c r="J35" s="32"/>
      <c r="K35" s="32"/>
      <c r="L35" s="32"/>
      <c r="M35" s="32"/>
      <c r="N35" s="28"/>
      <c r="O35" s="153"/>
    </row>
    <row r="36" spans="2:15" x14ac:dyDescent="0.3">
      <c r="B36" s="41"/>
      <c r="C36" s="41"/>
      <c r="D36" s="41"/>
      <c r="E36" s="41"/>
      <c r="F36" s="41"/>
      <c r="I36" s="32"/>
      <c r="J36" s="32"/>
      <c r="K36" s="32"/>
      <c r="L36" s="32"/>
      <c r="M36" s="32"/>
      <c r="N36" s="28"/>
      <c r="O36" s="153"/>
    </row>
    <row r="37" spans="2:15" x14ac:dyDescent="0.3">
      <c r="B37" s="41"/>
      <c r="C37" s="41"/>
      <c r="D37" s="41"/>
      <c r="E37" s="41"/>
      <c r="F37" s="41"/>
      <c r="H37" s="18" t="s">
        <v>136</v>
      </c>
      <c r="I37" s="32"/>
      <c r="J37" s="32"/>
      <c r="K37" s="32"/>
      <c r="L37" s="32"/>
      <c r="M37" s="32"/>
      <c r="N37" s="28"/>
      <c r="O37" s="153"/>
    </row>
    <row r="38" spans="2:15" x14ac:dyDescent="0.3">
      <c r="B38" s="41"/>
      <c r="C38" s="41"/>
      <c r="D38" s="41"/>
      <c r="E38" s="41"/>
      <c r="F38" s="41"/>
      <c r="H38" s="18" t="s">
        <v>137</v>
      </c>
      <c r="I38" s="32"/>
      <c r="J38" s="32"/>
      <c r="K38" s="32"/>
      <c r="L38" s="32"/>
      <c r="M38" s="32"/>
      <c r="N38" s="28"/>
      <c r="O38" s="153"/>
    </row>
    <row r="39" spans="2:15" x14ac:dyDescent="0.3">
      <c r="B39" s="41"/>
      <c r="C39" s="187"/>
      <c r="D39" s="41"/>
      <c r="E39" s="41"/>
      <c r="F39" s="41"/>
      <c r="I39" s="32"/>
      <c r="J39" s="32"/>
      <c r="K39" s="32"/>
      <c r="L39" s="32"/>
      <c r="M39" s="32"/>
      <c r="N39" s="28"/>
      <c r="O39" s="153"/>
    </row>
    <row r="40" spans="2:15" x14ac:dyDescent="0.3">
      <c r="B40" s="41"/>
      <c r="C40" s="187"/>
      <c r="D40" s="41"/>
      <c r="E40" s="41"/>
      <c r="F40" s="41"/>
      <c r="H40" s="18" t="s">
        <v>138</v>
      </c>
      <c r="I40" s="32"/>
      <c r="J40" s="32"/>
      <c r="K40" s="32"/>
      <c r="L40" s="32"/>
      <c r="M40" s="32"/>
      <c r="N40" s="28"/>
      <c r="O40" s="153"/>
    </row>
    <row r="41" spans="2:15" x14ac:dyDescent="0.3">
      <c r="B41" s="41"/>
      <c r="C41" s="187"/>
      <c r="D41" s="41"/>
      <c r="E41" s="41"/>
      <c r="F41" s="41"/>
      <c r="H41" s="18" t="s">
        <v>139</v>
      </c>
      <c r="I41" s="32"/>
      <c r="J41" s="32"/>
      <c r="K41" s="32"/>
      <c r="L41" s="32"/>
      <c r="M41" s="32"/>
      <c r="N41" s="28"/>
      <c r="O41" s="153"/>
    </row>
    <row r="42" spans="2:15" x14ac:dyDescent="0.3">
      <c r="B42" s="41"/>
      <c r="C42" s="187"/>
      <c r="D42" s="41"/>
      <c r="E42" s="41"/>
      <c r="F42" s="41"/>
      <c r="H42" s="18" t="s">
        <v>257</v>
      </c>
      <c r="I42" s="32"/>
      <c r="J42" s="32"/>
      <c r="K42" s="32"/>
      <c r="L42" s="32"/>
      <c r="M42" s="32"/>
      <c r="N42" s="28"/>
      <c r="O42" s="153"/>
    </row>
    <row r="43" spans="2:15" x14ac:dyDescent="0.3">
      <c r="B43" s="188"/>
      <c r="C43" s="189"/>
      <c r="D43" s="41"/>
      <c r="E43" s="41"/>
      <c r="F43" s="41"/>
      <c r="H43" s="18" t="s">
        <v>140</v>
      </c>
      <c r="I43" s="153"/>
      <c r="J43" s="153"/>
      <c r="K43" s="153"/>
      <c r="L43" s="153"/>
      <c r="M43" s="153"/>
      <c r="N43" s="153"/>
      <c r="O43" s="153"/>
    </row>
    <row r="45" spans="2:15" x14ac:dyDescent="0.3">
      <c r="H45" s="18" t="s">
        <v>190</v>
      </c>
    </row>
    <row r="46" spans="2:15" x14ac:dyDescent="0.3">
      <c r="H46" s="18" t="s">
        <v>189</v>
      </c>
    </row>
    <row r="52" spans="3:3" x14ac:dyDescent="0.3">
      <c r="C52" s="1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B721-890E-4A85-9D08-42A2C463A428}">
  <dimension ref="A1:R98"/>
  <sheetViews>
    <sheetView showGridLines="0" workbookViewId="0">
      <pane ySplit="3" topLeftCell="A4" activePane="bottomLeft" state="frozen"/>
      <selection activeCell="L66" sqref="L66"/>
      <selection pane="bottomLeft" activeCell="A4" sqref="A4"/>
    </sheetView>
  </sheetViews>
  <sheetFormatPr defaultColWidth="11.7265625" defaultRowHeight="14" outlineLevelRow="1" x14ac:dyDescent="0.3"/>
  <cols>
    <col min="1" max="1" width="5.7265625" style="18" customWidth="1"/>
    <col min="2" max="2" width="15.7265625" style="18" customWidth="1"/>
    <col min="3" max="9" width="10.7265625" style="18" customWidth="1"/>
    <col min="10" max="10" width="10" style="18" customWidth="1"/>
    <col min="11" max="11" width="15.7265625" style="18" customWidth="1"/>
    <col min="12" max="18" width="10.7265625" style="18" customWidth="1"/>
    <col min="19" max="16384" width="11.7265625" style="18"/>
  </cols>
  <sheetData>
    <row r="1" spans="1:18" s="14" customFormat="1" ht="15.5" x14ac:dyDescent="0.35">
      <c r="A1" s="21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s="2" customFormat="1" ht="18" x14ac:dyDescent="0.3">
      <c r="A2" s="15" t="s">
        <v>67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s="14" customFormat="1" ht="15.5" x14ac:dyDescent="0.35">
      <c r="A3" s="22" t="s">
        <v>83</v>
      </c>
      <c r="B3" s="17"/>
      <c r="C3" s="17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3"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8" x14ac:dyDescent="0.3">
      <c r="B5" s="64" t="s">
        <v>38</v>
      </c>
      <c r="C5" s="182">
        <f>'Control Panel'!H13</f>
        <v>0</v>
      </c>
      <c r="D5" s="61"/>
      <c r="E5" s="61"/>
      <c r="F5" s="61"/>
      <c r="G5" s="61"/>
      <c r="H5" s="61"/>
      <c r="I5" s="61"/>
      <c r="J5" s="61"/>
      <c r="K5" s="61"/>
    </row>
    <row r="6" spans="1:18" x14ac:dyDescent="0.3"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8" ht="15.5" x14ac:dyDescent="0.35">
      <c r="A7" s="41"/>
      <c r="B7" s="90" t="s">
        <v>67</v>
      </c>
      <c r="C7" s="86"/>
      <c r="D7" s="67"/>
      <c r="E7" s="85"/>
      <c r="F7" s="86"/>
      <c r="G7" s="86"/>
      <c r="H7" s="67"/>
      <c r="I7" s="85"/>
      <c r="J7" s="86"/>
      <c r="K7" s="67"/>
      <c r="L7" s="67"/>
      <c r="M7" s="67"/>
      <c r="N7" s="67"/>
      <c r="O7" s="67"/>
      <c r="P7" s="67"/>
      <c r="Q7" s="67"/>
      <c r="R7" s="67"/>
    </row>
    <row r="8" spans="1:18" s="47" customFormat="1" ht="14.15" customHeight="1" x14ac:dyDescent="0.35">
      <c r="A8" s="79"/>
      <c r="I8" s="74"/>
      <c r="J8" s="66"/>
    </row>
    <row r="9" spans="1:18" s="47" customFormat="1" ht="14.15" customHeight="1" x14ac:dyDescent="0.35">
      <c r="A9" s="79"/>
      <c r="B9" s="177" t="s">
        <v>148</v>
      </c>
      <c r="C9" s="178"/>
      <c r="D9" s="178"/>
      <c r="F9" s="48" t="s">
        <v>66</v>
      </c>
      <c r="G9" s="48"/>
      <c r="I9" s="74"/>
      <c r="J9" s="66"/>
      <c r="K9" s="48" t="s">
        <v>108</v>
      </c>
      <c r="M9" s="74"/>
      <c r="N9" s="66"/>
    </row>
    <row r="10" spans="1:18" s="47" customFormat="1" ht="14.15" customHeight="1" x14ac:dyDescent="0.35">
      <c r="A10" s="79"/>
      <c r="B10" s="176" t="s">
        <v>45</v>
      </c>
      <c r="C10" s="176"/>
      <c r="D10" s="179"/>
      <c r="F10" s="87"/>
      <c r="G10" s="87"/>
      <c r="H10" s="136">
        <v>2021</v>
      </c>
      <c r="I10" s="137">
        <v>2022</v>
      </c>
      <c r="K10" s="87"/>
      <c r="L10" s="136">
        <v>2021</v>
      </c>
      <c r="M10" s="137">
        <v>2022</v>
      </c>
    </row>
    <row r="11" spans="1:18" s="47" customFormat="1" ht="14.15" customHeight="1" x14ac:dyDescent="0.3">
      <c r="A11" s="79"/>
      <c r="B11" s="47" t="s">
        <v>59</v>
      </c>
      <c r="D11" s="180"/>
      <c r="F11" s="47" t="s">
        <v>69</v>
      </c>
      <c r="H11" s="308"/>
      <c r="I11" s="309"/>
      <c r="K11" s="18" t="s">
        <v>140</v>
      </c>
      <c r="L11" s="310"/>
      <c r="M11" s="311"/>
    </row>
    <row r="12" spans="1:18" s="47" customFormat="1" ht="14.15" customHeight="1" x14ac:dyDescent="0.35">
      <c r="A12" s="79"/>
      <c r="B12" s="47" t="s">
        <v>73</v>
      </c>
      <c r="D12" s="271"/>
      <c r="F12" s="47" t="s">
        <v>70</v>
      </c>
      <c r="H12" s="308"/>
      <c r="I12" s="309"/>
      <c r="K12" s="47" t="s">
        <v>142</v>
      </c>
      <c r="L12" s="312"/>
      <c r="M12" s="312"/>
    </row>
    <row r="13" spans="1:18" s="47" customFormat="1" ht="14.15" customHeight="1" x14ac:dyDescent="0.35">
      <c r="A13" s="79"/>
      <c r="D13" s="104"/>
      <c r="I13" s="74"/>
      <c r="J13" s="66"/>
    </row>
    <row r="14" spans="1:18" s="47" customFormat="1" ht="14.15" customHeight="1" x14ac:dyDescent="0.35">
      <c r="A14" s="79"/>
      <c r="D14" s="104"/>
      <c r="I14" s="74"/>
      <c r="J14" s="66"/>
    </row>
    <row r="15" spans="1:18" s="47" customFormat="1" ht="14.15" customHeight="1" x14ac:dyDescent="0.35">
      <c r="A15" s="79"/>
      <c r="B15" s="94" t="s">
        <v>68</v>
      </c>
      <c r="C15" s="94"/>
      <c r="D15" s="94"/>
      <c r="E15" s="94"/>
      <c r="F15" s="95"/>
      <c r="G15" s="95"/>
      <c r="H15" s="95"/>
      <c r="I15" s="95"/>
      <c r="J15" s="80"/>
      <c r="K15" s="94" t="s">
        <v>106</v>
      </c>
      <c r="L15" s="94"/>
      <c r="M15" s="94"/>
      <c r="N15" s="94"/>
      <c r="O15" s="95"/>
      <c r="P15" s="95"/>
      <c r="Q15" s="95"/>
      <c r="R15" s="95"/>
    </row>
    <row r="16" spans="1:18" s="47" customFormat="1" ht="14.15" customHeight="1" x14ac:dyDescent="0.35">
      <c r="A16" s="79"/>
      <c r="B16" s="80"/>
      <c r="C16" s="93"/>
      <c r="D16" s="96"/>
      <c r="E16" s="97"/>
      <c r="F16" s="98"/>
      <c r="G16" s="98"/>
      <c r="H16" s="98"/>
      <c r="I16" s="98"/>
      <c r="J16" s="80"/>
      <c r="K16" s="80"/>
      <c r="L16" s="93"/>
      <c r="M16" s="96"/>
      <c r="N16" s="97"/>
      <c r="O16" s="98"/>
      <c r="P16" s="98"/>
      <c r="Q16" s="98"/>
      <c r="R16" s="98"/>
    </row>
    <row r="17" spans="1:18" s="47" customFormat="1" ht="14.15" customHeight="1" x14ac:dyDescent="0.35">
      <c r="A17" s="79"/>
      <c r="B17" s="92"/>
      <c r="C17" s="99"/>
      <c r="D17" s="102"/>
      <c r="E17" s="103"/>
      <c r="F17" s="103"/>
      <c r="G17" s="103"/>
      <c r="H17" s="103"/>
      <c r="I17" s="103"/>
      <c r="J17" s="92"/>
      <c r="K17" s="92"/>
      <c r="L17" s="99"/>
      <c r="M17" s="261"/>
      <c r="N17" s="261"/>
      <c r="O17" s="261"/>
      <c r="P17" s="261"/>
      <c r="Q17" s="261"/>
      <c r="R17" s="261"/>
    </row>
    <row r="18" spans="1:18" s="47" customFormat="1" ht="15" customHeight="1" x14ac:dyDescent="0.3">
      <c r="A18" s="79"/>
      <c r="C18" s="100"/>
      <c r="D18" s="262"/>
      <c r="E18" s="263"/>
      <c r="F18" s="263"/>
      <c r="G18" s="263"/>
      <c r="H18" s="263"/>
      <c r="I18" s="263"/>
      <c r="J18" s="80"/>
      <c r="K18" s="84"/>
      <c r="L18" s="260"/>
      <c r="M18" s="262"/>
      <c r="N18" s="263"/>
      <c r="O18" s="263"/>
      <c r="P18" s="263"/>
      <c r="Q18" s="263"/>
      <c r="R18" s="263"/>
    </row>
    <row r="19" spans="1:18" s="47" customFormat="1" ht="15" customHeight="1" x14ac:dyDescent="0.3">
      <c r="A19" s="79"/>
      <c r="B19" s="80"/>
      <c r="C19" s="101"/>
      <c r="D19" s="264"/>
      <c r="E19" s="265"/>
      <c r="F19" s="265"/>
      <c r="G19" s="265"/>
      <c r="H19" s="265"/>
      <c r="I19" s="265"/>
      <c r="J19" s="80"/>
      <c r="K19" s="80"/>
      <c r="L19" s="260"/>
      <c r="M19" s="264"/>
      <c r="N19" s="265"/>
      <c r="O19" s="265"/>
      <c r="P19" s="265"/>
      <c r="Q19" s="265"/>
      <c r="R19" s="265"/>
    </row>
    <row r="20" spans="1:18" s="47" customFormat="1" ht="15" customHeight="1" x14ac:dyDescent="0.3">
      <c r="A20" s="79"/>
      <c r="B20" s="74"/>
      <c r="C20" s="101"/>
      <c r="D20" s="264"/>
      <c r="E20" s="266"/>
      <c r="F20" s="266"/>
      <c r="G20" s="266"/>
      <c r="H20" s="266"/>
      <c r="I20" s="266"/>
      <c r="J20" s="66"/>
      <c r="K20" s="74"/>
      <c r="L20" s="260"/>
      <c r="M20" s="264"/>
      <c r="N20" s="266"/>
      <c r="O20" s="266"/>
      <c r="P20" s="266"/>
      <c r="Q20" s="266"/>
      <c r="R20" s="266"/>
    </row>
    <row r="21" spans="1:18" s="47" customFormat="1" ht="15" customHeight="1" x14ac:dyDescent="0.3">
      <c r="A21" s="79"/>
      <c r="B21" s="74"/>
      <c r="C21" s="101"/>
      <c r="D21" s="264"/>
      <c r="E21" s="266"/>
      <c r="F21" s="266"/>
      <c r="G21" s="266"/>
      <c r="H21" s="266"/>
      <c r="I21" s="266"/>
      <c r="J21" s="66"/>
      <c r="K21" s="74"/>
      <c r="L21" s="260"/>
      <c r="M21" s="264"/>
      <c r="N21" s="266"/>
      <c r="O21" s="266"/>
      <c r="P21" s="266"/>
      <c r="Q21" s="266"/>
      <c r="R21" s="266"/>
    </row>
    <row r="22" spans="1:18" x14ac:dyDescent="0.3">
      <c r="C22" s="101"/>
      <c r="D22" s="267"/>
      <c r="E22" s="268"/>
      <c r="F22" s="268"/>
      <c r="G22" s="268"/>
      <c r="H22" s="268"/>
      <c r="I22" s="268"/>
      <c r="L22" s="260"/>
      <c r="M22" s="267"/>
      <c r="N22" s="268"/>
      <c r="O22" s="268"/>
      <c r="P22" s="268"/>
      <c r="Q22" s="268"/>
      <c r="R22" s="268"/>
    </row>
    <row r="23" spans="1:18" x14ac:dyDescent="0.3">
      <c r="C23" s="101"/>
      <c r="D23" s="267"/>
      <c r="E23" s="268"/>
      <c r="F23" s="268"/>
      <c r="G23" s="268"/>
      <c r="H23" s="268"/>
      <c r="I23" s="268"/>
      <c r="L23" s="260"/>
      <c r="M23" s="267"/>
      <c r="N23" s="268"/>
      <c r="O23" s="268"/>
      <c r="P23" s="268"/>
      <c r="Q23" s="268"/>
      <c r="R23" s="268"/>
    </row>
    <row r="24" spans="1:18" x14ac:dyDescent="0.3">
      <c r="C24" s="101"/>
      <c r="D24" s="267"/>
      <c r="E24" s="268"/>
      <c r="F24" s="268"/>
      <c r="G24" s="268"/>
      <c r="H24" s="268"/>
      <c r="I24" s="268"/>
      <c r="L24" s="260"/>
      <c r="M24" s="267"/>
      <c r="N24" s="268"/>
      <c r="O24" s="268"/>
      <c r="P24" s="268"/>
      <c r="Q24" s="268"/>
      <c r="R24" s="268"/>
    </row>
    <row r="27" spans="1:18" x14ac:dyDescent="0.3">
      <c r="B27" s="94" t="s">
        <v>147</v>
      </c>
      <c r="C27" s="94"/>
      <c r="D27" s="94"/>
      <c r="E27" s="94"/>
      <c r="F27" s="95"/>
      <c r="G27" s="95"/>
      <c r="H27" s="95"/>
      <c r="I27" s="95"/>
      <c r="K27" s="94" t="s">
        <v>194</v>
      </c>
      <c r="L27" s="94"/>
      <c r="M27" s="94"/>
      <c r="N27" s="94"/>
      <c r="O27" s="95"/>
      <c r="P27" s="95"/>
      <c r="Q27" s="95"/>
      <c r="R27" s="95"/>
    </row>
    <row r="28" spans="1:18" x14ac:dyDescent="0.3">
      <c r="B28" s="80"/>
      <c r="C28" s="93"/>
      <c r="D28" s="96"/>
      <c r="E28" s="97"/>
      <c r="F28" s="98"/>
      <c r="G28" s="98"/>
      <c r="H28" s="98"/>
      <c r="I28" s="98"/>
      <c r="K28" s="80"/>
      <c r="L28" s="93"/>
      <c r="M28" s="96"/>
      <c r="N28" s="97"/>
      <c r="O28" s="98"/>
      <c r="P28" s="98"/>
      <c r="Q28" s="98"/>
      <c r="R28" s="98"/>
    </row>
    <row r="29" spans="1:18" x14ac:dyDescent="0.3">
      <c r="B29" s="92"/>
      <c r="C29" s="99"/>
      <c r="D29" s="261"/>
      <c r="E29" s="261"/>
      <c r="F29" s="261"/>
      <c r="G29" s="261"/>
      <c r="H29" s="261"/>
      <c r="I29" s="261"/>
      <c r="K29" s="92"/>
      <c r="L29" s="99"/>
      <c r="M29" s="261"/>
      <c r="N29" s="261"/>
      <c r="O29" s="261"/>
      <c r="P29" s="261"/>
      <c r="Q29" s="261"/>
      <c r="R29" s="261"/>
    </row>
    <row r="30" spans="1:18" x14ac:dyDescent="0.3">
      <c r="B30" s="84"/>
      <c r="C30" s="260"/>
      <c r="D30" s="262"/>
      <c r="E30" s="263"/>
      <c r="F30" s="263"/>
      <c r="G30" s="263"/>
      <c r="H30" s="263"/>
      <c r="I30" s="263"/>
      <c r="K30" s="84"/>
      <c r="L30" s="260"/>
      <c r="M30" s="262"/>
      <c r="N30" s="263"/>
      <c r="O30" s="263"/>
      <c r="P30" s="263"/>
      <c r="Q30" s="263"/>
      <c r="R30" s="263"/>
    </row>
    <row r="31" spans="1:18" x14ac:dyDescent="0.3">
      <c r="B31" s="80"/>
      <c r="C31" s="260"/>
      <c r="D31" s="264"/>
      <c r="E31" s="265"/>
      <c r="F31" s="265"/>
      <c r="G31" s="265"/>
      <c r="H31" s="265"/>
      <c r="I31" s="265"/>
      <c r="K31" s="80"/>
      <c r="L31" s="260"/>
      <c r="M31" s="264"/>
      <c r="N31" s="265"/>
      <c r="O31" s="265"/>
      <c r="P31" s="265"/>
      <c r="Q31" s="265"/>
      <c r="R31" s="265"/>
    </row>
    <row r="32" spans="1:18" x14ac:dyDescent="0.3">
      <c r="B32" s="74"/>
      <c r="C32" s="260"/>
      <c r="D32" s="264"/>
      <c r="E32" s="266"/>
      <c r="F32" s="266"/>
      <c r="G32" s="266"/>
      <c r="H32" s="266"/>
      <c r="I32" s="266"/>
      <c r="K32" s="74"/>
      <c r="L32" s="260"/>
      <c r="M32" s="264"/>
      <c r="N32" s="266"/>
      <c r="O32" s="266"/>
      <c r="P32" s="266"/>
      <c r="Q32" s="266"/>
      <c r="R32" s="266"/>
    </row>
    <row r="33" spans="2:18" x14ac:dyDescent="0.3">
      <c r="B33" s="74"/>
      <c r="C33" s="260"/>
      <c r="D33" s="264"/>
      <c r="E33" s="266"/>
      <c r="F33" s="266"/>
      <c r="G33" s="266"/>
      <c r="H33" s="266"/>
      <c r="I33" s="266"/>
      <c r="K33" s="74"/>
      <c r="L33" s="260"/>
      <c r="M33" s="264"/>
      <c r="N33" s="266"/>
      <c r="O33" s="266"/>
      <c r="P33" s="266"/>
      <c r="Q33" s="266"/>
      <c r="R33" s="266"/>
    </row>
    <row r="34" spans="2:18" x14ac:dyDescent="0.3">
      <c r="C34" s="260"/>
      <c r="D34" s="267"/>
      <c r="E34" s="268"/>
      <c r="F34" s="268"/>
      <c r="G34" s="268"/>
      <c r="H34" s="268"/>
      <c r="I34" s="268"/>
      <c r="L34" s="260"/>
      <c r="M34" s="267"/>
      <c r="N34" s="268"/>
      <c r="O34" s="268"/>
      <c r="P34" s="268"/>
      <c r="Q34" s="268"/>
      <c r="R34" s="268"/>
    </row>
    <row r="35" spans="2:18" x14ac:dyDescent="0.3">
      <c r="C35" s="260"/>
      <c r="D35" s="267"/>
      <c r="E35" s="268"/>
      <c r="F35" s="268"/>
      <c r="G35" s="268"/>
      <c r="H35" s="268"/>
      <c r="I35" s="268"/>
      <c r="L35" s="260"/>
      <c r="M35" s="267"/>
      <c r="N35" s="268"/>
      <c r="O35" s="268"/>
      <c r="P35" s="268"/>
      <c r="Q35" s="268"/>
      <c r="R35" s="268"/>
    </row>
    <row r="36" spans="2:18" x14ac:dyDescent="0.3">
      <c r="C36" s="260"/>
      <c r="D36" s="267"/>
      <c r="E36" s="268"/>
      <c r="F36" s="268"/>
      <c r="G36" s="268"/>
      <c r="H36" s="268"/>
      <c r="I36" s="268"/>
      <c r="L36" s="260"/>
      <c r="M36" s="267"/>
      <c r="N36" s="268"/>
      <c r="O36" s="268"/>
      <c r="P36" s="268"/>
      <c r="Q36" s="268"/>
      <c r="R36" s="268"/>
    </row>
    <row r="39" spans="2:18" x14ac:dyDescent="0.3">
      <c r="B39" s="94" t="s">
        <v>143</v>
      </c>
      <c r="C39" s="94"/>
      <c r="D39" s="94"/>
      <c r="E39" s="94"/>
      <c r="F39" s="95"/>
      <c r="G39" s="95"/>
      <c r="H39" s="95"/>
      <c r="I39" s="95"/>
      <c r="K39" s="94" t="s">
        <v>184</v>
      </c>
      <c r="L39" s="94"/>
      <c r="M39" s="94"/>
      <c r="N39" s="94"/>
      <c r="O39" s="95"/>
      <c r="P39" s="95"/>
      <c r="Q39" s="95"/>
      <c r="R39" s="95"/>
    </row>
    <row r="40" spans="2:18" x14ac:dyDescent="0.3">
      <c r="B40" s="80"/>
      <c r="C40" s="93"/>
      <c r="D40" s="96"/>
      <c r="E40" s="97"/>
      <c r="F40" s="98"/>
      <c r="G40" s="98"/>
      <c r="H40" s="98"/>
      <c r="I40" s="98"/>
      <c r="K40" s="80"/>
      <c r="L40" s="93"/>
      <c r="M40" s="96"/>
      <c r="N40" s="97"/>
      <c r="O40" s="98"/>
      <c r="P40" s="98"/>
      <c r="Q40" s="98"/>
      <c r="R40" s="98"/>
    </row>
    <row r="41" spans="2:18" x14ac:dyDescent="0.3">
      <c r="B41" s="92"/>
      <c r="C41" s="99"/>
      <c r="D41" s="261"/>
      <c r="E41" s="261"/>
      <c r="F41" s="261"/>
      <c r="G41" s="261"/>
      <c r="H41" s="261"/>
      <c r="I41" s="261"/>
      <c r="K41" s="92"/>
      <c r="L41" s="99"/>
      <c r="M41" s="261"/>
      <c r="N41" s="261"/>
      <c r="O41" s="261"/>
      <c r="P41" s="261"/>
      <c r="Q41" s="261"/>
      <c r="R41" s="261"/>
    </row>
    <row r="42" spans="2:18" x14ac:dyDescent="0.3">
      <c r="B42" s="84"/>
      <c r="C42" s="260"/>
      <c r="D42" s="138"/>
      <c r="E42" s="139"/>
      <c r="F42" s="139"/>
      <c r="G42" s="139"/>
      <c r="H42" s="139"/>
      <c r="I42" s="139"/>
      <c r="K42" s="84"/>
      <c r="L42" s="260"/>
      <c r="M42" s="262"/>
      <c r="N42" s="263"/>
      <c r="O42" s="263"/>
      <c r="P42" s="263"/>
      <c r="Q42" s="263"/>
      <c r="R42" s="263"/>
    </row>
    <row r="43" spans="2:18" x14ac:dyDescent="0.3">
      <c r="B43" s="80"/>
      <c r="C43" s="260"/>
      <c r="D43" s="140"/>
      <c r="E43" s="141"/>
      <c r="F43" s="141"/>
      <c r="G43" s="141"/>
      <c r="H43" s="141"/>
      <c r="I43" s="141"/>
      <c r="K43" s="80"/>
      <c r="L43" s="260"/>
      <c r="M43" s="264"/>
      <c r="N43" s="265"/>
      <c r="O43" s="265"/>
      <c r="P43" s="265"/>
      <c r="Q43" s="265"/>
      <c r="R43" s="265"/>
    </row>
    <row r="44" spans="2:18" x14ac:dyDescent="0.3">
      <c r="B44" s="74"/>
      <c r="C44" s="260"/>
      <c r="D44" s="140"/>
      <c r="E44" s="142"/>
      <c r="F44" s="142"/>
      <c r="G44" s="142"/>
      <c r="H44" s="142"/>
      <c r="I44" s="142"/>
      <c r="K44" s="74"/>
      <c r="L44" s="260"/>
      <c r="M44" s="264"/>
      <c r="N44" s="266"/>
      <c r="O44" s="266"/>
      <c r="P44" s="266"/>
      <c r="Q44" s="266"/>
      <c r="R44" s="266"/>
    </row>
    <row r="45" spans="2:18" x14ac:dyDescent="0.3">
      <c r="B45" s="74"/>
      <c r="C45" s="260"/>
      <c r="D45" s="140"/>
      <c r="E45" s="142"/>
      <c r="F45" s="142"/>
      <c r="G45" s="142"/>
      <c r="H45" s="142"/>
      <c r="I45" s="142"/>
      <c r="K45" s="74"/>
      <c r="L45" s="260"/>
      <c r="M45" s="264"/>
      <c r="N45" s="266"/>
      <c r="O45" s="266"/>
      <c r="P45" s="266"/>
      <c r="Q45" s="266"/>
      <c r="R45" s="266"/>
    </row>
    <row r="46" spans="2:18" x14ac:dyDescent="0.3">
      <c r="C46" s="260"/>
      <c r="D46" s="269"/>
      <c r="E46" s="270"/>
      <c r="F46" s="270"/>
      <c r="G46" s="270"/>
      <c r="H46" s="270"/>
      <c r="I46" s="270"/>
      <c r="L46" s="260"/>
      <c r="M46" s="267"/>
      <c r="N46" s="268"/>
      <c r="O46" s="268"/>
      <c r="P46" s="268"/>
      <c r="Q46" s="268"/>
      <c r="R46" s="268"/>
    </row>
    <row r="47" spans="2:18" x14ac:dyDescent="0.3">
      <c r="C47" s="260"/>
      <c r="D47" s="269"/>
      <c r="E47" s="270"/>
      <c r="F47" s="270"/>
      <c r="G47" s="270"/>
      <c r="H47" s="270"/>
      <c r="I47" s="270"/>
      <c r="L47" s="260"/>
      <c r="M47" s="267"/>
      <c r="N47" s="268"/>
      <c r="O47" s="268"/>
      <c r="P47" s="268"/>
      <c r="Q47" s="268"/>
      <c r="R47" s="268"/>
    </row>
    <row r="48" spans="2:18" x14ac:dyDescent="0.3">
      <c r="C48" s="260"/>
      <c r="D48" s="269"/>
      <c r="E48" s="270"/>
      <c r="F48" s="270"/>
      <c r="G48" s="270"/>
      <c r="H48" s="270"/>
      <c r="I48" s="270"/>
      <c r="L48" s="260"/>
      <c r="M48" s="267"/>
      <c r="N48" s="268"/>
      <c r="O48" s="268"/>
      <c r="P48" s="268"/>
      <c r="Q48" s="268"/>
      <c r="R48" s="268"/>
    </row>
    <row r="51" spans="2:18" x14ac:dyDescent="0.3">
      <c r="B51" s="94" t="str">
        <f>+"2021 EPS Accretion: "&amp;TEXT('Control Panel'!$H$14,"0%")&amp;" Acquisition Premium; "&amp;TEXT('Control Panel'!$H$18,"0%")&amp;" Debt Financing"</f>
        <v>2021 EPS Accretion: 0% Acquisition Premium; 0% Debt Financing</v>
      </c>
      <c r="C51" s="94"/>
      <c r="D51" s="94"/>
      <c r="E51" s="94"/>
      <c r="F51" s="95"/>
      <c r="G51" s="95"/>
      <c r="H51" s="95"/>
      <c r="I51" s="95"/>
      <c r="J51" s="80"/>
      <c r="K51" s="94" t="str">
        <f>+"2021 CFPS Accretion: "&amp;TEXT('Control Panel'!$H$14,"0%")&amp;" Acquisition Premium; "&amp;TEXT('Control Panel'!$H$18,"0%")&amp;" Debt Financing"</f>
        <v>2021 CFPS Accretion: 0% Acquisition Premium; 0% Debt Financing</v>
      </c>
      <c r="L51" s="94"/>
      <c r="M51" s="94"/>
      <c r="N51" s="94"/>
      <c r="O51" s="95"/>
      <c r="P51" s="95"/>
      <c r="Q51" s="95"/>
      <c r="R51" s="95"/>
    </row>
    <row r="53" spans="2:18" x14ac:dyDescent="0.3">
      <c r="C53" s="157"/>
      <c r="D53" s="157"/>
      <c r="E53" s="157"/>
      <c r="F53" s="157"/>
      <c r="G53" s="157"/>
      <c r="H53" s="157"/>
      <c r="I53" s="157"/>
      <c r="L53" s="157"/>
      <c r="M53" s="157"/>
      <c r="N53" s="157"/>
      <c r="O53" s="157"/>
      <c r="P53" s="157"/>
      <c r="Q53" s="157"/>
      <c r="R53" s="157"/>
    </row>
    <row r="54" spans="2:18" outlineLevel="1" x14ac:dyDescent="0.3">
      <c r="C54" s="25"/>
      <c r="D54" s="25"/>
      <c r="E54" s="25"/>
      <c r="F54" s="25"/>
      <c r="G54" s="25"/>
      <c r="H54" s="25"/>
      <c r="I54" s="25"/>
      <c r="L54" s="25"/>
      <c r="M54" s="25"/>
      <c r="N54" s="25"/>
      <c r="O54" s="25"/>
      <c r="P54" s="25"/>
      <c r="Q54" s="25"/>
      <c r="R54" s="25"/>
    </row>
    <row r="55" spans="2:18" x14ac:dyDescent="0.3">
      <c r="B55" s="278"/>
      <c r="C55" s="152"/>
      <c r="D55" s="152"/>
      <c r="E55" s="152"/>
      <c r="F55" s="152"/>
      <c r="G55" s="152"/>
      <c r="H55" s="152"/>
      <c r="I55" s="152"/>
      <c r="K55" s="278"/>
      <c r="L55" s="152"/>
      <c r="M55" s="152"/>
      <c r="N55" s="152"/>
      <c r="O55" s="152"/>
      <c r="P55" s="152"/>
      <c r="Q55" s="152"/>
      <c r="R55" s="152"/>
    </row>
    <row r="56" spans="2:18" x14ac:dyDescent="0.3">
      <c r="B56" s="278"/>
      <c r="C56" s="152"/>
      <c r="D56" s="152"/>
      <c r="E56" s="152"/>
      <c r="F56" s="152"/>
      <c r="G56" s="152"/>
      <c r="H56" s="152"/>
      <c r="L56" s="278"/>
      <c r="M56" s="152"/>
      <c r="N56" s="152"/>
      <c r="O56" s="152"/>
      <c r="P56" s="152"/>
      <c r="Q56" s="152"/>
      <c r="R56" s="152"/>
    </row>
    <row r="57" spans="2:18" x14ac:dyDescent="0.3">
      <c r="B57" s="278"/>
      <c r="C57" s="289"/>
      <c r="D57" s="289"/>
      <c r="E57" s="289"/>
      <c r="F57" s="289"/>
      <c r="G57" s="289"/>
      <c r="H57" s="289"/>
      <c r="I57" s="289"/>
      <c r="L57" s="289"/>
      <c r="M57" s="289"/>
      <c r="N57" s="289"/>
      <c r="O57" s="289"/>
      <c r="P57" s="289"/>
      <c r="Q57" s="289"/>
      <c r="R57" s="289"/>
    </row>
    <row r="58" spans="2:18" x14ac:dyDescent="0.3">
      <c r="B58" s="278"/>
      <c r="C58" s="290"/>
      <c r="D58" s="290"/>
      <c r="E58" s="290"/>
      <c r="F58" s="290"/>
      <c r="G58" s="290"/>
      <c r="H58" s="290"/>
      <c r="I58" s="290"/>
      <c r="K58" s="299"/>
      <c r="L58" s="290"/>
      <c r="M58" s="290"/>
      <c r="N58" s="290"/>
      <c r="O58" s="290"/>
      <c r="P58" s="290"/>
      <c r="Q58" s="290"/>
      <c r="R58" s="290"/>
    </row>
    <row r="60" spans="2:18" x14ac:dyDescent="0.3">
      <c r="B60" s="272"/>
      <c r="C60" s="37"/>
      <c r="D60" s="37"/>
      <c r="E60" s="37"/>
      <c r="F60" s="37"/>
      <c r="G60" s="37"/>
      <c r="H60" s="37"/>
      <c r="I60" s="273"/>
      <c r="K60" s="272"/>
      <c r="L60" s="37"/>
      <c r="M60" s="37"/>
      <c r="N60" s="37"/>
      <c r="O60" s="37"/>
      <c r="P60" s="37"/>
      <c r="Q60" s="37"/>
      <c r="R60" s="273"/>
    </row>
    <row r="61" spans="2:18" x14ac:dyDescent="0.3">
      <c r="B61" s="274"/>
      <c r="C61" s="50"/>
      <c r="D61" s="50"/>
      <c r="E61" s="50"/>
      <c r="F61" s="50"/>
      <c r="G61" s="50"/>
      <c r="H61" s="50"/>
      <c r="I61" s="275"/>
      <c r="K61" s="274"/>
      <c r="L61" s="50"/>
      <c r="M61" s="50"/>
      <c r="N61" s="50"/>
      <c r="O61" s="50"/>
      <c r="P61" s="50"/>
      <c r="Q61" s="50"/>
      <c r="R61" s="275"/>
    </row>
    <row r="62" spans="2:18" x14ac:dyDescent="0.3">
      <c r="B62" s="274"/>
      <c r="C62" s="50"/>
      <c r="D62" s="50"/>
      <c r="E62" s="50"/>
      <c r="F62" s="50"/>
      <c r="G62" s="50"/>
      <c r="H62" s="50"/>
      <c r="I62" s="275"/>
      <c r="K62" s="274"/>
      <c r="L62" s="50"/>
      <c r="M62" s="50"/>
      <c r="N62" s="50"/>
      <c r="O62" s="50"/>
      <c r="P62" s="50"/>
      <c r="Q62" s="50"/>
      <c r="R62" s="275"/>
    </row>
    <row r="63" spans="2:18" x14ac:dyDescent="0.3">
      <c r="B63" s="274"/>
      <c r="C63" s="50"/>
      <c r="D63" s="50"/>
      <c r="E63" s="50"/>
      <c r="F63" s="50"/>
      <c r="G63" s="50"/>
      <c r="H63" s="50"/>
      <c r="I63" s="275"/>
      <c r="K63" s="274"/>
      <c r="L63" s="50"/>
      <c r="M63" s="50"/>
      <c r="N63" s="50"/>
      <c r="O63" s="50"/>
      <c r="P63" s="50"/>
      <c r="Q63" s="50"/>
      <c r="R63" s="275"/>
    </row>
    <row r="64" spans="2:18" x14ac:dyDescent="0.3">
      <c r="B64" s="274"/>
      <c r="C64" s="50"/>
      <c r="D64" s="50"/>
      <c r="E64" s="50"/>
      <c r="F64" s="50"/>
      <c r="G64" s="50"/>
      <c r="H64" s="50"/>
      <c r="I64" s="275"/>
      <c r="K64" s="274"/>
      <c r="L64" s="50"/>
      <c r="M64" s="50"/>
      <c r="N64" s="50"/>
      <c r="O64" s="50"/>
      <c r="P64" s="50"/>
      <c r="Q64" s="50"/>
      <c r="R64" s="275"/>
    </row>
    <row r="65" spans="2:18" x14ac:dyDescent="0.3">
      <c r="B65" s="274"/>
      <c r="C65" s="50"/>
      <c r="D65" s="50"/>
      <c r="E65" s="50"/>
      <c r="F65" s="50"/>
      <c r="G65" s="50"/>
      <c r="H65" s="50"/>
      <c r="I65" s="275"/>
      <c r="K65" s="274"/>
      <c r="L65" s="50"/>
      <c r="M65" s="50"/>
      <c r="N65" s="50"/>
      <c r="O65" s="50"/>
      <c r="P65" s="50"/>
      <c r="Q65" s="50"/>
      <c r="R65" s="275"/>
    </row>
    <row r="66" spans="2:18" x14ac:dyDescent="0.3">
      <c r="B66" s="274"/>
      <c r="C66" s="50"/>
      <c r="D66" s="50"/>
      <c r="E66" s="50"/>
      <c r="F66" s="50"/>
      <c r="G66" s="50"/>
      <c r="H66" s="50"/>
      <c r="I66" s="275"/>
      <c r="K66" s="274"/>
      <c r="L66" s="50"/>
      <c r="M66" s="50"/>
      <c r="N66" s="50"/>
      <c r="O66" s="50"/>
      <c r="P66" s="50"/>
      <c r="Q66" s="50"/>
      <c r="R66" s="275"/>
    </row>
    <row r="67" spans="2:18" x14ac:dyDescent="0.3">
      <c r="B67" s="274"/>
      <c r="C67" s="50"/>
      <c r="D67" s="50"/>
      <c r="E67" s="50"/>
      <c r="F67" s="50"/>
      <c r="G67" s="50"/>
      <c r="H67" s="50"/>
      <c r="I67" s="275"/>
      <c r="K67" s="274"/>
      <c r="L67" s="50"/>
      <c r="M67" s="50"/>
      <c r="N67" s="50"/>
      <c r="O67" s="50"/>
      <c r="P67" s="50"/>
      <c r="Q67" s="50"/>
      <c r="R67" s="275"/>
    </row>
    <row r="68" spans="2:18" x14ac:dyDescent="0.3">
      <c r="B68" s="274"/>
      <c r="C68" s="50"/>
      <c r="D68" s="50"/>
      <c r="E68" s="50"/>
      <c r="F68" s="50"/>
      <c r="G68" s="50"/>
      <c r="H68" s="50"/>
      <c r="I68" s="275"/>
      <c r="K68" s="274"/>
      <c r="L68" s="50"/>
      <c r="M68" s="50"/>
      <c r="N68" s="50"/>
      <c r="O68" s="50"/>
      <c r="P68" s="50"/>
      <c r="Q68" s="50"/>
      <c r="R68" s="275"/>
    </row>
    <row r="69" spans="2:18" x14ac:dyDescent="0.3">
      <c r="B69" s="274"/>
      <c r="C69" s="50"/>
      <c r="D69" s="50"/>
      <c r="E69" s="50"/>
      <c r="F69" s="50"/>
      <c r="G69" s="50"/>
      <c r="H69" s="50"/>
      <c r="I69" s="275"/>
      <c r="K69" s="274"/>
      <c r="L69" s="50"/>
      <c r="M69" s="50"/>
      <c r="N69" s="50"/>
      <c r="O69" s="50"/>
      <c r="P69" s="50"/>
      <c r="Q69" s="50"/>
      <c r="R69" s="275"/>
    </row>
    <row r="70" spans="2:18" x14ac:dyDescent="0.3">
      <c r="B70" s="274"/>
      <c r="C70" s="50"/>
      <c r="D70" s="50"/>
      <c r="E70" s="50"/>
      <c r="F70" s="50"/>
      <c r="G70" s="50"/>
      <c r="H70" s="50"/>
      <c r="I70" s="275"/>
      <c r="K70" s="274"/>
      <c r="L70" s="50"/>
      <c r="M70" s="50"/>
      <c r="N70" s="50"/>
      <c r="O70" s="50"/>
      <c r="P70" s="50"/>
      <c r="Q70" s="50"/>
      <c r="R70" s="275"/>
    </row>
    <row r="71" spans="2:18" x14ac:dyDescent="0.3">
      <c r="B71" s="274"/>
      <c r="C71" s="50"/>
      <c r="D71" s="50"/>
      <c r="E71" s="50"/>
      <c r="F71" s="50"/>
      <c r="G71" s="50"/>
      <c r="H71" s="50"/>
      <c r="I71" s="275"/>
      <c r="K71" s="274"/>
      <c r="L71" s="50"/>
      <c r="M71" s="50"/>
      <c r="N71" s="50"/>
      <c r="O71" s="50"/>
      <c r="P71" s="50"/>
      <c r="Q71" s="50"/>
      <c r="R71" s="275"/>
    </row>
    <row r="72" spans="2:18" x14ac:dyDescent="0.3">
      <c r="B72" s="274"/>
      <c r="C72" s="50"/>
      <c r="D72" s="50"/>
      <c r="E72" s="50"/>
      <c r="F72" s="50"/>
      <c r="G72" s="50"/>
      <c r="H72" s="50"/>
      <c r="I72" s="275"/>
      <c r="K72" s="274"/>
      <c r="L72" s="50"/>
      <c r="M72" s="50"/>
      <c r="N72" s="50"/>
      <c r="O72" s="50"/>
      <c r="P72" s="50"/>
      <c r="Q72" s="50"/>
      <c r="R72" s="275"/>
    </row>
    <row r="73" spans="2:18" x14ac:dyDescent="0.3">
      <c r="B73" s="276"/>
      <c r="C73" s="25"/>
      <c r="D73" s="25"/>
      <c r="E73" s="25"/>
      <c r="F73" s="25"/>
      <c r="G73" s="25"/>
      <c r="H73" s="25"/>
      <c r="I73" s="277"/>
      <c r="K73" s="276"/>
      <c r="L73" s="25"/>
      <c r="M73" s="25"/>
      <c r="N73" s="25"/>
      <c r="O73" s="25"/>
      <c r="P73" s="25"/>
      <c r="Q73" s="25"/>
      <c r="R73" s="277"/>
    </row>
    <row r="76" spans="2:18" x14ac:dyDescent="0.3">
      <c r="B76" s="94" t="str">
        <f>+"2022 EPS Accretion: "&amp;TEXT('Control Panel'!$H$14,"0%")&amp;" Acquisition Premium; "&amp;TEXT('Control Panel'!$H$18,"0%")&amp;" Debt Financing"</f>
        <v>2022 EPS Accretion: 0% Acquisition Premium; 0% Debt Financing</v>
      </c>
      <c r="C76" s="94"/>
      <c r="D76" s="94"/>
      <c r="E76" s="94"/>
      <c r="F76" s="95"/>
      <c r="G76" s="95"/>
      <c r="H76" s="95"/>
      <c r="I76" s="95"/>
      <c r="J76" s="80"/>
      <c r="K76" s="94" t="str">
        <f>+"2022 CFPS Accretion: "&amp;TEXT('Control Panel'!$H$14,"0%")&amp;" Acquisition Premium; "&amp;TEXT('Control Panel'!$H$18,"0%")&amp;" Debt Financing"</f>
        <v>2022 CFPS Accretion: 0% Acquisition Premium; 0% Debt Financing</v>
      </c>
      <c r="L76" s="94"/>
      <c r="M76" s="94"/>
      <c r="N76" s="94"/>
      <c r="O76" s="95"/>
      <c r="P76" s="95"/>
      <c r="Q76" s="95"/>
      <c r="R76" s="95"/>
    </row>
    <row r="78" spans="2:18" x14ac:dyDescent="0.3">
      <c r="C78" s="157"/>
      <c r="D78" s="157"/>
      <c r="E78" s="157"/>
      <c r="F78" s="157"/>
      <c r="G78" s="157"/>
      <c r="H78" s="157"/>
      <c r="I78" s="157"/>
      <c r="L78" s="157"/>
      <c r="M78" s="157"/>
      <c r="N78" s="157"/>
      <c r="O78" s="157"/>
      <c r="P78" s="157"/>
      <c r="Q78" s="157"/>
      <c r="R78" s="157"/>
    </row>
    <row r="79" spans="2:18" outlineLevel="1" x14ac:dyDescent="0.3">
      <c r="C79" s="25"/>
      <c r="D79" s="25"/>
      <c r="E79" s="25"/>
      <c r="F79" s="25"/>
      <c r="G79" s="25"/>
      <c r="H79" s="25"/>
      <c r="I79" s="25"/>
      <c r="L79" s="25"/>
      <c r="M79" s="25"/>
      <c r="N79" s="25"/>
      <c r="O79" s="25"/>
      <c r="P79" s="25"/>
      <c r="Q79" s="25"/>
      <c r="R79" s="25"/>
    </row>
    <row r="80" spans="2:18" x14ac:dyDescent="0.3">
      <c r="B80" s="278"/>
      <c r="C80" s="152"/>
      <c r="D80" s="152"/>
      <c r="E80" s="152"/>
      <c r="F80" s="152"/>
      <c r="G80" s="152"/>
      <c r="H80" s="152"/>
      <c r="I80" s="152"/>
      <c r="K80" s="278"/>
      <c r="L80" s="152"/>
      <c r="M80" s="152"/>
      <c r="N80" s="152"/>
      <c r="O80" s="152"/>
      <c r="P80" s="152"/>
      <c r="Q80" s="152"/>
      <c r="R80" s="152"/>
    </row>
    <row r="81" spans="2:18" x14ac:dyDescent="0.3">
      <c r="B81" s="278"/>
      <c r="C81" s="152"/>
      <c r="D81" s="152"/>
      <c r="E81" s="152"/>
      <c r="F81" s="152"/>
      <c r="G81" s="152"/>
      <c r="H81" s="152"/>
      <c r="L81" s="278"/>
      <c r="M81" s="152"/>
      <c r="N81" s="152"/>
      <c r="O81" s="152"/>
      <c r="P81" s="152"/>
      <c r="Q81" s="152"/>
      <c r="R81" s="152"/>
    </row>
    <row r="82" spans="2:18" x14ac:dyDescent="0.3">
      <c r="B82" s="278"/>
      <c r="C82" s="289"/>
      <c r="D82" s="289"/>
      <c r="E82" s="289"/>
      <c r="F82" s="289"/>
      <c r="G82" s="289"/>
      <c r="H82" s="289"/>
      <c r="I82" s="289"/>
      <c r="J82" s="40"/>
      <c r="K82" s="40"/>
      <c r="L82" s="289"/>
      <c r="M82" s="289"/>
      <c r="N82" s="289"/>
      <c r="O82" s="289"/>
      <c r="P82" s="289"/>
      <c r="Q82" s="289"/>
      <c r="R82" s="289"/>
    </row>
    <row r="83" spans="2:18" x14ac:dyDescent="0.3">
      <c r="B83" s="278"/>
      <c r="C83" s="290"/>
      <c r="D83" s="290"/>
      <c r="E83" s="290"/>
      <c r="F83" s="290"/>
      <c r="G83" s="290"/>
      <c r="H83" s="290"/>
      <c r="I83" s="290"/>
      <c r="J83" s="40"/>
      <c r="K83" s="278"/>
      <c r="L83" s="290"/>
      <c r="M83" s="290"/>
      <c r="N83" s="290"/>
      <c r="O83" s="290"/>
      <c r="P83" s="290"/>
      <c r="Q83" s="290"/>
      <c r="R83" s="290"/>
    </row>
    <row r="85" spans="2:18" x14ac:dyDescent="0.3">
      <c r="B85" s="272"/>
      <c r="C85" s="37"/>
      <c r="D85" s="37"/>
      <c r="E85" s="37"/>
      <c r="F85" s="37"/>
      <c r="G85" s="37"/>
      <c r="H85" s="37"/>
      <c r="I85" s="273"/>
      <c r="K85" s="272"/>
      <c r="L85" s="37"/>
      <c r="M85" s="37"/>
      <c r="N85" s="37"/>
      <c r="O85" s="37"/>
      <c r="P85" s="37"/>
      <c r="Q85" s="37"/>
      <c r="R85" s="273"/>
    </row>
    <row r="86" spans="2:18" x14ac:dyDescent="0.3">
      <c r="B86" s="274"/>
      <c r="C86" s="50"/>
      <c r="D86" s="50"/>
      <c r="E86" s="50"/>
      <c r="F86" s="50"/>
      <c r="G86" s="50"/>
      <c r="H86" s="50"/>
      <c r="I86" s="275"/>
      <c r="K86" s="274"/>
      <c r="L86" s="50"/>
      <c r="M86" s="50"/>
      <c r="N86" s="50"/>
      <c r="O86" s="50"/>
      <c r="P86" s="50"/>
      <c r="Q86" s="50"/>
      <c r="R86" s="275"/>
    </row>
    <row r="87" spans="2:18" x14ac:dyDescent="0.3">
      <c r="B87" s="274"/>
      <c r="C87" s="50"/>
      <c r="D87" s="50"/>
      <c r="E87" s="50"/>
      <c r="F87" s="50"/>
      <c r="G87" s="50"/>
      <c r="H87" s="50"/>
      <c r="I87" s="275"/>
      <c r="K87" s="274"/>
      <c r="L87" s="50"/>
      <c r="M87" s="50"/>
      <c r="N87" s="50"/>
      <c r="O87" s="50"/>
      <c r="P87" s="50"/>
      <c r="Q87" s="50"/>
      <c r="R87" s="275"/>
    </row>
    <row r="88" spans="2:18" x14ac:dyDescent="0.3">
      <c r="B88" s="274"/>
      <c r="C88" s="50"/>
      <c r="D88" s="50"/>
      <c r="E88" s="50"/>
      <c r="F88" s="50"/>
      <c r="G88" s="50"/>
      <c r="H88" s="50"/>
      <c r="I88" s="275"/>
      <c r="K88" s="274"/>
      <c r="L88" s="50"/>
      <c r="M88" s="50"/>
      <c r="N88" s="50"/>
      <c r="O88" s="50"/>
      <c r="P88" s="50"/>
      <c r="Q88" s="50"/>
      <c r="R88" s="275"/>
    </row>
    <row r="89" spans="2:18" x14ac:dyDescent="0.3">
      <c r="B89" s="274"/>
      <c r="C89" s="50"/>
      <c r="D89" s="50"/>
      <c r="E89" s="50"/>
      <c r="F89" s="50"/>
      <c r="G89" s="50"/>
      <c r="H89" s="50"/>
      <c r="I89" s="275"/>
      <c r="K89" s="274"/>
      <c r="L89" s="50"/>
      <c r="M89" s="50"/>
      <c r="N89" s="50"/>
      <c r="O89" s="50"/>
      <c r="P89" s="50"/>
      <c r="Q89" s="50"/>
      <c r="R89" s="275"/>
    </row>
    <row r="90" spans="2:18" x14ac:dyDescent="0.3">
      <c r="B90" s="274"/>
      <c r="C90" s="50"/>
      <c r="D90" s="50"/>
      <c r="E90" s="50"/>
      <c r="F90" s="50"/>
      <c r="G90" s="50"/>
      <c r="H90" s="50"/>
      <c r="I90" s="275"/>
      <c r="K90" s="274"/>
      <c r="L90" s="50"/>
      <c r="M90" s="50"/>
      <c r="N90" s="50"/>
      <c r="O90" s="50"/>
      <c r="P90" s="50"/>
      <c r="Q90" s="50"/>
      <c r="R90" s="275"/>
    </row>
    <row r="91" spans="2:18" x14ac:dyDescent="0.3">
      <c r="B91" s="274"/>
      <c r="C91" s="50"/>
      <c r="D91" s="50"/>
      <c r="E91" s="50"/>
      <c r="F91" s="50"/>
      <c r="G91" s="50"/>
      <c r="H91" s="50"/>
      <c r="I91" s="275"/>
      <c r="K91" s="274"/>
      <c r="L91" s="50"/>
      <c r="M91" s="50"/>
      <c r="N91" s="50"/>
      <c r="O91" s="50"/>
      <c r="P91" s="50"/>
      <c r="Q91" s="50"/>
      <c r="R91" s="275"/>
    </row>
    <row r="92" spans="2:18" x14ac:dyDescent="0.3">
      <c r="B92" s="274"/>
      <c r="C92" s="50"/>
      <c r="D92" s="50"/>
      <c r="E92" s="50"/>
      <c r="F92" s="50"/>
      <c r="G92" s="50"/>
      <c r="H92" s="50"/>
      <c r="I92" s="275"/>
      <c r="K92" s="274"/>
      <c r="L92" s="50"/>
      <c r="M92" s="50"/>
      <c r="N92" s="50"/>
      <c r="O92" s="50"/>
      <c r="P92" s="50"/>
      <c r="Q92" s="50"/>
      <c r="R92" s="275"/>
    </row>
    <row r="93" spans="2:18" x14ac:dyDescent="0.3">
      <c r="B93" s="274"/>
      <c r="C93" s="50"/>
      <c r="D93" s="50"/>
      <c r="E93" s="50"/>
      <c r="F93" s="50"/>
      <c r="G93" s="50"/>
      <c r="H93" s="50"/>
      <c r="I93" s="275"/>
      <c r="K93" s="274"/>
      <c r="L93" s="50"/>
      <c r="M93" s="50"/>
      <c r="N93" s="50"/>
      <c r="O93" s="50"/>
      <c r="P93" s="50"/>
      <c r="Q93" s="50"/>
      <c r="R93" s="275"/>
    </row>
    <row r="94" spans="2:18" x14ac:dyDescent="0.3">
      <c r="B94" s="274"/>
      <c r="C94" s="50"/>
      <c r="D94" s="50"/>
      <c r="E94" s="50"/>
      <c r="F94" s="50"/>
      <c r="G94" s="50"/>
      <c r="H94" s="50"/>
      <c r="I94" s="275"/>
      <c r="K94" s="274"/>
      <c r="L94" s="50"/>
      <c r="M94" s="50"/>
      <c r="N94" s="50"/>
      <c r="O94" s="50"/>
      <c r="P94" s="50"/>
      <c r="Q94" s="50"/>
      <c r="R94" s="275"/>
    </row>
    <row r="95" spans="2:18" x14ac:dyDescent="0.3">
      <c r="B95" s="274"/>
      <c r="C95" s="50"/>
      <c r="D95" s="50"/>
      <c r="E95" s="50"/>
      <c r="F95" s="50"/>
      <c r="G95" s="50"/>
      <c r="H95" s="50"/>
      <c r="I95" s="275"/>
      <c r="K95" s="274"/>
      <c r="L95" s="50"/>
      <c r="M95" s="50"/>
      <c r="N95" s="50"/>
      <c r="O95" s="50"/>
      <c r="P95" s="50"/>
      <c r="Q95" s="50"/>
      <c r="R95" s="275"/>
    </row>
    <row r="96" spans="2:18" x14ac:dyDescent="0.3">
      <c r="B96" s="274"/>
      <c r="C96" s="50"/>
      <c r="D96" s="50"/>
      <c r="E96" s="50"/>
      <c r="F96" s="50"/>
      <c r="G96" s="50"/>
      <c r="H96" s="50"/>
      <c r="I96" s="275"/>
      <c r="K96" s="274"/>
      <c r="L96" s="50"/>
      <c r="M96" s="50"/>
      <c r="N96" s="50"/>
      <c r="O96" s="50"/>
      <c r="P96" s="50"/>
      <c r="Q96" s="50"/>
      <c r="R96" s="275"/>
    </row>
    <row r="97" spans="2:18" x14ac:dyDescent="0.3">
      <c r="B97" s="274"/>
      <c r="C97" s="50"/>
      <c r="D97" s="50"/>
      <c r="E97" s="50"/>
      <c r="F97" s="50"/>
      <c r="G97" s="50"/>
      <c r="H97" s="50"/>
      <c r="I97" s="275"/>
      <c r="K97" s="274"/>
      <c r="L97" s="50"/>
      <c r="M97" s="50"/>
      <c r="N97" s="50"/>
      <c r="O97" s="50"/>
      <c r="P97" s="50"/>
      <c r="Q97" s="50"/>
      <c r="R97" s="275"/>
    </row>
    <row r="98" spans="2:18" x14ac:dyDescent="0.3">
      <c r="B98" s="276"/>
      <c r="C98" s="25"/>
      <c r="D98" s="25"/>
      <c r="E98" s="25"/>
      <c r="F98" s="25"/>
      <c r="G98" s="25"/>
      <c r="H98" s="25"/>
      <c r="I98" s="277"/>
      <c r="K98" s="276"/>
      <c r="L98" s="25"/>
      <c r="M98" s="25"/>
      <c r="N98" s="25"/>
      <c r="O98" s="25"/>
      <c r="P98" s="25"/>
      <c r="Q98" s="25"/>
      <c r="R98" s="277"/>
    </row>
  </sheetData>
  <sortState xmlns:xlrd2="http://schemas.microsoft.com/office/spreadsheetml/2017/richdata2" columnSort="1" ref="L82:R83">
    <sortCondition ref="L83:R83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1C7A-248B-4CD3-865A-27FE7EFC0D45}">
  <dimension ref="A1:N137"/>
  <sheetViews>
    <sheetView showGridLines="0" workbookViewId="0">
      <pane ySplit="3" topLeftCell="A4" activePane="bottomLeft" state="frozen"/>
      <selection activeCell="L66" sqref="L66"/>
      <selection pane="bottomLeft" activeCell="A4" sqref="A4"/>
    </sheetView>
  </sheetViews>
  <sheetFormatPr defaultColWidth="10.7265625" defaultRowHeight="14" x14ac:dyDescent="0.3"/>
  <cols>
    <col min="1" max="1" width="5.7265625" style="18" customWidth="1"/>
    <col min="2" max="2" width="25.7265625" style="18" customWidth="1"/>
    <col min="3" max="5" width="10.7265625" style="18"/>
    <col min="6" max="6" width="15.7265625" style="18" customWidth="1"/>
    <col min="7" max="7" width="1.7265625" style="18" customWidth="1"/>
    <col min="8" max="8" width="15.7265625" style="18" customWidth="1"/>
    <col min="9" max="9" width="1.7265625" style="18" customWidth="1"/>
    <col min="10" max="10" width="15.7265625" style="18" customWidth="1"/>
    <col min="11" max="11" width="1.7265625" style="18" customWidth="1"/>
    <col min="12" max="12" width="15.7265625" style="18" customWidth="1"/>
    <col min="13" max="16384" width="10.7265625" style="18"/>
  </cols>
  <sheetData>
    <row r="1" spans="1:12" x14ac:dyDescent="0.3">
      <c r="A1" s="21" t="s">
        <v>18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s="2" customFormat="1" ht="18" x14ac:dyDescent="0.3">
      <c r="A2" s="15" t="s">
        <v>191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x14ac:dyDescent="0.3">
      <c r="A3" s="22" t="s">
        <v>83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6" spans="1:12" ht="15.5" x14ac:dyDescent="0.35">
      <c r="B6" s="90" t="s">
        <v>84</v>
      </c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1:12" ht="5.25" customHeight="1" x14ac:dyDescent="0.3">
      <c r="A7" s="41"/>
      <c r="B7" s="71"/>
      <c r="C7" s="72"/>
      <c r="D7" s="73"/>
      <c r="E7" s="68"/>
      <c r="F7" s="83"/>
      <c r="H7" s="80"/>
      <c r="I7" s="65"/>
      <c r="J7" s="61"/>
    </row>
    <row r="9" spans="1:12" x14ac:dyDescent="0.3">
      <c r="J9" s="130"/>
      <c r="K9" s="28"/>
      <c r="L9" s="130"/>
    </row>
    <row r="10" spans="1:12" ht="5.25" customHeight="1" x14ac:dyDescent="0.3"/>
    <row r="11" spans="1:12" x14ac:dyDescent="0.3">
      <c r="B11" s="18" t="s">
        <v>31</v>
      </c>
      <c r="J11" s="119"/>
      <c r="K11" s="117"/>
      <c r="L11" s="119"/>
    </row>
    <row r="12" spans="1:12" x14ac:dyDescent="0.3">
      <c r="B12" s="18" t="s">
        <v>32</v>
      </c>
      <c r="J12" s="174"/>
      <c r="K12" s="169"/>
      <c r="L12" s="174"/>
    </row>
    <row r="13" spans="1:12" x14ac:dyDescent="0.3">
      <c r="B13" s="18" t="s">
        <v>93</v>
      </c>
      <c r="J13" s="174"/>
      <c r="K13" s="169"/>
      <c r="L13" s="174"/>
    </row>
    <row r="14" spans="1:12" x14ac:dyDescent="0.3">
      <c r="B14" s="51" t="s">
        <v>22</v>
      </c>
      <c r="C14" s="51"/>
      <c r="D14" s="51"/>
      <c r="E14" s="51"/>
      <c r="F14" s="51"/>
      <c r="G14" s="51"/>
      <c r="H14" s="51"/>
      <c r="I14" s="51"/>
      <c r="J14" s="124"/>
      <c r="K14" s="51"/>
      <c r="L14" s="124"/>
    </row>
    <row r="15" spans="1:12" x14ac:dyDescent="0.3">
      <c r="B15" s="18" t="s">
        <v>94</v>
      </c>
      <c r="J15" s="121"/>
      <c r="L15" s="121"/>
    </row>
    <row r="16" spans="1:12" s="41" customFormat="1" x14ac:dyDescent="0.3">
      <c r="B16" s="41" t="s">
        <v>23</v>
      </c>
      <c r="J16" s="159"/>
      <c r="K16" s="160"/>
      <c r="L16" s="159"/>
    </row>
    <row r="17" spans="1:12" x14ac:dyDescent="0.3">
      <c r="B17" s="51" t="s">
        <v>25</v>
      </c>
      <c r="C17" s="51"/>
      <c r="D17" s="51"/>
      <c r="E17" s="51"/>
      <c r="F17" s="51"/>
      <c r="G17" s="51"/>
      <c r="H17" s="51"/>
      <c r="I17" s="51"/>
      <c r="J17" s="134"/>
      <c r="K17" s="135"/>
      <c r="L17" s="134"/>
    </row>
    <row r="20" spans="1:12" ht="15.5" x14ac:dyDescent="0.35">
      <c r="B20" s="90" t="s">
        <v>85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</row>
    <row r="21" spans="1:12" ht="5.25" customHeight="1" x14ac:dyDescent="0.3">
      <c r="A21" s="41"/>
      <c r="B21" s="71"/>
      <c r="C21" s="72"/>
      <c r="D21" s="73"/>
      <c r="E21" s="68"/>
      <c r="F21" s="83"/>
      <c r="H21" s="80"/>
      <c r="I21" s="65"/>
      <c r="J21" s="61"/>
    </row>
    <row r="22" spans="1:12" x14ac:dyDescent="0.3">
      <c r="K22" s="115"/>
      <c r="L22" s="130"/>
    </row>
    <row r="23" spans="1:12" ht="5.25" customHeight="1" x14ac:dyDescent="0.3"/>
    <row r="24" spans="1:12" x14ac:dyDescent="0.3">
      <c r="B24" s="18" t="s">
        <v>74</v>
      </c>
      <c r="L24" s="122"/>
    </row>
    <row r="25" spans="1:12" x14ac:dyDescent="0.3">
      <c r="B25" s="51" t="s">
        <v>46</v>
      </c>
      <c r="C25" s="37"/>
      <c r="D25" s="37"/>
      <c r="E25" s="37"/>
      <c r="F25" s="37"/>
      <c r="G25" s="37"/>
      <c r="H25" s="37"/>
      <c r="I25" s="37"/>
      <c r="J25" s="37"/>
      <c r="K25" s="37"/>
      <c r="L25" s="125"/>
    </row>
    <row r="27" spans="1:12" x14ac:dyDescent="0.3">
      <c r="B27" s="18" t="s">
        <v>47</v>
      </c>
      <c r="L27" s="307"/>
    </row>
    <row r="29" spans="1:12" x14ac:dyDescent="0.3">
      <c r="B29" s="19" t="s">
        <v>44</v>
      </c>
      <c r="C29" s="19"/>
      <c r="D29" s="19"/>
      <c r="E29" s="19"/>
      <c r="F29" s="19"/>
      <c r="G29" s="19"/>
      <c r="H29" s="19"/>
      <c r="I29" s="19"/>
      <c r="J29" s="19"/>
      <c r="K29" s="19"/>
      <c r="L29" s="126"/>
    </row>
    <row r="30" spans="1:12" x14ac:dyDescent="0.3">
      <c r="B30" s="18" t="s">
        <v>48</v>
      </c>
      <c r="L30" s="118"/>
    </row>
    <row r="31" spans="1:12" x14ac:dyDescent="0.3">
      <c r="B31" s="18" t="s">
        <v>224</v>
      </c>
      <c r="L31" s="118"/>
    </row>
    <row r="32" spans="1:12" x14ac:dyDescent="0.3">
      <c r="B32" s="51" t="s">
        <v>114</v>
      </c>
      <c r="C32" s="37"/>
      <c r="D32" s="37"/>
      <c r="E32" s="37"/>
      <c r="F32" s="37"/>
      <c r="G32" s="37"/>
      <c r="H32" s="37"/>
      <c r="I32" s="37"/>
      <c r="J32" s="37"/>
      <c r="K32" s="37"/>
      <c r="L32" s="124"/>
    </row>
    <row r="33" spans="1:12" x14ac:dyDescent="0.3">
      <c r="C33" s="339" t="s">
        <v>256</v>
      </c>
    </row>
    <row r="34" spans="1:12" x14ac:dyDescent="0.3">
      <c r="B34" s="18" t="s">
        <v>51</v>
      </c>
      <c r="C34" s="128"/>
      <c r="L34" s="118"/>
    </row>
    <row r="35" spans="1:12" x14ac:dyDescent="0.3">
      <c r="B35" s="18" t="s">
        <v>55</v>
      </c>
      <c r="C35" s="128"/>
      <c r="L35" s="118"/>
    </row>
    <row r="37" spans="1:12" x14ac:dyDescent="0.3">
      <c r="B37" s="18" t="s">
        <v>225</v>
      </c>
      <c r="L37" s="120"/>
    </row>
    <row r="38" spans="1:12" x14ac:dyDescent="0.3">
      <c r="B38" s="18" t="s">
        <v>42</v>
      </c>
      <c r="L38" s="118"/>
    </row>
    <row r="39" spans="1:12" x14ac:dyDescent="0.3">
      <c r="B39" s="18" t="s">
        <v>43</v>
      </c>
      <c r="L39" s="118"/>
    </row>
    <row r="40" spans="1:12" x14ac:dyDescent="0.3">
      <c r="B40" s="18" t="s">
        <v>58</v>
      </c>
      <c r="L40" s="89"/>
    </row>
    <row r="41" spans="1:12" x14ac:dyDescent="0.3">
      <c r="B41" s="51" t="s">
        <v>95</v>
      </c>
      <c r="C41" s="51"/>
      <c r="D41" s="51"/>
      <c r="E41" s="51"/>
      <c r="F41" s="51"/>
      <c r="G41" s="51"/>
      <c r="H41" s="51"/>
      <c r="I41" s="51"/>
      <c r="J41" s="51"/>
      <c r="K41" s="51"/>
      <c r="L41" s="127"/>
    </row>
    <row r="44" spans="1:12" ht="15.5" x14ac:dyDescent="0.35">
      <c r="B44" s="91" t="s">
        <v>202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</row>
    <row r="45" spans="1:12" ht="5.25" customHeight="1" x14ac:dyDescent="0.3">
      <c r="A45" s="41"/>
      <c r="B45" s="71"/>
      <c r="C45" s="72"/>
      <c r="D45" s="73"/>
      <c r="E45" s="68"/>
      <c r="F45" s="83"/>
      <c r="H45" s="80"/>
      <c r="I45" s="65"/>
      <c r="J45" s="61"/>
    </row>
    <row r="46" spans="1:12" x14ac:dyDescent="0.3">
      <c r="K46" s="115"/>
      <c r="L46" s="130"/>
    </row>
    <row r="47" spans="1:12" ht="5.25" customHeight="1" x14ac:dyDescent="0.3"/>
    <row r="48" spans="1:12" x14ac:dyDescent="0.3">
      <c r="B48" s="43" t="s">
        <v>64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</row>
    <row r="49" spans="2:12" x14ac:dyDescent="0.3">
      <c r="B49" s="18" t="s">
        <v>44</v>
      </c>
      <c r="L49" s="118"/>
    </row>
    <row r="50" spans="2:12" s="41" customFormat="1" x14ac:dyDescent="0.3">
      <c r="B50" s="41" t="s">
        <v>226</v>
      </c>
      <c r="L50" s="185"/>
    </row>
    <row r="51" spans="2:12" x14ac:dyDescent="0.3">
      <c r="B51" s="51" t="s">
        <v>98</v>
      </c>
      <c r="C51" s="51"/>
      <c r="D51" s="51"/>
      <c r="E51" s="51"/>
      <c r="F51" s="51"/>
      <c r="G51" s="51"/>
      <c r="H51" s="51"/>
      <c r="I51" s="51"/>
      <c r="J51" s="51"/>
      <c r="K51" s="51"/>
      <c r="L51" s="124"/>
    </row>
    <row r="52" spans="2:12" x14ac:dyDescent="0.3"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2"/>
    </row>
    <row r="54" spans="2:12" x14ac:dyDescent="0.3">
      <c r="B54" s="43" t="s">
        <v>101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</row>
    <row r="55" spans="2:12" x14ac:dyDescent="0.3">
      <c r="B55" s="18" t="s">
        <v>100</v>
      </c>
      <c r="L55" s="89"/>
    </row>
    <row r="56" spans="2:12" x14ac:dyDescent="0.3">
      <c r="B56" s="18" t="s">
        <v>99</v>
      </c>
      <c r="L56" s="118"/>
    </row>
    <row r="57" spans="2:12" x14ac:dyDescent="0.3">
      <c r="B57" s="51" t="s">
        <v>101</v>
      </c>
      <c r="C57" s="51"/>
      <c r="D57" s="51"/>
      <c r="E57" s="51"/>
      <c r="F57" s="51"/>
      <c r="G57" s="51"/>
      <c r="H57" s="51"/>
      <c r="I57" s="51"/>
      <c r="J57" s="51"/>
      <c r="K57" s="51"/>
      <c r="L57" s="124"/>
    </row>
    <row r="58" spans="2:12" x14ac:dyDescent="0.3"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2"/>
    </row>
    <row r="60" spans="2:12" x14ac:dyDescent="0.3">
      <c r="B60" s="43" t="s">
        <v>211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</row>
    <row r="61" spans="2:12" x14ac:dyDescent="0.3">
      <c r="B61" s="50" t="s">
        <v>212</v>
      </c>
      <c r="C61" s="50"/>
      <c r="D61" s="50"/>
      <c r="E61" s="50"/>
      <c r="F61" s="50"/>
      <c r="G61" s="50"/>
      <c r="H61" s="50"/>
      <c r="I61" s="50"/>
      <c r="J61" s="50"/>
      <c r="K61" s="50"/>
      <c r="L61" s="300"/>
    </row>
    <row r="62" spans="2:12" x14ac:dyDescent="0.3">
      <c r="B62" s="25" t="s">
        <v>213</v>
      </c>
      <c r="C62" s="25"/>
      <c r="D62" s="25"/>
      <c r="E62" s="25"/>
      <c r="F62" s="25"/>
      <c r="G62" s="25"/>
      <c r="H62" s="25"/>
      <c r="I62" s="25"/>
      <c r="J62" s="25"/>
      <c r="K62" s="25"/>
      <c r="L62" s="301"/>
    </row>
    <row r="63" spans="2:12" x14ac:dyDescent="0.3">
      <c r="B63" s="50" t="s">
        <v>214</v>
      </c>
      <c r="C63" s="50"/>
      <c r="D63" s="50"/>
      <c r="E63" s="50"/>
      <c r="F63" s="50"/>
      <c r="G63" s="50"/>
      <c r="H63" s="50"/>
      <c r="I63" s="50"/>
      <c r="J63" s="50"/>
      <c r="K63" s="50"/>
      <c r="L63" s="298"/>
    </row>
    <row r="64" spans="2:12" x14ac:dyDescent="0.3">
      <c r="B64" s="131"/>
      <c r="C64" s="50"/>
      <c r="D64" s="50"/>
      <c r="E64" s="50"/>
      <c r="F64" s="50"/>
      <c r="G64" s="50"/>
      <c r="H64" s="50"/>
      <c r="I64" s="50"/>
      <c r="J64" s="50"/>
      <c r="K64" s="50"/>
      <c r="L64" s="132"/>
    </row>
    <row r="65" spans="1:12" x14ac:dyDescent="0.3">
      <c r="B65" s="50" t="s">
        <v>101</v>
      </c>
      <c r="C65" s="50"/>
      <c r="D65" s="50"/>
      <c r="E65" s="50"/>
      <c r="F65" s="50"/>
      <c r="G65" s="50"/>
      <c r="H65" s="50"/>
      <c r="I65" s="50"/>
      <c r="J65" s="50"/>
      <c r="K65" s="50"/>
      <c r="L65" s="298"/>
    </row>
    <row r="66" spans="1:12" x14ac:dyDescent="0.3">
      <c r="B66" s="50" t="s">
        <v>215</v>
      </c>
      <c r="C66" s="50"/>
      <c r="D66" s="50"/>
      <c r="E66" s="50"/>
      <c r="F66" s="50"/>
      <c r="G66" s="50"/>
      <c r="H66" s="50"/>
      <c r="I66" s="50"/>
      <c r="J66" s="50"/>
      <c r="K66" s="50"/>
      <c r="L66" s="298"/>
    </row>
    <row r="67" spans="1:12" x14ac:dyDescent="0.3">
      <c r="B67" s="51" t="s">
        <v>216</v>
      </c>
      <c r="C67" s="37"/>
      <c r="D67" s="37"/>
      <c r="E67" s="37"/>
      <c r="F67" s="37"/>
      <c r="G67" s="37"/>
      <c r="H67" s="37"/>
      <c r="I67" s="37"/>
      <c r="J67" s="37"/>
      <c r="K67" s="37"/>
      <c r="L67" s="124"/>
    </row>
    <row r="68" spans="1:12" x14ac:dyDescent="0.3">
      <c r="B68" s="131"/>
      <c r="C68" s="50"/>
      <c r="D68" s="50"/>
      <c r="E68" s="50"/>
      <c r="F68" s="50"/>
      <c r="G68" s="50"/>
      <c r="H68" s="50"/>
      <c r="I68" s="50"/>
      <c r="J68" s="50"/>
      <c r="K68" s="50"/>
      <c r="L68" s="132"/>
    </row>
    <row r="70" spans="1:12" ht="15.5" x14ac:dyDescent="0.35">
      <c r="B70" s="90" t="s">
        <v>90</v>
      </c>
      <c r="C70" s="90"/>
      <c r="D70" s="90"/>
      <c r="E70" s="90"/>
      <c r="F70" s="90"/>
      <c r="G70" s="90"/>
      <c r="H70" s="90"/>
      <c r="I70" s="90"/>
      <c r="J70" s="90"/>
      <c r="K70" s="90"/>
      <c r="L70" s="90"/>
    </row>
    <row r="71" spans="1:12" ht="5.25" customHeight="1" x14ac:dyDescent="0.3">
      <c r="A71" s="41"/>
      <c r="B71" s="71"/>
      <c r="C71" s="72"/>
      <c r="D71" s="73"/>
      <c r="E71" s="68"/>
      <c r="F71" s="83"/>
      <c r="H71" s="80"/>
      <c r="I71" s="65"/>
      <c r="J71" s="61"/>
    </row>
    <row r="72" spans="1:12" x14ac:dyDescent="0.3">
      <c r="B72" s="43" t="s">
        <v>102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</row>
    <row r="73" spans="1:12" x14ac:dyDescent="0.3">
      <c r="B73" s="18" t="s">
        <v>103</v>
      </c>
      <c r="L73" s="89"/>
    </row>
    <row r="74" spans="1:12" x14ac:dyDescent="0.3">
      <c r="B74" s="18" t="s">
        <v>217</v>
      </c>
      <c r="L74" s="89"/>
    </row>
    <row r="75" spans="1:12" x14ac:dyDescent="0.3">
      <c r="B75" s="25" t="s">
        <v>218</v>
      </c>
      <c r="C75" s="25"/>
      <c r="D75" s="25"/>
      <c r="E75" s="25"/>
      <c r="F75" s="25"/>
      <c r="G75" s="25"/>
      <c r="H75" s="25"/>
      <c r="I75" s="25"/>
      <c r="J75" s="25"/>
      <c r="K75" s="25"/>
      <c r="L75" s="301"/>
    </row>
    <row r="76" spans="1:12" x14ac:dyDescent="0.3">
      <c r="B76" s="18" t="s">
        <v>219</v>
      </c>
      <c r="L76" s="118"/>
    </row>
    <row r="77" spans="1:12" x14ac:dyDescent="0.3">
      <c r="B77" s="18" t="s">
        <v>216</v>
      </c>
      <c r="L77" s="118"/>
    </row>
    <row r="78" spans="1:12" x14ac:dyDescent="0.3">
      <c r="B78" s="37" t="s">
        <v>220</v>
      </c>
      <c r="C78" s="37"/>
      <c r="D78" s="37"/>
      <c r="E78" s="37"/>
      <c r="F78" s="37"/>
      <c r="G78" s="37"/>
      <c r="H78" s="37"/>
      <c r="I78" s="37"/>
      <c r="J78" s="37"/>
      <c r="K78" s="37"/>
      <c r="L78" s="123"/>
    </row>
    <row r="79" spans="1:12" x14ac:dyDescent="0.3"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298"/>
    </row>
    <row r="80" spans="1:12" x14ac:dyDescent="0.3">
      <c r="B80" s="50" t="s">
        <v>221</v>
      </c>
      <c r="L80" s="118"/>
    </row>
    <row r="81" spans="2:12" x14ac:dyDescent="0.3">
      <c r="B81" s="19" t="s">
        <v>102</v>
      </c>
      <c r="C81" s="19"/>
      <c r="D81" s="19"/>
      <c r="E81" s="19"/>
      <c r="F81" s="19"/>
      <c r="G81" s="19"/>
      <c r="H81" s="19"/>
      <c r="I81" s="19"/>
      <c r="J81" s="19"/>
      <c r="K81" s="19"/>
      <c r="L81" s="248"/>
    </row>
    <row r="82" spans="2:12" x14ac:dyDescent="0.3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26"/>
    </row>
    <row r="84" spans="2:12" x14ac:dyDescent="0.3">
      <c r="B84" s="43" t="s">
        <v>104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</row>
    <row r="85" spans="2:12" x14ac:dyDescent="0.3">
      <c r="B85" s="18" t="s">
        <v>105</v>
      </c>
      <c r="L85" s="118"/>
    </row>
    <row r="86" spans="2:12" x14ac:dyDescent="0.3">
      <c r="B86" s="18" t="s">
        <v>71</v>
      </c>
      <c r="L86" s="205"/>
    </row>
    <row r="89" spans="2:12" x14ac:dyDescent="0.3">
      <c r="B89" s="43" t="s">
        <v>156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</row>
    <row r="90" spans="2:12" x14ac:dyDescent="0.3">
      <c r="B90" s="41" t="s">
        <v>102</v>
      </c>
      <c r="C90" s="41"/>
      <c r="D90" s="41"/>
      <c r="E90" s="41"/>
      <c r="F90" s="41"/>
      <c r="G90" s="41"/>
      <c r="H90" s="41"/>
      <c r="I90" s="41"/>
      <c r="J90" s="41"/>
      <c r="K90" s="41"/>
      <c r="L90" s="162"/>
    </row>
    <row r="91" spans="2:12" x14ac:dyDescent="0.3">
      <c r="B91" s="41" t="s">
        <v>153</v>
      </c>
      <c r="C91" s="41"/>
      <c r="D91" s="41"/>
      <c r="E91" s="41"/>
      <c r="F91" s="41"/>
      <c r="G91" s="41"/>
      <c r="H91" s="41"/>
      <c r="I91" s="41"/>
      <c r="J91" s="41"/>
      <c r="K91" s="41"/>
      <c r="L91" s="162"/>
    </row>
    <row r="92" spans="2:12" x14ac:dyDescent="0.3">
      <c r="B92" s="41" t="s">
        <v>154</v>
      </c>
      <c r="C92" s="41"/>
      <c r="D92" s="41"/>
      <c r="E92" s="41"/>
      <c r="F92" s="41"/>
      <c r="G92" s="41"/>
      <c r="H92" s="41"/>
      <c r="I92" s="41"/>
      <c r="J92" s="41"/>
      <c r="K92" s="41"/>
      <c r="L92" s="162"/>
    </row>
    <row r="93" spans="2:12" x14ac:dyDescent="0.3">
      <c r="B93" s="41" t="s">
        <v>76</v>
      </c>
      <c r="C93" s="41"/>
      <c r="D93" s="41"/>
      <c r="E93" s="41"/>
      <c r="F93" s="41"/>
      <c r="G93" s="41"/>
      <c r="H93" s="41"/>
      <c r="I93" s="41"/>
      <c r="J93" s="41"/>
      <c r="K93" s="41"/>
      <c r="L93" s="162"/>
    </row>
    <row r="94" spans="2:12" x14ac:dyDescent="0.3">
      <c r="B94" s="18" t="s">
        <v>225</v>
      </c>
      <c r="C94" s="41"/>
      <c r="D94" s="41"/>
      <c r="E94" s="41"/>
      <c r="F94" s="41"/>
      <c r="G94" s="41"/>
      <c r="H94" s="41"/>
      <c r="I94" s="41"/>
      <c r="J94" s="41"/>
      <c r="K94" s="41"/>
      <c r="L94" s="162"/>
    </row>
    <row r="95" spans="2:12" x14ac:dyDescent="0.3">
      <c r="B95" s="190" t="s">
        <v>155</v>
      </c>
      <c r="C95" s="190"/>
      <c r="D95" s="190"/>
      <c r="E95" s="41"/>
      <c r="F95" s="41"/>
      <c r="G95" s="41"/>
      <c r="H95" s="41"/>
      <c r="I95" s="41"/>
      <c r="J95" s="41"/>
      <c r="K95" s="41"/>
      <c r="L95" s="162"/>
    </row>
    <row r="96" spans="2:12" x14ac:dyDescent="0.3">
      <c r="B96" s="188" t="s">
        <v>157</v>
      </c>
      <c r="C96" s="188"/>
      <c r="D96" s="188"/>
      <c r="E96" s="191"/>
      <c r="F96" s="191"/>
      <c r="G96" s="191"/>
      <c r="H96" s="191"/>
      <c r="I96" s="191"/>
      <c r="J96" s="191"/>
      <c r="K96" s="191"/>
      <c r="L96" s="192"/>
    </row>
    <row r="97" spans="1:12" x14ac:dyDescent="0.3">
      <c r="B97" s="188"/>
      <c r="C97" s="188"/>
      <c r="D97" s="188"/>
      <c r="E97" s="81"/>
      <c r="F97" s="81"/>
      <c r="G97" s="81"/>
      <c r="H97" s="81"/>
      <c r="I97" s="81"/>
      <c r="J97" s="81"/>
      <c r="K97" s="81"/>
      <c r="L97" s="193"/>
    </row>
    <row r="98" spans="1:12" x14ac:dyDescent="0.3">
      <c r="B98" s="43" t="s">
        <v>201</v>
      </c>
      <c r="C98" s="42"/>
      <c r="D98" s="42"/>
      <c r="E98" s="42"/>
      <c r="F98" s="42"/>
      <c r="G98" s="42"/>
      <c r="H98" s="42"/>
      <c r="I98" s="42"/>
      <c r="J98" s="42"/>
      <c r="K98" s="42"/>
      <c r="L98" s="42"/>
    </row>
    <row r="99" spans="1:12" x14ac:dyDescent="0.3">
      <c r="B99" s="41" t="s">
        <v>102</v>
      </c>
      <c r="C99" s="41"/>
      <c r="D99" s="41"/>
      <c r="E99" s="41"/>
      <c r="F99" s="41"/>
      <c r="G99" s="41"/>
      <c r="H99" s="41"/>
      <c r="I99" s="41"/>
      <c r="J99" s="41"/>
      <c r="K99" s="41"/>
      <c r="L99" s="162"/>
    </row>
    <row r="100" spans="1:12" x14ac:dyDescent="0.3">
      <c r="B100" s="41" t="s">
        <v>153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162"/>
    </row>
    <row r="101" spans="1:12" x14ac:dyDescent="0.3">
      <c r="B101" s="41" t="s">
        <v>154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162"/>
    </row>
    <row r="102" spans="1:12" x14ac:dyDescent="0.3">
      <c r="B102" s="190" t="s">
        <v>155</v>
      </c>
      <c r="C102" s="190"/>
      <c r="D102" s="190"/>
      <c r="E102" s="41"/>
      <c r="F102" s="41"/>
      <c r="G102" s="41"/>
      <c r="H102" s="41"/>
      <c r="I102" s="41"/>
      <c r="J102" s="41"/>
      <c r="K102" s="41"/>
      <c r="L102" s="162"/>
    </row>
    <row r="103" spans="1:12" x14ac:dyDescent="0.3">
      <c r="B103" s="188" t="s">
        <v>157</v>
      </c>
      <c r="C103" s="188"/>
      <c r="D103" s="188"/>
      <c r="E103" s="191"/>
      <c r="F103" s="191"/>
      <c r="G103" s="191"/>
      <c r="H103" s="191"/>
      <c r="I103" s="191"/>
      <c r="J103" s="191"/>
      <c r="K103" s="191"/>
      <c r="L103" s="192"/>
    </row>
    <row r="104" spans="1:12" x14ac:dyDescent="0.3">
      <c r="B104" s="188"/>
      <c r="C104" s="188"/>
      <c r="D104" s="188"/>
      <c r="E104" s="81"/>
      <c r="F104" s="81"/>
      <c r="G104" s="81"/>
      <c r="H104" s="81"/>
      <c r="I104" s="81"/>
      <c r="J104" s="81"/>
      <c r="K104" s="81"/>
      <c r="L104" s="193"/>
    </row>
    <row r="105" spans="1:12" x14ac:dyDescent="0.3">
      <c r="B105" s="188"/>
      <c r="C105" s="188"/>
      <c r="D105" s="188"/>
      <c r="E105" s="81"/>
      <c r="F105" s="81"/>
      <c r="G105" s="81"/>
      <c r="H105" s="81"/>
      <c r="I105" s="81"/>
      <c r="J105" s="81"/>
      <c r="K105" s="81"/>
      <c r="L105" s="193"/>
    </row>
    <row r="106" spans="1:12" ht="15.5" x14ac:dyDescent="0.35">
      <c r="B106" s="90" t="s">
        <v>88</v>
      </c>
      <c r="C106" s="90"/>
      <c r="D106" s="90"/>
      <c r="E106" s="90"/>
      <c r="F106" s="90"/>
      <c r="G106" s="90"/>
      <c r="H106" s="90"/>
      <c r="I106" s="90"/>
      <c r="J106" s="90"/>
      <c r="K106" s="90"/>
      <c r="L106" s="90"/>
    </row>
    <row r="107" spans="1:12" ht="5.25" customHeight="1" x14ac:dyDescent="0.3">
      <c r="A107" s="41"/>
      <c r="B107" s="71"/>
      <c r="C107" s="72"/>
      <c r="D107" s="73"/>
      <c r="E107" s="68"/>
      <c r="F107" s="83"/>
      <c r="H107" s="80"/>
      <c r="I107" s="65"/>
      <c r="J107" s="61"/>
    </row>
    <row r="108" spans="1:12" s="116" customFormat="1" x14ac:dyDescent="0.3">
      <c r="F108" s="130"/>
      <c r="G108" s="30"/>
      <c r="H108" s="130"/>
      <c r="I108" s="30"/>
      <c r="J108" s="129" t="s">
        <v>86</v>
      </c>
      <c r="K108" s="30"/>
      <c r="L108" s="129" t="s">
        <v>87</v>
      </c>
    </row>
    <row r="109" spans="1:12" ht="5.25" customHeight="1" x14ac:dyDescent="0.3">
      <c r="F109" s="28"/>
      <c r="G109" s="28"/>
      <c r="H109" s="28"/>
      <c r="I109" s="28"/>
      <c r="J109" s="28"/>
      <c r="K109" s="28"/>
      <c r="L109" s="28"/>
    </row>
    <row r="110" spans="1:12" s="41" customFormat="1" x14ac:dyDescent="0.3">
      <c r="B110" s="18" t="s">
        <v>94</v>
      </c>
      <c r="F110" s="161"/>
      <c r="G110" s="35"/>
      <c r="H110" s="161"/>
      <c r="I110" s="35"/>
      <c r="J110" s="162"/>
      <c r="K110" s="35"/>
      <c r="L110" s="133"/>
    </row>
    <row r="111" spans="1:12" s="41" customFormat="1" x14ac:dyDescent="0.3">
      <c r="B111" s="41" t="s">
        <v>97</v>
      </c>
      <c r="F111" s="161"/>
      <c r="G111" s="35"/>
      <c r="H111" s="161"/>
      <c r="I111" s="35"/>
      <c r="J111" s="162"/>
      <c r="K111" s="35"/>
      <c r="L111" s="133"/>
    </row>
    <row r="112" spans="1:12" s="41" customFormat="1" x14ac:dyDescent="0.3">
      <c r="B112" s="41" t="s">
        <v>23</v>
      </c>
      <c r="F112" s="161"/>
      <c r="G112" s="35"/>
      <c r="H112" s="161"/>
      <c r="I112" s="35"/>
      <c r="J112" s="162"/>
      <c r="K112" s="35"/>
      <c r="L112" s="133"/>
    </row>
    <row r="113" spans="1:14" s="41" customFormat="1" x14ac:dyDescent="0.3">
      <c r="B113" s="41" t="s">
        <v>65</v>
      </c>
      <c r="F113" s="161"/>
      <c r="G113" s="35"/>
      <c r="H113" s="161"/>
      <c r="I113" s="35"/>
      <c r="J113" s="162"/>
      <c r="K113" s="35"/>
      <c r="L113" s="163"/>
    </row>
    <row r="114" spans="1:14" x14ac:dyDescent="0.3">
      <c r="F114" s="28"/>
      <c r="G114" s="28"/>
      <c r="H114" s="28"/>
      <c r="I114" s="28"/>
      <c r="J114" s="28"/>
      <c r="K114" s="28"/>
      <c r="L114" s="28"/>
    </row>
    <row r="115" spans="1:14" x14ac:dyDescent="0.3">
      <c r="F115" s="28"/>
      <c r="G115" s="28"/>
      <c r="H115" s="28"/>
      <c r="I115" s="28"/>
      <c r="J115" s="28"/>
      <c r="K115" s="28"/>
      <c r="L115" s="28"/>
    </row>
    <row r="116" spans="1:14" ht="15.5" x14ac:dyDescent="0.35">
      <c r="B116" s="90" t="s">
        <v>89</v>
      </c>
      <c r="C116" s="90"/>
      <c r="D116" s="90"/>
      <c r="E116" s="90"/>
      <c r="F116" s="90"/>
      <c r="G116" s="90"/>
      <c r="H116" s="90"/>
      <c r="I116" s="90"/>
      <c r="J116" s="90"/>
      <c r="K116" s="90"/>
      <c r="L116" s="90"/>
    </row>
    <row r="117" spans="1:14" ht="5.25" customHeight="1" x14ac:dyDescent="0.3">
      <c r="A117" s="41"/>
      <c r="B117" s="71"/>
      <c r="C117" s="72"/>
      <c r="D117" s="73"/>
      <c r="E117" s="68"/>
      <c r="F117" s="82"/>
      <c r="G117" s="28"/>
      <c r="H117" s="82"/>
      <c r="I117" s="60"/>
      <c r="J117" s="62"/>
      <c r="K117" s="28"/>
      <c r="L117" s="28"/>
    </row>
    <row r="118" spans="1:14" s="116" customFormat="1" x14ac:dyDescent="0.3">
      <c r="F118" s="130"/>
      <c r="G118" s="30"/>
      <c r="H118" s="130"/>
      <c r="I118" s="30"/>
      <c r="J118" s="129" t="s">
        <v>86</v>
      </c>
      <c r="K118" s="30"/>
      <c r="L118" s="129" t="s">
        <v>87</v>
      </c>
    </row>
    <row r="119" spans="1:14" ht="5.25" customHeight="1" x14ac:dyDescent="0.3">
      <c r="F119" s="28"/>
      <c r="G119" s="28"/>
      <c r="H119" s="28"/>
      <c r="I119" s="28"/>
      <c r="J119" s="28"/>
      <c r="K119" s="28"/>
      <c r="L119" s="28"/>
    </row>
    <row r="120" spans="1:14" s="41" customFormat="1" x14ac:dyDescent="0.3">
      <c r="B120" s="164">
        <v>2021</v>
      </c>
      <c r="I120" s="35"/>
      <c r="J120" s="35"/>
      <c r="K120" s="35"/>
      <c r="L120" s="35"/>
    </row>
    <row r="121" spans="1:14" s="41" customFormat="1" x14ac:dyDescent="0.3">
      <c r="B121" s="41" t="s">
        <v>13</v>
      </c>
      <c r="F121" s="161"/>
      <c r="G121" s="165"/>
      <c r="H121" s="161"/>
      <c r="I121" s="35"/>
      <c r="J121" s="162"/>
      <c r="K121" s="35"/>
      <c r="L121" s="162"/>
    </row>
    <row r="122" spans="1:14" s="41" customFormat="1" x14ac:dyDescent="0.3">
      <c r="B122" s="41" t="s">
        <v>10</v>
      </c>
      <c r="F122" s="161"/>
      <c r="G122" s="165"/>
      <c r="H122" s="161"/>
      <c r="I122" s="35"/>
      <c r="J122" s="162"/>
      <c r="K122" s="35"/>
      <c r="L122" s="162"/>
    </row>
    <row r="123" spans="1:14" s="41" customFormat="1" x14ac:dyDescent="0.3">
      <c r="B123" s="41" t="s">
        <v>63</v>
      </c>
      <c r="F123" s="161"/>
      <c r="G123" s="165"/>
      <c r="H123" s="161"/>
      <c r="I123" s="35"/>
      <c r="J123" s="162"/>
      <c r="K123" s="35"/>
      <c r="L123" s="162"/>
      <c r="N123" s="185"/>
    </row>
    <row r="124" spans="1:14" s="41" customFormat="1" x14ac:dyDescent="0.3">
      <c r="B124" s="41" t="s">
        <v>158</v>
      </c>
      <c r="F124" s="161"/>
      <c r="G124" s="165"/>
      <c r="H124" s="161"/>
      <c r="I124" s="35"/>
      <c r="J124" s="162"/>
      <c r="K124" s="35"/>
      <c r="L124" s="162"/>
      <c r="N124" s="185"/>
    </row>
    <row r="125" spans="1:14" s="41" customFormat="1" x14ac:dyDescent="0.3">
      <c r="B125" s="41" t="s">
        <v>16</v>
      </c>
      <c r="F125" s="161"/>
      <c r="G125" s="165"/>
      <c r="H125" s="161"/>
      <c r="I125" s="35"/>
      <c r="J125" s="162"/>
      <c r="K125" s="35"/>
      <c r="L125" s="162"/>
    </row>
    <row r="126" spans="1:14" s="41" customFormat="1" x14ac:dyDescent="0.3">
      <c r="B126" s="41" t="s">
        <v>186</v>
      </c>
      <c r="F126" s="161"/>
      <c r="G126" s="165"/>
      <c r="H126" s="161"/>
      <c r="I126" s="35"/>
      <c r="J126" s="162"/>
      <c r="K126" s="35"/>
      <c r="L126" s="162"/>
    </row>
    <row r="127" spans="1:14" s="41" customFormat="1" x14ac:dyDescent="0.3">
      <c r="F127" s="35"/>
      <c r="G127" s="35"/>
      <c r="H127" s="35"/>
      <c r="I127" s="35"/>
      <c r="J127" s="162"/>
      <c r="K127" s="35"/>
      <c r="L127" s="162"/>
    </row>
    <row r="128" spans="1:14" s="41" customFormat="1" x14ac:dyDescent="0.3">
      <c r="B128" s="164">
        <v>2022</v>
      </c>
      <c r="J128" s="162"/>
      <c r="L128" s="162"/>
    </row>
    <row r="129" spans="2:14" s="41" customFormat="1" x14ac:dyDescent="0.3">
      <c r="B129" s="41" t="s">
        <v>13</v>
      </c>
      <c r="F129" s="159"/>
      <c r="H129" s="159"/>
      <c r="J129" s="162"/>
      <c r="L129" s="162"/>
    </row>
    <row r="130" spans="2:14" s="41" customFormat="1" x14ac:dyDescent="0.3">
      <c r="B130" s="41" t="s">
        <v>10</v>
      </c>
      <c r="F130" s="159"/>
      <c r="H130" s="159"/>
      <c r="J130" s="162"/>
      <c r="L130" s="162"/>
    </row>
    <row r="131" spans="2:14" s="41" customFormat="1" x14ac:dyDescent="0.3">
      <c r="B131" s="41" t="s">
        <v>63</v>
      </c>
      <c r="F131" s="159"/>
      <c r="H131" s="159"/>
      <c r="J131" s="162"/>
      <c r="L131" s="162"/>
      <c r="N131" s="185"/>
    </row>
    <row r="132" spans="2:14" s="41" customFormat="1" x14ac:dyDescent="0.3">
      <c r="B132" s="41" t="s">
        <v>16</v>
      </c>
      <c r="F132" s="159"/>
      <c r="H132" s="159"/>
      <c r="J132" s="162"/>
      <c r="L132" s="162"/>
    </row>
    <row r="133" spans="2:14" s="41" customFormat="1" x14ac:dyDescent="0.3">
      <c r="J133" s="162"/>
    </row>
    <row r="134" spans="2:14" s="41" customFormat="1" x14ac:dyDescent="0.3">
      <c r="B134" s="41" t="s">
        <v>31</v>
      </c>
      <c r="F134" s="166"/>
      <c r="H134" s="166"/>
      <c r="L134" s="166"/>
    </row>
    <row r="135" spans="2:14" x14ac:dyDescent="0.3">
      <c r="B135" s="18" t="s">
        <v>92</v>
      </c>
      <c r="F135" s="340"/>
      <c r="G135" s="183"/>
      <c r="H135" s="340"/>
      <c r="I135" s="169"/>
      <c r="J135" s="184"/>
      <c r="K135" s="169"/>
      <c r="L135" s="184"/>
    </row>
    <row r="137" spans="2:14" x14ac:dyDescent="0.3">
      <c r="M137" s="15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12AC-E020-4D24-BA06-3F97869C7489}">
  <dimension ref="A1:P86"/>
  <sheetViews>
    <sheetView showGridLines="0" workbookViewId="0">
      <pane xSplit="4" ySplit="6" topLeftCell="E7" activePane="bottomRight" state="frozen"/>
      <selection activeCell="L66" sqref="L66"/>
      <selection pane="topRight" activeCell="L66" sqref="L66"/>
      <selection pane="bottomLeft" activeCell="L66" sqref="L66"/>
      <selection pane="bottomRight" activeCell="E7" sqref="E7"/>
    </sheetView>
  </sheetViews>
  <sheetFormatPr defaultColWidth="15.7265625" defaultRowHeight="14" x14ac:dyDescent="0.3"/>
  <cols>
    <col min="1" max="1" width="5.7265625" style="18" customWidth="1"/>
    <col min="2" max="2" width="40.7265625" style="18" customWidth="1"/>
    <col min="3" max="5" width="15.7265625" style="18" customWidth="1"/>
    <col min="6" max="6" width="1.81640625" style="18" customWidth="1"/>
    <col min="7" max="7" width="15.7265625" style="227"/>
    <col min="8" max="16384" width="15.7265625" style="18"/>
  </cols>
  <sheetData>
    <row r="1" spans="1:16" s="14" customFormat="1" ht="15.5" x14ac:dyDescent="0.35">
      <c r="A1" s="21" t="s">
        <v>18</v>
      </c>
      <c r="B1" s="13"/>
      <c r="C1" s="13"/>
      <c r="D1" s="13"/>
      <c r="E1" s="13"/>
      <c r="F1" s="13"/>
      <c r="G1" s="228"/>
      <c r="H1" s="13"/>
      <c r="I1" s="13"/>
      <c r="J1" s="13"/>
      <c r="K1" s="13"/>
      <c r="L1" s="13"/>
      <c r="M1" s="13"/>
      <c r="N1" s="13"/>
    </row>
    <row r="2" spans="1:16" s="2" customFormat="1" ht="18" x14ac:dyDescent="0.3">
      <c r="A2" s="15" t="s">
        <v>110</v>
      </c>
      <c r="B2" s="15"/>
      <c r="C2" s="15"/>
      <c r="D2" s="15"/>
      <c r="E2" s="15"/>
      <c r="F2" s="15"/>
      <c r="G2" s="229"/>
      <c r="H2" s="15"/>
      <c r="I2" s="15"/>
      <c r="J2" s="15"/>
      <c r="K2" s="15"/>
      <c r="L2" s="15"/>
      <c r="M2" s="15"/>
      <c r="N2" s="15"/>
    </row>
    <row r="3" spans="1:16" s="14" customFormat="1" ht="15.5" x14ac:dyDescent="0.35">
      <c r="A3" s="22" t="s">
        <v>83</v>
      </c>
      <c r="B3" s="17"/>
      <c r="C3" s="17"/>
      <c r="D3" s="17"/>
      <c r="E3" s="17"/>
      <c r="F3" s="17"/>
      <c r="G3" s="230"/>
      <c r="H3" s="16"/>
      <c r="I3" s="16"/>
      <c r="J3" s="16"/>
      <c r="K3" s="16"/>
      <c r="L3" s="16"/>
      <c r="M3" s="16"/>
      <c r="N3" s="16"/>
    </row>
    <row r="5" spans="1:16" ht="15.5" x14ac:dyDescent="0.35">
      <c r="E5" s="52" t="s">
        <v>37</v>
      </c>
      <c r="F5" s="14"/>
      <c r="G5" s="231" t="s">
        <v>38</v>
      </c>
      <c r="H5" s="18">
        <v>1</v>
      </c>
      <c r="I5" s="18">
        <f>+H5+1</f>
        <v>2</v>
      </c>
      <c r="J5" s="18">
        <f t="shared" ref="J5:N5" si="0">+I5+1</f>
        <v>3</v>
      </c>
      <c r="K5" s="18">
        <f t="shared" si="0"/>
        <v>4</v>
      </c>
      <c r="L5" s="18">
        <f t="shared" si="0"/>
        <v>5</v>
      </c>
      <c r="M5" s="18">
        <f t="shared" si="0"/>
        <v>6</v>
      </c>
      <c r="N5" s="18">
        <f t="shared" si="0"/>
        <v>7</v>
      </c>
    </row>
    <row r="6" spans="1:16" ht="15.5" x14ac:dyDescent="0.3">
      <c r="B6" s="23" t="s">
        <v>40</v>
      </c>
      <c r="C6" s="23"/>
      <c r="D6" s="23"/>
      <c r="E6" s="57" t="s">
        <v>228</v>
      </c>
      <c r="F6" s="57"/>
      <c r="G6" s="57"/>
      <c r="H6" s="56" t="s">
        <v>229</v>
      </c>
      <c r="I6" s="56" t="s">
        <v>230</v>
      </c>
      <c r="J6" s="56" t="s">
        <v>231</v>
      </c>
      <c r="K6" s="56" t="s">
        <v>232</v>
      </c>
      <c r="L6" s="56" t="s">
        <v>233</v>
      </c>
      <c r="M6" s="56" t="s">
        <v>234</v>
      </c>
      <c r="N6" s="56" t="s">
        <v>235</v>
      </c>
    </row>
    <row r="8" spans="1:16" ht="15.5" x14ac:dyDescent="0.35">
      <c r="B8" s="91" t="s">
        <v>12</v>
      </c>
      <c r="C8" s="91"/>
      <c r="D8" s="26"/>
      <c r="E8" s="26"/>
      <c r="F8" s="26"/>
      <c r="G8" s="232"/>
      <c r="H8" s="26"/>
      <c r="I8" s="26"/>
      <c r="J8" s="26"/>
      <c r="K8" s="26"/>
      <c r="L8" s="26"/>
      <c r="M8" s="26"/>
      <c r="N8" s="26"/>
    </row>
    <row r="9" spans="1:16" ht="5.25" customHeight="1" x14ac:dyDescent="0.3">
      <c r="H9" s="318"/>
      <c r="I9" s="318"/>
      <c r="J9" s="318"/>
      <c r="K9" s="318"/>
      <c r="L9" s="318"/>
      <c r="M9" s="318"/>
      <c r="N9" s="318"/>
    </row>
    <row r="10" spans="1:16" x14ac:dyDescent="0.3">
      <c r="B10" s="18" t="s">
        <v>19</v>
      </c>
      <c r="E10" s="315" t="s">
        <v>247</v>
      </c>
      <c r="F10" s="40"/>
      <c r="G10" s="60"/>
      <c r="H10" s="315" t="s">
        <v>248</v>
      </c>
      <c r="I10" s="315" t="s">
        <v>249</v>
      </c>
      <c r="J10" s="315" t="s">
        <v>250</v>
      </c>
      <c r="K10" s="315" t="s">
        <v>251</v>
      </c>
      <c r="L10" s="315" t="s">
        <v>252</v>
      </c>
      <c r="M10" s="315" t="s">
        <v>253</v>
      </c>
      <c r="N10" s="315" t="s">
        <v>254</v>
      </c>
      <c r="O10" s="50"/>
      <c r="P10" s="50"/>
    </row>
    <row r="11" spans="1:16" x14ac:dyDescent="0.3">
      <c r="B11" s="18" t="s">
        <v>31</v>
      </c>
      <c r="E11" s="316">
        <v>3146.14</v>
      </c>
      <c r="F11" s="40"/>
      <c r="G11" s="233"/>
      <c r="H11" s="316">
        <v>131.37</v>
      </c>
      <c r="I11" s="316">
        <v>77.63</v>
      </c>
      <c r="J11" s="316">
        <v>58.48</v>
      </c>
      <c r="K11" s="316">
        <v>66.67</v>
      </c>
      <c r="L11" s="316">
        <v>161.24</v>
      </c>
      <c r="M11" s="316">
        <v>2069.66</v>
      </c>
      <c r="N11" s="316">
        <v>264.91000000000003</v>
      </c>
      <c r="O11" s="70"/>
      <c r="P11" s="50"/>
    </row>
    <row r="12" spans="1:16" x14ac:dyDescent="0.3">
      <c r="B12" s="18" t="s">
        <v>20</v>
      </c>
      <c r="E12" s="317">
        <v>44256</v>
      </c>
      <c r="G12" s="234"/>
      <c r="H12" s="317">
        <v>44256</v>
      </c>
      <c r="I12" s="317">
        <v>44256</v>
      </c>
      <c r="J12" s="317">
        <v>44256</v>
      </c>
      <c r="K12" s="317">
        <v>44256</v>
      </c>
      <c r="L12" s="317">
        <v>44256</v>
      </c>
      <c r="M12" s="317">
        <v>44256</v>
      </c>
      <c r="N12" s="317">
        <v>44256</v>
      </c>
      <c r="O12" s="70"/>
      <c r="P12" s="50"/>
    </row>
    <row r="13" spans="1:16" x14ac:dyDescent="0.3">
      <c r="E13" s="28"/>
      <c r="G13" s="235"/>
      <c r="H13" s="28"/>
      <c r="I13" s="28"/>
      <c r="J13" s="28"/>
      <c r="K13" s="28"/>
      <c r="L13" s="28"/>
      <c r="M13" s="28"/>
      <c r="N13" s="28"/>
      <c r="O13" s="70"/>
      <c r="P13" s="50"/>
    </row>
    <row r="14" spans="1:16" x14ac:dyDescent="0.3">
      <c r="B14" s="43" t="s">
        <v>21</v>
      </c>
      <c r="C14" s="43"/>
      <c r="D14" s="44"/>
      <c r="E14" s="53"/>
      <c r="F14" s="44"/>
      <c r="G14" s="236"/>
      <c r="H14" s="45"/>
      <c r="I14" s="45"/>
      <c r="J14" s="45"/>
      <c r="K14" s="45"/>
      <c r="L14" s="45"/>
      <c r="M14" s="45"/>
      <c r="N14" s="45"/>
      <c r="O14" s="70"/>
      <c r="P14" s="50"/>
    </row>
    <row r="15" spans="1:16" x14ac:dyDescent="0.3">
      <c r="B15" s="18" t="s">
        <v>32</v>
      </c>
      <c r="E15" s="320">
        <v>503</v>
      </c>
      <c r="F15" s="226"/>
      <c r="G15" s="207"/>
      <c r="H15" s="320">
        <v>2831</v>
      </c>
      <c r="I15" s="320">
        <v>796</v>
      </c>
      <c r="J15" s="320">
        <v>684</v>
      </c>
      <c r="K15" s="320">
        <v>231.62694300000001</v>
      </c>
      <c r="L15" s="320">
        <v>138.07400000000001</v>
      </c>
      <c r="M15" s="320">
        <v>675.22199999999998</v>
      </c>
      <c r="N15" s="320">
        <f>2406+443</f>
        <v>2849</v>
      </c>
      <c r="O15" s="70"/>
      <c r="P15" s="50"/>
    </row>
    <row r="16" spans="1:16" x14ac:dyDescent="0.3">
      <c r="B16" s="18" t="s">
        <v>199</v>
      </c>
      <c r="E16" s="221">
        <f>'Diluted Shares Calculation'!F12</f>
        <v>15.2</v>
      </c>
      <c r="F16" s="226"/>
      <c r="G16" s="207"/>
      <c r="H16" s="221">
        <f>'Diluted Shares Calculation'!F72</f>
        <v>29.305999999999997</v>
      </c>
      <c r="I16" s="221">
        <f>'Diluted Shares Calculation'!F131</f>
        <v>40.254999999999995</v>
      </c>
      <c r="J16" s="221">
        <f>'Diluted Shares Calculation'!F190</f>
        <v>25</v>
      </c>
      <c r="K16" s="221">
        <f>'Diluted Shares Calculation'!F249</f>
        <v>131.172</v>
      </c>
      <c r="L16" s="221">
        <f>'Diluted Shares Calculation'!F308</f>
        <v>5.2850000000000001</v>
      </c>
      <c r="M16" s="221">
        <f>+'Diluted Shares Calculation'!F367</f>
        <v>19.288792999999998</v>
      </c>
      <c r="N16" s="221">
        <f>+'Diluted Shares Calculation'!F426</f>
        <v>96.733000000000004</v>
      </c>
      <c r="O16" s="70"/>
      <c r="P16" s="50"/>
    </row>
    <row r="17" spans="2:16" s="41" customFormat="1" x14ac:dyDescent="0.3">
      <c r="B17" s="41" t="s">
        <v>33</v>
      </c>
      <c r="E17" s="221">
        <f>'Diluted Shares Calculation'!F13</f>
        <v>0</v>
      </c>
      <c r="F17" s="222"/>
      <c r="G17" s="207"/>
      <c r="H17" s="221">
        <f>'Diluted Shares Calculation'!F73</f>
        <v>0</v>
      </c>
      <c r="I17" s="221">
        <f>'Diluted Shares Calculation'!F132</f>
        <v>1.086942676800206</v>
      </c>
      <c r="J17" s="221">
        <f>'Diluted Shares Calculation'!F191</f>
        <v>0</v>
      </c>
      <c r="K17" s="221">
        <f>'Diluted Shares Calculation'!F250</f>
        <v>4.7492305384730766</v>
      </c>
      <c r="L17" s="221">
        <f>'Diluted Shares Calculation'!F309</f>
        <v>2.992688166708013</v>
      </c>
      <c r="M17" s="221">
        <f>+'Diluted Shares Calculation'!F368</f>
        <v>0</v>
      </c>
      <c r="N17" s="221">
        <f>+'Diluted Shares Calculation'!F427</f>
        <v>0</v>
      </c>
      <c r="O17" s="81"/>
      <c r="P17" s="81"/>
    </row>
    <row r="18" spans="2:16" s="41" customFormat="1" x14ac:dyDescent="0.3">
      <c r="B18" s="190" t="s">
        <v>34</v>
      </c>
      <c r="C18" s="190"/>
      <c r="D18" s="190"/>
      <c r="E18" s="223">
        <f>'Diluted Shares Calculation'!F14</f>
        <v>0</v>
      </c>
      <c r="F18" s="224"/>
      <c r="G18" s="207"/>
      <c r="H18" s="221">
        <f>'Diluted Shares Calculation'!F74</f>
        <v>0</v>
      </c>
      <c r="I18" s="221">
        <f>'Diluted Shares Calculation'!F133</f>
        <v>44.226006300315021</v>
      </c>
      <c r="J18" s="221">
        <f>'Diluted Shares Calculation'!F192</f>
        <v>0</v>
      </c>
      <c r="K18" s="221">
        <f>'Diluted Shares Calculation'!F251</f>
        <v>90.939256440080669</v>
      </c>
      <c r="L18" s="221">
        <f>'Diluted Shares Calculation'!F310</f>
        <v>0</v>
      </c>
      <c r="M18" s="221">
        <f>+'Diluted Shares Calculation'!F369</f>
        <v>0</v>
      </c>
      <c r="N18" s="221">
        <f>+'Diluted Shares Calculation'!F428</f>
        <v>0</v>
      </c>
      <c r="O18" s="81"/>
      <c r="P18" s="81"/>
    </row>
    <row r="19" spans="2:16" x14ac:dyDescent="0.3">
      <c r="B19" s="18" t="s">
        <v>91</v>
      </c>
      <c r="E19" s="170">
        <f>SUM(E15:E18)</f>
        <v>518.20000000000005</v>
      </c>
      <c r="F19" s="168"/>
      <c r="G19" s="237"/>
      <c r="H19" s="170">
        <f t="shared" ref="H19:N19" si="1">SUM(H15:H18)</f>
        <v>2860.306</v>
      </c>
      <c r="I19" s="170">
        <f t="shared" si="1"/>
        <v>881.56794897711518</v>
      </c>
      <c r="J19" s="170">
        <f t="shared" si="1"/>
        <v>709</v>
      </c>
      <c r="K19" s="170">
        <f t="shared" si="1"/>
        <v>458.48742997855373</v>
      </c>
      <c r="L19" s="170">
        <f t="shared" si="1"/>
        <v>146.35168816670802</v>
      </c>
      <c r="M19" s="170">
        <f t="shared" si="1"/>
        <v>694.51079299999992</v>
      </c>
      <c r="N19" s="170">
        <f t="shared" si="1"/>
        <v>2945.7330000000002</v>
      </c>
      <c r="O19" s="50"/>
      <c r="P19" s="50"/>
    </row>
    <row r="20" spans="2:16" x14ac:dyDescent="0.3">
      <c r="E20" s="28"/>
      <c r="G20" s="220"/>
      <c r="H20" s="28"/>
      <c r="I20" s="28"/>
      <c r="J20" s="28"/>
      <c r="K20" s="28"/>
      <c r="L20" s="28"/>
      <c r="M20" s="28"/>
      <c r="N20" s="28"/>
      <c r="O20" s="50"/>
      <c r="P20" s="50"/>
    </row>
    <row r="21" spans="2:16" x14ac:dyDescent="0.3">
      <c r="B21" s="19" t="s">
        <v>22</v>
      </c>
      <c r="C21" s="19"/>
      <c r="D21" s="19"/>
      <c r="E21" s="29">
        <f>+E11*E19</f>
        <v>1630329.7480000001</v>
      </c>
      <c r="F21" s="246"/>
      <c r="G21" s="238"/>
      <c r="H21" s="29">
        <f t="shared" ref="H21:N21" si="2">+H11*H19</f>
        <v>375758.39922000002</v>
      </c>
      <c r="I21" s="29">
        <f t="shared" si="2"/>
        <v>68436.119879093443</v>
      </c>
      <c r="J21" s="29">
        <f t="shared" si="2"/>
        <v>41462.32</v>
      </c>
      <c r="K21" s="29">
        <f t="shared" si="2"/>
        <v>30567.356956670177</v>
      </c>
      <c r="L21" s="29">
        <f t="shared" si="2"/>
        <v>23597.746200000001</v>
      </c>
      <c r="M21" s="29">
        <f t="shared" si="2"/>
        <v>1437401.2078403798</v>
      </c>
      <c r="N21" s="29">
        <f t="shared" si="2"/>
        <v>780354.12903000007</v>
      </c>
      <c r="O21" s="50"/>
      <c r="P21" s="50"/>
    </row>
    <row r="22" spans="2:16" x14ac:dyDescent="0.3">
      <c r="E22" s="35"/>
      <c r="G22" s="235"/>
      <c r="H22" s="35"/>
      <c r="I22" s="35"/>
      <c r="J22" s="35"/>
      <c r="K22" s="35"/>
      <c r="L22" s="35"/>
      <c r="M22" s="35"/>
      <c r="N22" s="35"/>
      <c r="O22" s="50"/>
      <c r="P22" s="50"/>
    </row>
    <row r="23" spans="2:16" x14ac:dyDescent="0.3">
      <c r="B23" s="41" t="s">
        <v>205</v>
      </c>
      <c r="C23" s="41"/>
      <c r="D23" s="281"/>
      <c r="E23" s="319">
        <f>31816+52573+14960</f>
        <v>99349</v>
      </c>
      <c r="F23" s="281"/>
      <c r="G23" s="225"/>
      <c r="H23" s="321">
        <f>240+4358+1725+574+40849+15982+4750</f>
        <v>68478</v>
      </c>
      <c r="I23" s="321">
        <f>(177147+567+692994+819748)/1000+I24</f>
        <v>4484.2</v>
      </c>
      <c r="J23" s="321">
        <f>570+7745</f>
        <v>8315</v>
      </c>
      <c r="K23" s="321">
        <f>41.077+1675.169+287.292</f>
        <v>2003.538</v>
      </c>
      <c r="L23" s="321">
        <f>8216+513+126</f>
        <v>8855</v>
      </c>
      <c r="M23" s="321">
        <f>13932+12840+101+999</f>
        <v>27872</v>
      </c>
      <c r="N23" s="321">
        <f>1023+9631+54+469</f>
        <v>11177</v>
      </c>
    </row>
    <row r="24" spans="2:16" x14ac:dyDescent="0.3">
      <c r="B24" s="18" t="s">
        <v>206</v>
      </c>
      <c r="E24" s="319">
        <v>0</v>
      </c>
      <c r="F24" s="247"/>
      <c r="G24" s="225"/>
      <c r="H24" s="321">
        <v>0</v>
      </c>
      <c r="I24" s="321">
        <f>(917866+1875878)/1000</f>
        <v>2793.7440000000001</v>
      </c>
      <c r="J24" s="321">
        <v>0</v>
      </c>
      <c r="K24" s="321">
        <v>891.77599999999995</v>
      </c>
      <c r="L24" s="321">
        <v>0</v>
      </c>
      <c r="M24" s="321">
        <v>0</v>
      </c>
      <c r="N24" s="321">
        <v>0</v>
      </c>
    </row>
    <row r="25" spans="2:16" x14ac:dyDescent="0.3">
      <c r="B25" s="18" t="s">
        <v>207</v>
      </c>
      <c r="E25" s="225">
        <f>+E23-E24</f>
        <v>99349</v>
      </c>
      <c r="F25" s="247"/>
      <c r="G25" s="225"/>
      <c r="H25" s="225">
        <f t="shared" ref="H25:N25" si="3">+H23-H24</f>
        <v>68478</v>
      </c>
      <c r="I25" s="225">
        <f t="shared" si="3"/>
        <v>1690.4559999999997</v>
      </c>
      <c r="J25" s="225">
        <f t="shared" si="3"/>
        <v>8315</v>
      </c>
      <c r="K25" s="225">
        <f t="shared" si="3"/>
        <v>1111.7620000000002</v>
      </c>
      <c r="L25" s="225">
        <f t="shared" si="3"/>
        <v>8855</v>
      </c>
      <c r="M25" s="225">
        <f t="shared" si="3"/>
        <v>27872</v>
      </c>
      <c r="N25" s="225">
        <f t="shared" si="3"/>
        <v>11177</v>
      </c>
    </row>
    <row r="26" spans="2:16" x14ac:dyDescent="0.3">
      <c r="B26" s="25" t="s">
        <v>208</v>
      </c>
      <c r="C26" s="25"/>
      <c r="D26" s="25"/>
      <c r="E26" s="244">
        <f>+'Diluted Shares Calculation'!F63</f>
        <v>0</v>
      </c>
      <c r="F26" s="245"/>
      <c r="G26" s="225"/>
      <c r="H26" s="244">
        <f>+'Diluted Shares Calculation'!F122</f>
        <v>0</v>
      </c>
      <c r="I26" s="244">
        <f>+'Diluted Shares Calculation'!F181</f>
        <v>954</v>
      </c>
      <c r="J26" s="244">
        <f>+'Diluted Shares Calculation'!F240</f>
        <v>0</v>
      </c>
      <c r="K26" s="244">
        <f>+'Diluted Shares Calculation'!F299</f>
        <v>0</v>
      </c>
      <c r="L26" s="244">
        <f>+'Diluted Shares Calculation'!F358</f>
        <v>0</v>
      </c>
      <c r="M26" s="244">
        <f>+'Diluted Shares Calculation'!G358</f>
        <v>0</v>
      </c>
      <c r="N26" s="244">
        <f>+'Diluted Shares Calculation'!H358</f>
        <v>0</v>
      </c>
    </row>
    <row r="27" spans="2:16" s="41" customFormat="1" x14ac:dyDescent="0.3">
      <c r="B27" s="292" t="s">
        <v>209</v>
      </c>
      <c r="C27" s="292"/>
      <c r="D27" s="292"/>
      <c r="E27" s="293">
        <f>+E25+E26</f>
        <v>99349</v>
      </c>
      <c r="F27" s="294"/>
      <c r="G27" s="291"/>
      <c r="H27" s="293">
        <f>+H25+H26</f>
        <v>68478</v>
      </c>
      <c r="I27" s="293">
        <f t="shared" ref="I27:N27" si="4">+I25+I26</f>
        <v>2644.4559999999997</v>
      </c>
      <c r="J27" s="293">
        <f t="shared" si="4"/>
        <v>8315</v>
      </c>
      <c r="K27" s="293">
        <f t="shared" si="4"/>
        <v>1111.7620000000002</v>
      </c>
      <c r="L27" s="293">
        <f t="shared" si="4"/>
        <v>8855</v>
      </c>
      <c r="M27" s="293">
        <f t="shared" si="4"/>
        <v>27872</v>
      </c>
      <c r="N27" s="293">
        <f t="shared" si="4"/>
        <v>11177</v>
      </c>
    </row>
    <row r="28" spans="2:16" x14ac:dyDescent="0.3">
      <c r="B28" s="19"/>
      <c r="C28" s="19"/>
      <c r="D28" s="19"/>
      <c r="E28" s="248"/>
      <c r="F28" s="126"/>
      <c r="G28" s="249"/>
      <c r="H28" s="248"/>
      <c r="I28" s="248"/>
      <c r="J28" s="248"/>
      <c r="K28" s="248"/>
      <c r="L28" s="248"/>
      <c r="M28" s="248"/>
      <c r="N28" s="248"/>
    </row>
    <row r="29" spans="2:16" x14ac:dyDescent="0.3">
      <c r="B29" s="18" t="s">
        <v>9</v>
      </c>
      <c r="E29" s="250">
        <f>+E27-E30</f>
        <v>57227</v>
      </c>
      <c r="F29" s="118"/>
      <c r="G29" s="251"/>
      <c r="H29" s="250">
        <f t="shared" ref="H29:N29" si="5">+H27-H30</f>
        <v>54153</v>
      </c>
      <c r="I29" s="250">
        <f t="shared" si="5"/>
        <v>656.02699999999959</v>
      </c>
      <c r="J29" s="250">
        <f t="shared" si="5"/>
        <v>6887</v>
      </c>
      <c r="K29" s="250">
        <f t="shared" si="5"/>
        <v>566.14400000000012</v>
      </c>
      <c r="L29" s="250">
        <f t="shared" si="5"/>
        <v>5492</v>
      </c>
      <c r="M29" s="250">
        <f t="shared" si="5"/>
        <v>1407</v>
      </c>
      <c r="N29" s="250">
        <f t="shared" si="5"/>
        <v>-6399</v>
      </c>
    </row>
    <row r="30" spans="2:16" x14ac:dyDescent="0.3">
      <c r="B30" s="18" t="s">
        <v>94</v>
      </c>
      <c r="E30" s="319">
        <v>42122</v>
      </c>
      <c r="F30" s="252"/>
      <c r="G30" s="251"/>
      <c r="H30" s="321">
        <v>14325</v>
      </c>
      <c r="I30" s="321">
        <f>1988429/1000</f>
        <v>1988.4290000000001</v>
      </c>
      <c r="J30" s="321">
        <v>1428</v>
      </c>
      <c r="K30" s="321">
        <v>545.61800000000005</v>
      </c>
      <c r="L30" s="321">
        <v>3363</v>
      </c>
      <c r="M30" s="321">
        <v>26465</v>
      </c>
      <c r="N30" s="321">
        <v>17576</v>
      </c>
      <c r="O30" s="50"/>
      <c r="P30" s="50"/>
    </row>
    <row r="31" spans="2:16" x14ac:dyDescent="0.3">
      <c r="E31" s="250"/>
      <c r="F31" s="118"/>
      <c r="G31" s="251"/>
      <c r="H31" s="250"/>
      <c r="I31" s="250"/>
      <c r="J31" s="250"/>
      <c r="K31" s="250"/>
      <c r="L31" s="250"/>
      <c r="M31" s="250"/>
      <c r="N31" s="250"/>
    </row>
    <row r="32" spans="2:16" x14ac:dyDescent="0.3">
      <c r="B32" s="19" t="s">
        <v>25</v>
      </c>
      <c r="C32" s="19"/>
      <c r="D32" s="19"/>
      <c r="E32" s="253">
        <f>+E21+E29</f>
        <v>1687556.7480000001</v>
      </c>
      <c r="F32" s="126"/>
      <c r="G32" s="254"/>
      <c r="H32" s="253">
        <f t="shared" ref="H32:N32" si="6">+H21+H29</f>
        <v>429911.39922000002</v>
      </c>
      <c r="I32" s="253">
        <f t="shared" si="6"/>
        <v>69092.146879093445</v>
      </c>
      <c r="J32" s="253">
        <f t="shared" si="6"/>
        <v>48349.32</v>
      </c>
      <c r="K32" s="253">
        <f t="shared" si="6"/>
        <v>31133.500956670177</v>
      </c>
      <c r="L32" s="253">
        <f t="shared" si="6"/>
        <v>29089.746200000001</v>
      </c>
      <c r="M32" s="253">
        <f t="shared" si="6"/>
        <v>1438808.2078403798</v>
      </c>
      <c r="N32" s="253">
        <f t="shared" si="6"/>
        <v>773955.12903000007</v>
      </c>
    </row>
    <row r="33" spans="2:14" x14ac:dyDescent="0.3">
      <c r="E33" s="205"/>
      <c r="F33" s="118"/>
      <c r="G33" s="255"/>
      <c r="H33" s="205"/>
      <c r="I33" s="205"/>
      <c r="J33" s="205"/>
      <c r="K33" s="205"/>
      <c r="L33" s="205"/>
      <c r="M33" s="205"/>
      <c r="N33" s="205"/>
    </row>
    <row r="34" spans="2:14" x14ac:dyDescent="0.3">
      <c r="B34" s="18" t="s">
        <v>39</v>
      </c>
      <c r="E34" s="319">
        <f>113114+37553</f>
        <v>150667</v>
      </c>
      <c r="F34" s="118"/>
      <c r="G34" s="251"/>
      <c r="H34" s="321">
        <f>102232+17128+4929</f>
        <v>124289</v>
      </c>
      <c r="I34" s="321">
        <f>(1493794+930139)/1000</f>
        <v>2423.933</v>
      </c>
      <c r="J34" s="321">
        <f>1358+509</f>
        <v>1867</v>
      </c>
      <c r="K34" s="321">
        <f>178.709+269.728</f>
        <v>448.43700000000001</v>
      </c>
      <c r="L34" s="321">
        <f>2257+574</f>
        <v>2831</v>
      </c>
      <c r="M34" s="321">
        <f>84749+12211</f>
        <v>96960</v>
      </c>
      <c r="N34" s="321">
        <f>45633+9348</f>
        <v>54981</v>
      </c>
    </row>
    <row r="35" spans="2:14" x14ac:dyDescent="0.3">
      <c r="B35" s="18" t="s">
        <v>61</v>
      </c>
      <c r="E35" s="321">
        <v>15017</v>
      </c>
      <c r="F35" s="118"/>
      <c r="G35" s="225"/>
      <c r="H35" s="321">
        <v>30236</v>
      </c>
      <c r="I35" s="321">
        <f>1312346/1000</f>
        <v>1312.346</v>
      </c>
      <c r="J35" s="321">
        <v>4675</v>
      </c>
      <c r="K35" s="321">
        <v>939.25900000000001</v>
      </c>
      <c r="L35" s="321">
        <v>7380</v>
      </c>
      <c r="M35" s="321">
        <v>21175</v>
      </c>
      <c r="N35" s="321">
        <v>19050</v>
      </c>
    </row>
    <row r="36" spans="2:14" x14ac:dyDescent="0.3">
      <c r="B36" s="18" t="s">
        <v>210</v>
      </c>
      <c r="E36" s="321">
        <v>6476</v>
      </c>
      <c r="F36" s="118"/>
      <c r="G36" s="225"/>
      <c r="H36" s="321">
        <v>0</v>
      </c>
      <c r="I36" s="321">
        <f>58388/1000</f>
        <v>58.387999999999998</v>
      </c>
      <c r="J36" s="321">
        <v>12</v>
      </c>
      <c r="K36" s="321">
        <v>105.929</v>
      </c>
      <c r="L36" s="321">
        <v>1515</v>
      </c>
      <c r="M36" s="321">
        <v>1445</v>
      </c>
      <c r="N36" s="321">
        <v>623</v>
      </c>
    </row>
    <row r="37" spans="2:14" x14ac:dyDescent="0.3">
      <c r="B37" s="18" t="s">
        <v>222</v>
      </c>
      <c r="E37" s="322">
        <f>+((80%*57324+97224+3772+5333))/(173548+15107+6476)</f>
        <v>0.77992835582249875</v>
      </c>
      <c r="G37" s="239"/>
      <c r="H37" s="322">
        <f>+(195028-24619-3751)/(195028+30236)</f>
        <v>0.7398341501527097</v>
      </c>
      <c r="I37" s="322">
        <f>1-((1312346+349935)/(3354531+1312346))</f>
        <v>0.64381298242914908</v>
      </c>
      <c r="J37" s="322">
        <f>+((744*0.9)+4810+343+156)/(6207+4675)</f>
        <v>0.5494026833302702</v>
      </c>
      <c r="K37" s="322">
        <f>1-(27284+939259)/(313161+939259)</f>
        <v>0.22825968924162821</v>
      </c>
      <c r="L37" s="322">
        <f>1-(146+7380+1183)/(5495+7380+1183+352)</f>
        <v>0.39562803608605135</v>
      </c>
      <c r="M37" s="322">
        <f>+(49732*0.8+45906+7516+197)/(126462+21175)</f>
        <v>0.63266389861620054</v>
      </c>
      <c r="N37" s="322">
        <f>1-(1326+11288+19050)/(61051+19050)</f>
        <v>0.60469906742737289</v>
      </c>
    </row>
    <row r="38" spans="2:14" x14ac:dyDescent="0.3">
      <c r="B38" s="18" t="s">
        <v>223</v>
      </c>
      <c r="E38" s="196">
        <f>1-E37</f>
        <v>0.22007164417750125</v>
      </c>
      <c r="G38" s="239"/>
      <c r="H38" s="196">
        <f t="shared" ref="H38:N38" si="7">1-H37</f>
        <v>0.2601658498472903</v>
      </c>
      <c r="I38" s="196">
        <f>1-I37</f>
        <v>0.35618701757085092</v>
      </c>
      <c r="J38" s="196">
        <f t="shared" si="7"/>
        <v>0.4505973166697298</v>
      </c>
      <c r="K38" s="196">
        <f t="shared" si="7"/>
        <v>0.77174031075837179</v>
      </c>
      <c r="L38" s="196">
        <f t="shared" si="7"/>
        <v>0.60437196391394865</v>
      </c>
      <c r="M38" s="196">
        <f t="shared" si="7"/>
        <v>0.36733610138379946</v>
      </c>
      <c r="N38" s="196">
        <f t="shared" si="7"/>
        <v>0.39530093257262711</v>
      </c>
    </row>
    <row r="39" spans="2:14" x14ac:dyDescent="0.3">
      <c r="B39" s="18" t="s">
        <v>82</v>
      </c>
      <c r="E39" s="323">
        <f>+(40*57324*0.8+5*(97224+3772)+10*5333)/(173548-57324*0.2-15228+5333)</f>
        <v>15.721836515577422</v>
      </c>
      <c r="G39" s="197"/>
      <c r="H39" s="323">
        <f>+(30*105674+20*58607+10*2377)/(195028-3751-24619)</f>
        <v>26.198142303399777</v>
      </c>
      <c r="I39" s="323">
        <f>+(5*(1830459+362766)+3*811371)/(3354531-349935)</f>
        <v>4.4599134126518178</v>
      </c>
      <c r="J39" s="323">
        <f>+(744*0.9*30+343*5+156*3+4810*2)/(6207-744*0.1-154)</f>
        <v>5.3341919512929445</v>
      </c>
      <c r="K39" s="323">
        <f>+(10*(175850)+3*35040+5*74987)/(313161-27284)</f>
        <v>7.8304830399087724</v>
      </c>
      <c r="L39" s="323">
        <f>+(3*(3374+617+128)+40*1230)/(5495-146)</f>
        <v>11.508132361189007</v>
      </c>
      <c r="M39" s="323">
        <f>+(20*(49732*0.8)+3*45906+8*(7516+197))/(126462-48732*0.2-23111)</f>
        <v>10.631251028261433</v>
      </c>
      <c r="N39" s="323">
        <f>+(10*22033+20*17360+3*2458+10*2295)/(61051-1326-11288)</f>
        <v>12.342919668848195</v>
      </c>
    </row>
    <row r="40" spans="2:14" x14ac:dyDescent="0.3">
      <c r="E40" s="46"/>
      <c r="F40" s="118"/>
      <c r="G40" s="225"/>
      <c r="H40" s="171"/>
      <c r="I40" s="171"/>
      <c r="J40" s="171"/>
      <c r="K40" s="171"/>
      <c r="L40" s="171"/>
      <c r="M40" s="171"/>
      <c r="N40" s="171"/>
    </row>
    <row r="41" spans="2:14" x14ac:dyDescent="0.3">
      <c r="B41" s="18" t="s">
        <v>97</v>
      </c>
      <c r="E41" s="321">
        <v>321195</v>
      </c>
      <c r="F41" s="118"/>
      <c r="G41" s="225"/>
      <c r="H41" s="321">
        <v>250863</v>
      </c>
      <c r="I41" s="321">
        <v>13379.09</v>
      </c>
      <c r="J41" s="321">
        <v>19310</v>
      </c>
      <c r="K41" s="321">
        <v>5024.2380000000003</v>
      </c>
      <c r="L41" s="321">
        <v>18690</v>
      </c>
      <c r="M41" s="321">
        <v>319616</v>
      </c>
      <c r="N41" s="321">
        <v>159316</v>
      </c>
    </row>
    <row r="42" spans="2:14" x14ac:dyDescent="0.3">
      <c r="B42" s="18" t="s">
        <v>96</v>
      </c>
      <c r="E42" s="321">
        <f>126385+31816+17017+52573</f>
        <v>227791</v>
      </c>
      <c r="F42" s="118"/>
      <c r="G42" s="225"/>
      <c r="H42" s="321">
        <f>88121+40849+15982+4750+13657</f>
        <v>163359</v>
      </c>
      <c r="I42" s="321">
        <v>5409.0079999999998</v>
      </c>
      <c r="J42" s="321">
        <v>15749</v>
      </c>
      <c r="K42" s="321">
        <v>2694.2620000000002</v>
      </c>
      <c r="L42" s="321">
        <f>5406+8216+67+513+462</f>
        <v>14664</v>
      </c>
      <c r="M42" s="321">
        <v>97072</v>
      </c>
      <c r="N42" s="321">
        <v>31026</v>
      </c>
    </row>
    <row r="43" spans="2:14" x14ac:dyDescent="0.3">
      <c r="B43" s="18" t="s">
        <v>65</v>
      </c>
      <c r="E43" s="321">
        <v>93404</v>
      </c>
      <c r="F43" s="118"/>
      <c r="G43" s="225"/>
      <c r="H43" s="321">
        <f>87504</f>
        <v>87504</v>
      </c>
      <c r="I43" s="321">
        <v>7970.0820000000003</v>
      </c>
      <c r="J43" s="321">
        <v>3561</v>
      </c>
      <c r="K43" s="321">
        <v>2329.9760000000001</v>
      </c>
      <c r="L43" s="321">
        <f>13566-10097-1781-178+1494+1022</f>
        <v>4026</v>
      </c>
      <c r="M43" s="321">
        <v>222544</v>
      </c>
      <c r="N43" s="321">
        <v>128290</v>
      </c>
    </row>
    <row r="44" spans="2:14" x14ac:dyDescent="0.3">
      <c r="B44" s="211" t="s">
        <v>180</v>
      </c>
      <c r="C44" s="211"/>
      <c r="D44" s="211"/>
      <c r="E44" s="256">
        <f>E41-SUM(E42:E43)</f>
        <v>0</v>
      </c>
      <c r="F44" s="257"/>
      <c r="G44" s="258"/>
      <c r="H44" s="256">
        <f t="shared" ref="H44:N44" si="8">H41-SUM(H42:H43)</f>
        <v>0</v>
      </c>
      <c r="I44" s="256">
        <f t="shared" si="8"/>
        <v>0</v>
      </c>
      <c r="J44" s="256">
        <f t="shared" si="8"/>
        <v>0</v>
      </c>
      <c r="K44" s="256">
        <f t="shared" si="8"/>
        <v>0</v>
      </c>
      <c r="L44" s="256">
        <f t="shared" si="8"/>
        <v>0</v>
      </c>
      <c r="M44" s="256">
        <f t="shared" si="8"/>
        <v>0</v>
      </c>
      <c r="N44" s="256">
        <f t="shared" si="8"/>
        <v>0</v>
      </c>
    </row>
    <row r="45" spans="2:14" x14ac:dyDescent="0.3">
      <c r="B45" s="211"/>
      <c r="C45" s="211"/>
      <c r="D45" s="211"/>
      <c r="E45" s="256"/>
      <c r="F45" s="257"/>
      <c r="G45" s="258"/>
      <c r="H45" s="256"/>
      <c r="I45" s="256"/>
      <c r="J45" s="256"/>
      <c r="K45" s="256"/>
      <c r="L45" s="256"/>
      <c r="M45" s="256"/>
      <c r="N45" s="256"/>
    </row>
    <row r="46" spans="2:14" x14ac:dyDescent="0.3">
      <c r="E46" s="28"/>
    </row>
    <row r="47" spans="2:14" ht="15.5" x14ac:dyDescent="0.35">
      <c r="B47" s="91" t="s">
        <v>28</v>
      </c>
      <c r="C47" s="91"/>
      <c r="D47" s="26"/>
      <c r="E47" s="54"/>
      <c r="F47" s="26"/>
      <c r="G47" s="240"/>
      <c r="H47" s="27"/>
      <c r="I47" s="27"/>
      <c r="J47" s="27"/>
      <c r="K47" s="27"/>
      <c r="L47" s="27"/>
      <c r="M47" s="27"/>
      <c r="N47" s="27"/>
    </row>
    <row r="48" spans="2:14" x14ac:dyDescent="0.3">
      <c r="E48" s="28"/>
    </row>
    <row r="49" spans="2:14" x14ac:dyDescent="0.3">
      <c r="B49" s="43" t="s">
        <v>26</v>
      </c>
      <c r="C49" s="43"/>
      <c r="D49" s="44"/>
      <c r="E49" s="53"/>
      <c r="F49" s="44"/>
      <c r="G49" s="236"/>
      <c r="H49" s="45"/>
      <c r="I49" s="45"/>
      <c r="J49" s="45"/>
      <c r="K49" s="45"/>
      <c r="L49" s="45"/>
      <c r="M49" s="45"/>
      <c r="N49" s="45"/>
    </row>
    <row r="50" spans="2:14" ht="17" x14ac:dyDescent="0.6">
      <c r="B50" s="58" t="s">
        <v>14</v>
      </c>
      <c r="C50" s="58"/>
      <c r="D50" s="24"/>
      <c r="E50" s="55"/>
      <c r="F50" s="24"/>
      <c r="G50" s="20"/>
      <c r="H50" s="20"/>
      <c r="I50" s="20"/>
      <c r="J50" s="20"/>
      <c r="K50" s="20"/>
      <c r="L50" s="20"/>
      <c r="M50" s="20"/>
      <c r="N50" s="20"/>
    </row>
    <row r="51" spans="2:14" x14ac:dyDescent="0.3">
      <c r="B51" s="47" t="s">
        <v>13</v>
      </c>
      <c r="C51" s="47"/>
      <c r="E51" s="321">
        <v>472903</v>
      </c>
      <c r="F51" s="118"/>
      <c r="G51" s="225"/>
      <c r="H51" s="321">
        <v>549417</v>
      </c>
      <c r="I51" s="321">
        <v>4811</v>
      </c>
      <c r="J51" s="321">
        <v>11917</v>
      </c>
      <c r="K51" s="321">
        <v>3828</v>
      </c>
      <c r="L51" s="321">
        <v>7440</v>
      </c>
      <c r="M51" s="321">
        <v>225493</v>
      </c>
      <c r="N51" s="321">
        <v>107641</v>
      </c>
    </row>
    <row r="52" spans="2:14" x14ac:dyDescent="0.3">
      <c r="B52" s="47" t="s">
        <v>10</v>
      </c>
      <c r="C52" s="47"/>
      <c r="E52" s="321">
        <v>72596</v>
      </c>
      <c r="F52" s="118"/>
      <c r="G52" s="225"/>
      <c r="H52" s="321">
        <v>34222</v>
      </c>
      <c r="I52" s="321">
        <v>1461</v>
      </c>
      <c r="J52" s="321">
        <v>4204</v>
      </c>
      <c r="K52" s="321">
        <v>343</v>
      </c>
      <c r="L52" s="321">
        <v>968</v>
      </c>
      <c r="M52" s="321">
        <v>83040</v>
      </c>
      <c r="N52" s="321">
        <v>54306</v>
      </c>
    </row>
    <row r="53" spans="2:14" x14ac:dyDescent="0.3">
      <c r="B53" s="47" t="s">
        <v>63</v>
      </c>
      <c r="C53" s="47"/>
      <c r="E53" s="321">
        <v>24841</v>
      </c>
      <c r="F53" s="118"/>
      <c r="G53" s="225"/>
      <c r="H53" s="321">
        <v>15512</v>
      </c>
      <c r="I53" s="321">
        <v>196</v>
      </c>
      <c r="J53" s="321">
        <v>2285</v>
      </c>
      <c r="K53" s="321">
        <v>-781</v>
      </c>
      <c r="L53" s="321">
        <v>-519</v>
      </c>
      <c r="M53" s="321">
        <v>47115</v>
      </c>
      <c r="N53" s="321">
        <v>32704</v>
      </c>
    </row>
    <row r="54" spans="2:14" x14ac:dyDescent="0.3">
      <c r="B54" s="47" t="s">
        <v>16</v>
      </c>
      <c r="C54" s="47"/>
      <c r="E54" s="321">
        <f>146*(24841/47.8)</f>
        <v>75874.184100418424</v>
      </c>
      <c r="F54" s="118"/>
      <c r="G54" s="225"/>
      <c r="H54" s="321">
        <f>8.96*(15512/5.51)</f>
        <v>25224.595281306716</v>
      </c>
      <c r="I54" s="321">
        <f>1.68*(196/0.24)</f>
        <v>1372</v>
      </c>
      <c r="J54" s="321">
        <f>4.92*(2285/3.34)</f>
        <v>3365.9281437125751</v>
      </c>
      <c r="K54" s="321">
        <f>0.22*(-781/-0.5)</f>
        <v>343.64</v>
      </c>
      <c r="L54" s="321">
        <f>17.1*(143.865)</f>
        <v>2460.0915000000005</v>
      </c>
      <c r="M54" s="321">
        <f>101*(47115/69)</f>
        <v>68965.434782608703</v>
      </c>
      <c r="N54" s="321">
        <f>13*(32704/11.3)</f>
        <v>37624.070796460175</v>
      </c>
    </row>
    <row r="55" spans="2:14" x14ac:dyDescent="0.3">
      <c r="B55" s="47"/>
      <c r="C55" s="47"/>
      <c r="E55" s="46"/>
      <c r="F55" s="118"/>
      <c r="G55" s="225"/>
      <c r="H55" s="313"/>
      <c r="I55" s="313"/>
      <c r="J55" s="313"/>
      <c r="K55" s="313"/>
      <c r="L55" s="313"/>
      <c r="M55" s="313"/>
      <c r="N55" s="313"/>
    </row>
    <row r="56" spans="2:14" ht="17" x14ac:dyDescent="0.6">
      <c r="B56" s="59" t="s">
        <v>15</v>
      </c>
      <c r="C56" s="59"/>
      <c r="E56" s="46"/>
      <c r="F56" s="118"/>
      <c r="G56" s="259"/>
      <c r="H56" s="314"/>
      <c r="I56" s="314"/>
      <c r="J56" s="314"/>
      <c r="K56" s="314"/>
      <c r="L56" s="314"/>
      <c r="M56" s="314"/>
      <c r="N56" s="314"/>
    </row>
    <row r="57" spans="2:14" x14ac:dyDescent="0.3">
      <c r="B57" s="47" t="s">
        <v>13</v>
      </c>
      <c r="C57" s="47"/>
      <c r="E57" s="321">
        <v>557294</v>
      </c>
      <c r="F57" s="118"/>
      <c r="G57" s="225"/>
      <c r="H57" s="321">
        <v>565010</v>
      </c>
      <c r="I57" s="321">
        <v>5850</v>
      </c>
      <c r="J57" s="321">
        <v>12740</v>
      </c>
      <c r="K57" s="321">
        <v>5537</v>
      </c>
      <c r="L57" s="321">
        <v>10386</v>
      </c>
      <c r="M57" s="321">
        <v>263227</v>
      </c>
      <c r="N57" s="321">
        <v>128587</v>
      </c>
    </row>
    <row r="58" spans="2:14" x14ac:dyDescent="0.3">
      <c r="B58" s="47" t="s">
        <v>10</v>
      </c>
      <c r="C58" s="47"/>
      <c r="E58" s="321">
        <v>90110</v>
      </c>
      <c r="F58" s="118"/>
      <c r="G58" s="225"/>
      <c r="H58" s="321">
        <v>35790</v>
      </c>
      <c r="I58" s="321">
        <v>1880</v>
      </c>
      <c r="J58" s="321">
        <v>4596</v>
      </c>
      <c r="K58" s="321">
        <v>1090</v>
      </c>
      <c r="L58" s="321">
        <v>2099</v>
      </c>
      <c r="M58" s="321">
        <v>97895</v>
      </c>
      <c r="N58" s="321">
        <v>65212</v>
      </c>
    </row>
    <row r="59" spans="2:14" x14ac:dyDescent="0.3">
      <c r="B59" s="47" t="s">
        <v>63</v>
      </c>
      <c r="C59" s="47"/>
      <c r="E59" s="321">
        <v>35107</v>
      </c>
      <c r="F59" s="118"/>
      <c r="G59" s="225"/>
      <c r="H59" s="321">
        <v>16440</v>
      </c>
      <c r="I59" s="321">
        <v>406</v>
      </c>
      <c r="J59" s="321">
        <v>2605</v>
      </c>
      <c r="K59" s="321">
        <v>-228</v>
      </c>
      <c r="L59" s="321">
        <v>399</v>
      </c>
      <c r="M59" s="321">
        <v>54859</v>
      </c>
      <c r="N59" s="321">
        <v>39219</v>
      </c>
    </row>
    <row r="60" spans="2:14" x14ac:dyDescent="0.3">
      <c r="B60" s="47" t="s">
        <v>16</v>
      </c>
      <c r="C60" s="47"/>
      <c r="E60" s="321">
        <f>183*(35107/66.7)</f>
        <v>96320.55472263867</v>
      </c>
      <c r="F60" s="118"/>
      <c r="G60" s="225"/>
      <c r="H60" s="321">
        <f>10.6*(16440/5.91)</f>
        <v>29486.294416243651</v>
      </c>
      <c r="I60" s="321">
        <f>2.02*(406/0.5)</f>
        <v>1640.24</v>
      </c>
      <c r="J60" s="321">
        <f>4.94*(2605/3.89)</f>
        <v>3308.1491002570692</v>
      </c>
      <c r="K60" s="321">
        <f>0.55*(-228/-0.13)</f>
        <v>964.61538461538464</v>
      </c>
      <c r="L60" s="321">
        <f>13.8*(399/3.59)</f>
        <v>1533.7604456824513</v>
      </c>
      <c r="M60" s="321">
        <f>115*(54859/81)</f>
        <v>77886.234567901236</v>
      </c>
      <c r="N60" s="321">
        <f>14.8*(39219/13.5)</f>
        <v>42995.64444444445</v>
      </c>
    </row>
    <row r="61" spans="2:14" x14ac:dyDescent="0.3">
      <c r="B61" s="47"/>
      <c r="C61" s="47"/>
      <c r="E61" s="28"/>
      <c r="G61" s="235"/>
      <c r="H61" s="28"/>
      <c r="I61" s="28"/>
      <c r="J61" s="28"/>
      <c r="K61" s="28"/>
      <c r="L61" s="28"/>
      <c r="M61" s="28"/>
      <c r="N61" s="28"/>
    </row>
    <row r="62" spans="2:14" x14ac:dyDescent="0.3">
      <c r="B62" s="49" t="s">
        <v>27</v>
      </c>
      <c r="C62" s="49"/>
      <c r="D62" s="44"/>
      <c r="E62" s="53"/>
      <c r="F62" s="44"/>
      <c r="G62" s="236"/>
      <c r="H62" s="45"/>
      <c r="I62" s="45"/>
      <c r="J62" s="45"/>
      <c r="K62" s="45"/>
      <c r="L62" s="45"/>
      <c r="M62" s="45"/>
      <c r="N62" s="45"/>
    </row>
    <row r="63" spans="2:14" ht="17" x14ac:dyDescent="0.6">
      <c r="B63" s="58" t="s">
        <v>14</v>
      </c>
      <c r="C63" s="58"/>
      <c r="D63" s="24"/>
      <c r="E63" s="55"/>
      <c r="F63" s="24"/>
      <c r="G63" s="36"/>
      <c r="H63" s="31"/>
      <c r="I63" s="31"/>
      <c r="J63" s="31"/>
      <c r="K63" s="31"/>
      <c r="L63" s="31"/>
      <c r="M63" s="31"/>
      <c r="N63" s="31"/>
    </row>
    <row r="64" spans="2:14" x14ac:dyDescent="0.3">
      <c r="B64" s="47" t="s">
        <v>17</v>
      </c>
      <c r="C64" s="47"/>
      <c r="E64" s="32">
        <f>IFERROR($E$32/E51,"-")</f>
        <v>3.5685050591770406</v>
      </c>
      <c r="G64" s="241"/>
      <c r="H64" s="241">
        <f t="shared" ref="H64:N65" si="9">IFERROR(H$32/H51,"-")</f>
        <v>0.78248652520762918</v>
      </c>
      <c r="I64" s="241">
        <f t="shared" si="9"/>
        <v>14.361285986093005</v>
      </c>
      <c r="J64" s="241">
        <f t="shared" si="9"/>
        <v>4.0571721070739279</v>
      </c>
      <c r="K64" s="241">
        <f t="shared" si="9"/>
        <v>8.133098473529305</v>
      </c>
      <c r="L64" s="241">
        <f t="shared" si="9"/>
        <v>3.9099121236559142</v>
      </c>
      <c r="M64" s="241">
        <f t="shared" si="9"/>
        <v>6.3807222744847056</v>
      </c>
      <c r="N64" s="241">
        <f t="shared" si="9"/>
        <v>7.1901517918822764</v>
      </c>
    </row>
    <row r="65" spans="2:14" x14ac:dyDescent="0.3">
      <c r="B65" s="47" t="s">
        <v>11</v>
      </c>
      <c r="C65" s="47"/>
      <c r="E65" s="32">
        <f>IFERROR($E$32/E52,"-")</f>
        <v>23.245864069645712</v>
      </c>
      <c r="G65" s="241"/>
      <c r="H65" s="241">
        <f t="shared" si="9"/>
        <v>12.562427655309451</v>
      </c>
      <c r="I65" s="241">
        <f t="shared" si="9"/>
        <v>47.290997179393187</v>
      </c>
      <c r="J65" s="241">
        <f t="shared" si="9"/>
        <v>11.500789724072312</v>
      </c>
      <c r="K65" s="241">
        <f t="shared" si="9"/>
        <v>90.768224363469912</v>
      </c>
      <c r="L65" s="241">
        <f t="shared" si="9"/>
        <v>30.051390702479342</v>
      </c>
      <c r="M65" s="241">
        <f t="shared" si="9"/>
        <v>17.326688437384149</v>
      </c>
      <c r="N65" s="241">
        <f t="shared" si="9"/>
        <v>14.251742515191692</v>
      </c>
    </row>
    <row r="66" spans="2:14" s="41" customFormat="1" x14ac:dyDescent="0.3">
      <c r="B66" s="79" t="s">
        <v>141</v>
      </c>
      <c r="C66" s="79"/>
      <c r="E66" s="194">
        <f>IFERROR($E$21/E53,"-")</f>
        <v>65.630600539430787</v>
      </c>
      <c r="G66" s="242"/>
      <c r="H66" s="242">
        <f t="shared" ref="H66:N67" si="10">IFERROR(H$21/H53,"-")</f>
        <v>24.223723518566274</v>
      </c>
      <c r="I66" s="242">
        <f t="shared" si="10"/>
        <v>349.16387693415021</v>
      </c>
      <c r="J66" s="242">
        <f t="shared" si="10"/>
        <v>18.145435448577679</v>
      </c>
      <c r="K66" s="242">
        <f t="shared" si="10"/>
        <v>-39.138741301754386</v>
      </c>
      <c r="L66" s="242">
        <f t="shared" si="10"/>
        <v>-45.467719075144508</v>
      </c>
      <c r="M66" s="242">
        <f t="shared" si="10"/>
        <v>30.50835631625554</v>
      </c>
      <c r="N66" s="242">
        <f t="shared" si="10"/>
        <v>23.861121851455483</v>
      </c>
    </row>
    <row r="67" spans="2:14" s="41" customFormat="1" x14ac:dyDescent="0.3">
      <c r="B67" s="79" t="s">
        <v>182</v>
      </c>
      <c r="C67" s="79"/>
      <c r="E67" s="194">
        <f>IFERROR($E$21/E54,"-")</f>
        <v>21.487278806745145</v>
      </c>
      <c r="G67" s="242"/>
      <c r="H67" s="242">
        <f t="shared" si="10"/>
        <v>14.89650854768975</v>
      </c>
      <c r="I67" s="242">
        <f t="shared" si="10"/>
        <v>49.880553847735747</v>
      </c>
      <c r="J67" s="242">
        <f t="shared" si="10"/>
        <v>12.318242763871838</v>
      </c>
      <c r="K67" s="242">
        <f t="shared" si="10"/>
        <v>88.951684776714515</v>
      </c>
      <c r="L67" s="242">
        <f t="shared" si="10"/>
        <v>9.5922229721943264</v>
      </c>
      <c r="M67" s="242">
        <f t="shared" si="10"/>
        <v>20.842342433877544</v>
      </c>
      <c r="N67" s="242">
        <f t="shared" si="10"/>
        <v>20.740821301649767</v>
      </c>
    </row>
    <row r="68" spans="2:14" s="41" customFormat="1" x14ac:dyDescent="0.3">
      <c r="B68" s="79"/>
      <c r="C68" s="79"/>
      <c r="E68" s="194"/>
      <c r="G68" s="242"/>
      <c r="H68" s="242"/>
      <c r="I68" s="242"/>
      <c r="J68" s="242"/>
      <c r="K68" s="242"/>
      <c r="L68" s="242"/>
      <c r="M68" s="242"/>
      <c r="N68" s="242"/>
    </row>
    <row r="69" spans="2:14" s="41" customFormat="1" ht="17" x14ac:dyDescent="0.6">
      <c r="B69" s="195" t="s">
        <v>15</v>
      </c>
      <c r="C69" s="195"/>
      <c r="E69" s="36"/>
      <c r="G69" s="36"/>
      <c r="H69" s="36"/>
      <c r="I69" s="36"/>
      <c r="J69" s="36"/>
      <c r="K69" s="36"/>
      <c r="L69" s="36"/>
      <c r="M69" s="36"/>
      <c r="N69" s="36"/>
    </row>
    <row r="70" spans="2:14" s="41" customFormat="1" x14ac:dyDescent="0.3">
      <c r="B70" s="79" t="s">
        <v>17</v>
      </c>
      <c r="C70" s="79"/>
      <c r="E70" s="194">
        <f>IFERROR($E$32/E57,"-")</f>
        <v>3.0281265328533955</v>
      </c>
      <c r="G70" s="242"/>
      <c r="H70" s="242">
        <f t="shared" ref="H70:N71" si="11">IFERROR(H$32/H57,"-")</f>
        <v>0.76089166425373</v>
      </c>
      <c r="I70" s="242">
        <f t="shared" si="11"/>
        <v>11.810623398135631</v>
      </c>
      <c r="J70" s="242">
        <f t="shared" si="11"/>
        <v>3.7950800627943484</v>
      </c>
      <c r="K70" s="242">
        <f t="shared" si="11"/>
        <v>5.622810358799021</v>
      </c>
      <c r="L70" s="242">
        <f t="shared" si="11"/>
        <v>2.8008613710764494</v>
      </c>
      <c r="M70" s="242">
        <f t="shared" si="11"/>
        <v>5.4660358087900551</v>
      </c>
      <c r="N70" s="242">
        <f t="shared" si="11"/>
        <v>6.0189220452300782</v>
      </c>
    </row>
    <row r="71" spans="2:14" s="41" customFormat="1" x14ac:dyDescent="0.3">
      <c r="B71" s="79" t="s">
        <v>11</v>
      </c>
      <c r="C71" s="79"/>
      <c r="E71" s="194">
        <f>IFERROR($E$32/E58,"-")</f>
        <v>18.727741072023086</v>
      </c>
      <c r="G71" s="242"/>
      <c r="H71" s="242">
        <f t="shared" si="11"/>
        <v>12.012053624476112</v>
      </c>
      <c r="I71" s="242">
        <f t="shared" si="11"/>
        <v>36.751141956964595</v>
      </c>
      <c r="J71" s="242">
        <f t="shared" si="11"/>
        <v>10.519869451697128</v>
      </c>
      <c r="K71" s="242">
        <f t="shared" si="11"/>
        <v>28.56284491437631</v>
      </c>
      <c r="L71" s="242">
        <f t="shared" si="11"/>
        <v>13.858859552167699</v>
      </c>
      <c r="M71" s="242">
        <f t="shared" si="11"/>
        <v>14.697463689058479</v>
      </c>
      <c r="N71" s="242">
        <f t="shared" si="11"/>
        <v>11.868293090688832</v>
      </c>
    </row>
    <row r="72" spans="2:14" s="41" customFormat="1" x14ac:dyDescent="0.3">
      <c r="B72" s="79" t="s">
        <v>141</v>
      </c>
      <c r="C72" s="79"/>
      <c r="E72" s="194">
        <f>IFERROR($E$21/E59,"-")</f>
        <v>46.438879653630337</v>
      </c>
      <c r="G72" s="242"/>
      <c r="H72" s="242">
        <f t="shared" ref="H72:N73" si="12">IFERROR(H$21/H59,"-")</f>
        <v>22.856350317518249</v>
      </c>
      <c r="I72" s="242">
        <f t="shared" si="12"/>
        <v>168.56187162338287</v>
      </c>
      <c r="J72" s="242">
        <f t="shared" si="12"/>
        <v>15.916437619961613</v>
      </c>
      <c r="K72" s="242">
        <f t="shared" si="12"/>
        <v>-134.06735507311481</v>
      </c>
      <c r="L72" s="242">
        <f t="shared" si="12"/>
        <v>59.142221052631584</v>
      </c>
      <c r="M72" s="242">
        <f t="shared" si="12"/>
        <v>26.201739146546235</v>
      </c>
      <c r="N72" s="242">
        <f t="shared" si="12"/>
        <v>19.897348964277519</v>
      </c>
    </row>
    <row r="73" spans="2:14" s="41" customFormat="1" x14ac:dyDescent="0.3">
      <c r="B73" s="79" t="s">
        <v>182</v>
      </c>
      <c r="C73" s="79"/>
      <c r="E73" s="194">
        <f>IFERROR($E$21/E60,"-")</f>
        <v>16.926083458454336</v>
      </c>
      <c r="G73" s="242"/>
      <c r="H73" s="242">
        <f t="shared" si="12"/>
        <v>12.743493431748384</v>
      </c>
      <c r="I73" s="242">
        <f t="shared" si="12"/>
        <v>41.723235550342295</v>
      </c>
      <c r="J73" s="242">
        <f t="shared" si="12"/>
        <v>12.533389137985967</v>
      </c>
      <c r="K73" s="242">
        <f t="shared" si="12"/>
        <v>31.688647562736229</v>
      </c>
      <c r="L73" s="242">
        <f t="shared" si="12"/>
        <v>15.38554881006865</v>
      </c>
      <c r="M73" s="242">
        <f t="shared" si="12"/>
        <v>18.455138007567346</v>
      </c>
      <c r="N73" s="242">
        <f t="shared" si="12"/>
        <v>18.14960885255044</v>
      </c>
    </row>
    <row r="74" spans="2:14" x14ac:dyDescent="0.3">
      <c r="B74" s="47"/>
      <c r="C74" s="47"/>
      <c r="E74" s="32"/>
      <c r="G74" s="241"/>
      <c r="H74" s="32"/>
      <c r="I74" s="32"/>
      <c r="J74" s="32"/>
      <c r="K74" s="32"/>
      <c r="L74" s="32"/>
      <c r="M74" s="32"/>
      <c r="N74" s="32"/>
    </row>
    <row r="75" spans="2:14" x14ac:dyDescent="0.3">
      <c r="B75" s="49" t="s">
        <v>35</v>
      </c>
      <c r="C75" s="49"/>
      <c r="D75" s="44"/>
      <c r="E75" s="45"/>
      <c r="F75" s="44"/>
      <c r="G75" s="236"/>
      <c r="H75" s="45"/>
      <c r="I75" s="45"/>
      <c r="J75" s="45"/>
      <c r="K75" s="45"/>
      <c r="L75" s="45"/>
      <c r="M75" s="45"/>
      <c r="N75" s="45"/>
    </row>
    <row r="76" spans="2:14" x14ac:dyDescent="0.3">
      <c r="B76" s="47" t="s">
        <v>29</v>
      </c>
      <c r="C76" s="47"/>
      <c r="E76" s="32">
        <f>IFERROR(E27/E43,"-")</f>
        <v>1.0636482377628367</v>
      </c>
      <c r="G76" s="241"/>
      <c r="H76" s="32">
        <f t="shared" ref="H76:N76" si="13">IFERROR(H27/H43,"-")</f>
        <v>0.78256993965990129</v>
      </c>
      <c r="I76" s="32">
        <f t="shared" si="13"/>
        <v>0.33179784097578913</v>
      </c>
      <c r="J76" s="32">
        <f t="shared" si="13"/>
        <v>2.3350182532996349</v>
      </c>
      <c r="K76" s="32">
        <f t="shared" si="13"/>
        <v>0.47715598787283653</v>
      </c>
      <c r="L76" s="32">
        <f t="shared" si="13"/>
        <v>2.1994535519125682</v>
      </c>
      <c r="M76" s="32">
        <f t="shared" si="13"/>
        <v>0.12524264864476239</v>
      </c>
      <c r="N76" s="32">
        <f t="shared" si="13"/>
        <v>8.7122924623898979E-2</v>
      </c>
    </row>
    <row r="77" spans="2:14" x14ac:dyDescent="0.3">
      <c r="B77" s="47" t="s">
        <v>184</v>
      </c>
      <c r="C77" s="47"/>
      <c r="E77" s="33">
        <f>IFERROR(E27/(E27+E43),"-")</f>
        <v>0.51542129045981122</v>
      </c>
      <c r="G77" s="33"/>
      <c r="H77" s="33">
        <f t="shared" ref="H77:N77" si="14">IFERROR(H27/(H27+H43),"-")</f>
        <v>0.43901219371465938</v>
      </c>
      <c r="I77" s="33">
        <f t="shared" si="14"/>
        <v>0.24913528973187524</v>
      </c>
      <c r="J77" s="33">
        <f t="shared" si="14"/>
        <v>0.70015156618390029</v>
      </c>
      <c r="K77" s="33">
        <f t="shared" si="14"/>
        <v>0.32302342595514244</v>
      </c>
      <c r="L77" s="33">
        <f t="shared" si="14"/>
        <v>0.68744662681468827</v>
      </c>
      <c r="M77" s="33">
        <f t="shared" si="14"/>
        <v>0.11130279215385598</v>
      </c>
      <c r="N77" s="33">
        <f t="shared" si="14"/>
        <v>8.0140821843160029E-2</v>
      </c>
    </row>
    <row r="78" spans="2:14" x14ac:dyDescent="0.3">
      <c r="B78" s="47" t="s">
        <v>183</v>
      </c>
      <c r="C78" s="47"/>
      <c r="E78" s="33">
        <f>IFERROR(E27/(E27+E21),"-")</f>
        <v>5.7437833536936073E-2</v>
      </c>
      <c r="G78" s="243"/>
      <c r="H78" s="33">
        <f t="shared" ref="H78:N78" si="15">IFERROR(H27/(H27+H21),"-")</f>
        <v>0.1541476567886719</v>
      </c>
      <c r="I78" s="33">
        <f t="shared" si="15"/>
        <v>3.720363780532903E-2</v>
      </c>
      <c r="J78" s="33">
        <f t="shared" si="15"/>
        <v>0.16704394692201188</v>
      </c>
      <c r="K78" s="33">
        <f t="shared" si="15"/>
        <v>3.5094473477012965E-2</v>
      </c>
      <c r="L78" s="33">
        <f t="shared" si="15"/>
        <v>0.27285826430306842</v>
      </c>
      <c r="M78" s="33">
        <f t="shared" si="15"/>
        <v>1.9021708614381658E-2</v>
      </c>
      <c r="N78" s="33">
        <f t="shared" si="15"/>
        <v>1.4120733335778101E-2</v>
      </c>
    </row>
    <row r="84" spans="2:7" x14ac:dyDescent="0.3">
      <c r="B84" s="19" t="s">
        <v>255</v>
      </c>
    </row>
    <row r="86" spans="2:7" x14ac:dyDescent="0.3">
      <c r="G86" s="306"/>
    </row>
  </sheetData>
  <phoneticPr fontId="27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D882-DBD2-43B3-9542-316F3289C9ED}">
  <dimension ref="A1:I476"/>
  <sheetViews>
    <sheetView showGridLines="0" workbookViewId="0">
      <pane ySplit="3" topLeftCell="A4" activePane="bottomLeft" state="frozen"/>
      <selection activeCell="L66" sqref="L66"/>
      <selection pane="bottomLeft" activeCell="F15" sqref="F15"/>
    </sheetView>
  </sheetViews>
  <sheetFormatPr defaultColWidth="11.7265625" defaultRowHeight="14" x14ac:dyDescent="0.3"/>
  <cols>
    <col min="1" max="1" width="5.7265625" style="18" customWidth="1"/>
    <col min="2" max="2" width="35.26953125" style="18" bestFit="1" customWidth="1"/>
    <col min="3" max="6" width="13.54296875" style="18" customWidth="1"/>
    <col min="7" max="8" width="11.7265625" style="18"/>
    <col min="9" max="9" width="12.26953125" style="18" bestFit="1" customWidth="1"/>
    <col min="10" max="16384" width="11.7265625" style="18"/>
  </cols>
  <sheetData>
    <row r="1" spans="1:6" s="14" customFormat="1" ht="15.5" x14ac:dyDescent="0.35">
      <c r="A1" s="21" t="s">
        <v>18</v>
      </c>
      <c r="B1" s="13"/>
      <c r="C1" s="13"/>
      <c r="D1" s="13"/>
      <c r="E1" s="13"/>
      <c r="F1" s="13"/>
    </row>
    <row r="2" spans="1:6" s="2" customFormat="1" ht="18" x14ac:dyDescent="0.3">
      <c r="A2" s="15" t="s">
        <v>145</v>
      </c>
      <c r="B2" s="15"/>
      <c r="C2" s="15"/>
      <c r="D2" s="15"/>
      <c r="E2" s="15"/>
      <c r="F2" s="15"/>
    </row>
    <row r="3" spans="1:6" s="14" customFormat="1" ht="15.5" x14ac:dyDescent="0.35">
      <c r="A3" s="22" t="s">
        <v>83</v>
      </c>
      <c r="B3" s="17"/>
      <c r="C3" s="17"/>
      <c r="D3" s="17"/>
      <c r="E3" s="17"/>
      <c r="F3" s="17"/>
    </row>
    <row r="6" spans="1:6" ht="15.5" x14ac:dyDescent="0.35">
      <c r="B6" s="91" t="str">
        <f>'Comps Data'!E6&amp;"'s Diluted Shares"</f>
        <v>Amazon's Diluted Shares</v>
      </c>
      <c r="C6" s="26"/>
      <c r="D6" s="26"/>
      <c r="E6" s="26"/>
      <c r="F6" s="26"/>
    </row>
    <row r="7" spans="1:6" ht="7.5" customHeight="1" x14ac:dyDescent="0.3"/>
    <row r="8" spans="1:6" x14ac:dyDescent="0.3">
      <c r="B8" s="18" t="s">
        <v>31</v>
      </c>
      <c r="F8" s="202">
        <f>'Comps Data'!E11</f>
        <v>3146.14</v>
      </c>
    </row>
    <row r="10" spans="1:6" x14ac:dyDescent="0.3">
      <c r="B10" s="198" t="s">
        <v>21</v>
      </c>
    </row>
    <row r="11" spans="1:6" x14ac:dyDescent="0.3">
      <c r="B11" s="18" t="s">
        <v>32</v>
      </c>
      <c r="F11" s="209">
        <f>'Comps Data'!E15</f>
        <v>503</v>
      </c>
    </row>
    <row r="12" spans="1:6" x14ac:dyDescent="0.3">
      <c r="B12" s="18" t="s">
        <v>199</v>
      </c>
      <c r="F12" s="209">
        <f>F48</f>
        <v>15.2</v>
      </c>
    </row>
    <row r="13" spans="1:6" x14ac:dyDescent="0.3">
      <c r="B13" s="18" t="s">
        <v>33</v>
      </c>
      <c r="F13" s="199">
        <f>+F34</f>
        <v>0</v>
      </c>
    </row>
    <row r="14" spans="1:6" x14ac:dyDescent="0.3">
      <c r="B14" s="50" t="s">
        <v>34</v>
      </c>
      <c r="F14" s="200">
        <f>F60</f>
        <v>0</v>
      </c>
    </row>
    <row r="15" spans="1:6" x14ac:dyDescent="0.3">
      <c r="B15" s="37" t="s">
        <v>91</v>
      </c>
      <c r="C15" s="37"/>
      <c r="D15" s="37"/>
      <c r="E15" s="37"/>
      <c r="F15" s="199">
        <f>SUM(F11:F14)</f>
        <v>518.20000000000005</v>
      </c>
    </row>
    <row r="16" spans="1:6" x14ac:dyDescent="0.3">
      <c r="F16" s="28"/>
    </row>
    <row r="17" spans="2:6" x14ac:dyDescent="0.3">
      <c r="B17" s="19" t="s">
        <v>22</v>
      </c>
      <c r="F17" s="201">
        <f>F8*F15</f>
        <v>1630329.7480000001</v>
      </c>
    </row>
    <row r="18" spans="2:6" x14ac:dyDescent="0.3">
      <c r="B18" s="19"/>
      <c r="F18" s="201"/>
    </row>
    <row r="20" spans="2:6" x14ac:dyDescent="0.3">
      <c r="B20" s="43" t="s">
        <v>159</v>
      </c>
      <c r="C20" s="44"/>
      <c r="D20" s="44"/>
      <c r="E20" s="44"/>
      <c r="F20" s="44"/>
    </row>
    <row r="21" spans="2:6" ht="7" customHeight="1" x14ac:dyDescent="0.3"/>
    <row r="22" spans="2:6" x14ac:dyDescent="0.3">
      <c r="B22" s="116"/>
      <c r="C22" s="116" t="s">
        <v>160</v>
      </c>
      <c r="D22" s="116" t="s">
        <v>161</v>
      </c>
      <c r="E22" s="116" t="s">
        <v>160</v>
      </c>
      <c r="F22" s="116"/>
    </row>
    <row r="23" spans="2:6" ht="17" x14ac:dyDescent="0.6">
      <c r="B23" s="203" t="s">
        <v>162</v>
      </c>
      <c r="C23" s="20" t="s">
        <v>163</v>
      </c>
      <c r="D23" s="20" t="s">
        <v>164</v>
      </c>
      <c r="E23" s="20" t="s">
        <v>165</v>
      </c>
      <c r="F23" s="20" t="s">
        <v>166</v>
      </c>
    </row>
    <row r="24" spans="2:6" s="283" customFormat="1" x14ac:dyDescent="0.3">
      <c r="B24" s="282"/>
      <c r="C24" s="282" t="s">
        <v>167</v>
      </c>
      <c r="D24" s="204" t="s">
        <v>168</v>
      </c>
      <c r="E24" s="282" t="s">
        <v>167</v>
      </c>
      <c r="F24" s="204" t="s">
        <v>169</v>
      </c>
    </row>
    <row r="25" spans="2:6" x14ac:dyDescent="0.3">
      <c r="B25" s="324"/>
      <c r="C25" s="325"/>
      <c r="D25" s="326"/>
      <c r="E25" s="199">
        <f>+IF(D25&lt;=$F$8,C25,0)</f>
        <v>0</v>
      </c>
      <c r="F25" s="205">
        <f>+D25*E25</f>
        <v>0</v>
      </c>
    </row>
    <row r="26" spans="2:6" x14ac:dyDescent="0.3">
      <c r="B26" s="324"/>
      <c r="C26" s="325"/>
      <c r="D26" s="326"/>
      <c r="E26" s="199">
        <f t="shared" ref="E26:E29" si="0">+IF(D26&lt;=$F$8,C26,0)</f>
        <v>0</v>
      </c>
      <c r="F26" s="205">
        <f t="shared" ref="F26:F29" si="1">+D26*E26</f>
        <v>0</v>
      </c>
    </row>
    <row r="27" spans="2:6" x14ac:dyDescent="0.3">
      <c r="B27" s="324"/>
      <c r="C27" s="325"/>
      <c r="D27" s="326"/>
      <c r="E27" s="199">
        <f t="shared" si="0"/>
        <v>0</v>
      </c>
      <c r="F27" s="205">
        <f t="shared" si="1"/>
        <v>0</v>
      </c>
    </row>
    <row r="28" spans="2:6" x14ac:dyDescent="0.3">
      <c r="B28" s="324"/>
      <c r="C28" s="325"/>
      <c r="D28" s="326"/>
      <c r="E28" s="199">
        <f t="shared" ref="E28" si="2">+IF(D28&lt;=$F$8,C28,0)</f>
        <v>0</v>
      </c>
      <c r="F28" s="205">
        <f t="shared" ref="F28" si="3">+D28*E28</f>
        <v>0</v>
      </c>
    </row>
    <row r="29" spans="2:6" x14ac:dyDescent="0.3">
      <c r="B29" s="327"/>
      <c r="C29" s="328"/>
      <c r="D29" s="329"/>
      <c r="E29" s="199">
        <f t="shared" si="0"/>
        <v>0</v>
      </c>
      <c r="F29" s="206">
        <f t="shared" si="1"/>
        <v>0</v>
      </c>
    </row>
    <row r="30" spans="2:6" x14ac:dyDescent="0.3">
      <c r="B30" s="51" t="s">
        <v>146</v>
      </c>
      <c r="C30" s="51"/>
      <c r="D30" s="51"/>
      <c r="E30" s="208">
        <f>SUM(E25:E29)</f>
        <v>0</v>
      </c>
      <c r="F30" s="210">
        <f>SUM(F25:F29)</f>
        <v>0</v>
      </c>
    </row>
    <row r="31" spans="2:6" x14ac:dyDescent="0.3">
      <c r="E31" s="28"/>
      <c r="F31" s="28"/>
    </row>
    <row r="32" spans="2:6" x14ac:dyDescent="0.3">
      <c r="B32" s="18" t="s">
        <v>170</v>
      </c>
      <c r="E32" s="28"/>
      <c r="F32" s="199">
        <f>+E30</f>
        <v>0</v>
      </c>
    </row>
    <row r="33" spans="2:6" x14ac:dyDescent="0.3">
      <c r="B33" s="18" t="s">
        <v>171</v>
      </c>
      <c r="E33" s="28"/>
      <c r="F33" s="199">
        <f>IFERROR(F30/F8,"na")</f>
        <v>0</v>
      </c>
    </row>
    <row r="34" spans="2:6" x14ac:dyDescent="0.3">
      <c r="B34" s="18" t="s">
        <v>196</v>
      </c>
      <c r="E34" s="28"/>
      <c r="F34" s="199">
        <f>IFERROR(F32-F33,"na")</f>
        <v>0</v>
      </c>
    </row>
    <row r="35" spans="2:6" x14ac:dyDescent="0.3">
      <c r="E35" s="28"/>
      <c r="F35" s="199"/>
    </row>
    <row r="36" spans="2:6" x14ac:dyDescent="0.3">
      <c r="E36" s="28"/>
      <c r="F36" s="199"/>
    </row>
    <row r="37" spans="2:6" x14ac:dyDescent="0.3">
      <c r="B37" s="43" t="s">
        <v>197</v>
      </c>
      <c r="C37" s="44"/>
      <c r="D37" s="44"/>
      <c r="E37" s="44"/>
      <c r="F37" s="44"/>
    </row>
    <row r="38" spans="2:6" x14ac:dyDescent="0.3">
      <c r="B38" s="43"/>
      <c r="C38" s="44"/>
      <c r="D38" s="44"/>
      <c r="E38" s="44"/>
      <c r="F38" s="44"/>
    </row>
    <row r="39" spans="2:6" s="41" customFormat="1" ht="5.5" customHeight="1" x14ac:dyDescent="0.3">
      <c r="B39" s="188"/>
      <c r="C39" s="281"/>
      <c r="D39" s="281"/>
      <c r="E39" s="281"/>
      <c r="F39" s="281"/>
    </row>
    <row r="40" spans="2:6" x14ac:dyDescent="0.3">
      <c r="B40" s="19"/>
      <c r="E40" s="28"/>
      <c r="F40" s="116" t="s">
        <v>198</v>
      </c>
    </row>
    <row r="41" spans="2:6" x14ac:dyDescent="0.3">
      <c r="B41" s="19"/>
      <c r="E41" s="28"/>
      <c r="F41" s="116" t="s">
        <v>160</v>
      </c>
    </row>
    <row r="42" spans="2:6" ht="17" x14ac:dyDescent="0.6">
      <c r="B42" s="203" t="s">
        <v>162</v>
      </c>
      <c r="C42" s="203" t="s">
        <v>181</v>
      </c>
      <c r="D42" s="203" t="s">
        <v>181</v>
      </c>
      <c r="E42" s="203" t="s">
        <v>181</v>
      </c>
      <c r="F42" s="20" t="s">
        <v>163</v>
      </c>
    </row>
    <row r="43" spans="2:6" s="283" customFormat="1" x14ac:dyDescent="0.3">
      <c r="E43" s="284"/>
      <c r="F43" s="282" t="s">
        <v>167</v>
      </c>
    </row>
    <row r="44" spans="2:6" x14ac:dyDescent="0.3">
      <c r="B44" s="324" t="s">
        <v>236</v>
      </c>
      <c r="C44" s="318"/>
      <c r="D44" s="318"/>
      <c r="E44" s="330"/>
      <c r="F44" s="325">
        <v>15.2</v>
      </c>
    </row>
    <row r="45" spans="2:6" x14ac:dyDescent="0.3">
      <c r="B45" s="331"/>
      <c r="C45" s="332"/>
      <c r="D45" s="332"/>
      <c r="E45" s="333"/>
      <c r="F45" s="325"/>
    </row>
    <row r="46" spans="2:6" x14ac:dyDescent="0.3">
      <c r="B46" s="331"/>
      <c r="C46" s="332"/>
      <c r="D46" s="332"/>
      <c r="E46" s="333"/>
      <c r="F46" s="325"/>
    </row>
    <row r="47" spans="2:6" x14ac:dyDescent="0.3">
      <c r="B47" s="327"/>
      <c r="C47" s="334"/>
      <c r="D47" s="334"/>
      <c r="E47" s="335"/>
      <c r="F47" s="336"/>
    </row>
    <row r="48" spans="2:6" s="19" customFormat="1" x14ac:dyDescent="0.3">
      <c r="B48" s="19" t="s">
        <v>146</v>
      </c>
      <c r="E48" s="30"/>
      <c r="F48" s="295">
        <f>SUM(F44:F47)</f>
        <v>15.2</v>
      </c>
    </row>
    <row r="49" spans="2:6" x14ac:dyDescent="0.3">
      <c r="B49" s="19"/>
      <c r="C49" s="280"/>
      <c r="E49" s="28"/>
      <c r="F49" s="199"/>
    </row>
    <row r="50" spans="2:6" x14ac:dyDescent="0.3">
      <c r="E50" s="28"/>
      <c r="F50" s="199"/>
    </row>
    <row r="51" spans="2:6" x14ac:dyDescent="0.3">
      <c r="B51" s="43" t="s">
        <v>24</v>
      </c>
      <c r="C51" s="44"/>
      <c r="D51" s="44"/>
      <c r="E51" s="44"/>
      <c r="F51" s="44"/>
    </row>
    <row r="52" spans="2:6" ht="6.65" customHeight="1" x14ac:dyDescent="0.3">
      <c r="E52" s="28"/>
      <c r="F52" s="199"/>
    </row>
    <row r="53" spans="2:6" x14ac:dyDescent="0.3">
      <c r="B53" s="116"/>
      <c r="D53" s="116" t="s">
        <v>172</v>
      </c>
      <c r="E53" s="116" t="s">
        <v>173</v>
      </c>
      <c r="F53" s="116" t="s">
        <v>174</v>
      </c>
    </row>
    <row r="54" spans="2:6" ht="17" x14ac:dyDescent="0.6">
      <c r="B54" s="203" t="s">
        <v>175</v>
      </c>
      <c r="C54" s="20" t="s">
        <v>181</v>
      </c>
      <c r="D54" s="20" t="s">
        <v>176</v>
      </c>
      <c r="E54" s="20" t="s">
        <v>164</v>
      </c>
      <c r="F54" s="20" t="s">
        <v>177</v>
      </c>
    </row>
    <row r="55" spans="2:6" s="283" customFormat="1" x14ac:dyDescent="0.3">
      <c r="C55" s="282"/>
      <c r="D55" s="282" t="s">
        <v>167</v>
      </c>
      <c r="E55" s="204" t="s">
        <v>168</v>
      </c>
      <c r="F55" s="282" t="s">
        <v>167</v>
      </c>
    </row>
    <row r="56" spans="2:6" x14ac:dyDescent="0.3">
      <c r="B56" s="324"/>
      <c r="C56" s="337"/>
      <c r="D56" s="337"/>
      <c r="E56" s="326"/>
      <c r="F56" s="199">
        <f>IF(ISNUMBER($E56),IF($F$8&gt;$E56,$D56/$E56,0),0)</f>
        <v>0</v>
      </c>
    </row>
    <row r="57" spans="2:6" x14ac:dyDescent="0.3">
      <c r="B57" s="324"/>
      <c r="C57" s="337"/>
      <c r="D57" s="337"/>
      <c r="E57" s="326"/>
      <c r="F57" s="199">
        <f>IF(ISNUMBER($E57),IF($F$8&gt;$E57,$D57/$E57,0),0)</f>
        <v>0</v>
      </c>
    </row>
    <row r="58" spans="2:6" x14ac:dyDescent="0.3">
      <c r="B58" s="324"/>
      <c r="C58" s="337"/>
      <c r="D58" s="337"/>
      <c r="E58" s="326"/>
      <c r="F58" s="199">
        <f>IF(ISNUMBER($E58),IF($F$8&gt;$E58,$D58/$E58,0),0)</f>
        <v>0</v>
      </c>
    </row>
    <row r="59" spans="2:6" x14ac:dyDescent="0.3">
      <c r="B59" s="318"/>
      <c r="C59" s="337"/>
      <c r="D59" s="337"/>
      <c r="E59" s="326"/>
      <c r="F59" s="199">
        <f>IF(ISNUMBER($E59),IF($F$8&gt;$E59,$D59/$E59,0),0)</f>
        <v>0</v>
      </c>
    </row>
    <row r="60" spans="2:6" x14ac:dyDescent="0.3">
      <c r="B60" s="51" t="s">
        <v>146</v>
      </c>
      <c r="C60" s="51"/>
      <c r="D60" s="51"/>
      <c r="E60" s="51"/>
      <c r="F60" s="208">
        <f>SUM(F56:F59)</f>
        <v>0</v>
      </c>
    </row>
    <row r="61" spans="2:6" x14ac:dyDescent="0.3">
      <c r="F61" s="28"/>
    </row>
    <row r="62" spans="2:6" x14ac:dyDescent="0.3">
      <c r="B62" s="18" t="s">
        <v>178</v>
      </c>
      <c r="F62" s="133">
        <f>SUMIF(E56:E59,"&lt;"&amp;$F$8,D56:D59)</f>
        <v>0</v>
      </c>
    </row>
    <row r="63" spans="2:6" x14ac:dyDescent="0.3">
      <c r="B63" s="18" t="s">
        <v>179</v>
      </c>
      <c r="F63" s="133">
        <f>SUMIF(E56:E59,"&gt;="&amp;$F$8,D56:D59)</f>
        <v>0</v>
      </c>
    </row>
    <row r="64" spans="2:6" x14ac:dyDescent="0.3">
      <c r="E64" s="28"/>
      <c r="F64" s="199"/>
    </row>
    <row r="66" spans="2:6" ht="15.5" x14ac:dyDescent="0.35">
      <c r="B66" s="91" t="str">
        <f>'Comps Data'!H6&amp;"'s Diluted Shares"</f>
        <v>Walmart's Diluted Shares</v>
      </c>
      <c r="C66" s="26"/>
      <c r="D66" s="26"/>
      <c r="E66" s="26"/>
      <c r="F66" s="26"/>
    </row>
    <row r="67" spans="2:6" ht="7.5" customHeight="1" x14ac:dyDescent="0.3"/>
    <row r="68" spans="2:6" x14ac:dyDescent="0.3">
      <c r="B68" s="18" t="s">
        <v>31</v>
      </c>
      <c r="F68" s="202">
        <f>+'Comps Data'!H11</f>
        <v>131.37</v>
      </c>
    </row>
    <row r="70" spans="2:6" x14ac:dyDescent="0.3">
      <c r="B70" s="198" t="s">
        <v>21</v>
      </c>
    </row>
    <row r="71" spans="2:6" x14ac:dyDescent="0.3">
      <c r="B71" s="18" t="s">
        <v>32</v>
      </c>
      <c r="F71" s="209">
        <f>'Comps Data'!H15</f>
        <v>2831</v>
      </c>
    </row>
    <row r="72" spans="2:6" x14ac:dyDescent="0.3">
      <c r="B72" s="18" t="s">
        <v>199</v>
      </c>
      <c r="F72" s="209">
        <f>F107</f>
        <v>29.305999999999997</v>
      </c>
    </row>
    <row r="73" spans="2:6" x14ac:dyDescent="0.3">
      <c r="B73" s="18" t="s">
        <v>33</v>
      </c>
      <c r="F73" s="199">
        <f>+F94</f>
        <v>0</v>
      </c>
    </row>
    <row r="74" spans="2:6" x14ac:dyDescent="0.3">
      <c r="B74" s="50" t="s">
        <v>34</v>
      </c>
      <c r="F74" s="200">
        <f>F119</f>
        <v>0</v>
      </c>
    </row>
    <row r="75" spans="2:6" x14ac:dyDescent="0.3">
      <c r="B75" s="37" t="s">
        <v>91</v>
      </c>
      <c r="C75" s="37"/>
      <c r="D75" s="37"/>
      <c r="E75" s="37"/>
      <c r="F75" s="199">
        <f>SUM(F71:F74)</f>
        <v>2860.306</v>
      </c>
    </row>
    <row r="76" spans="2:6" x14ac:dyDescent="0.3">
      <c r="F76" s="28"/>
    </row>
    <row r="77" spans="2:6" x14ac:dyDescent="0.3">
      <c r="B77" s="19" t="s">
        <v>22</v>
      </c>
      <c r="F77" s="201">
        <f>F68*F75</f>
        <v>375758.39922000002</v>
      </c>
    </row>
    <row r="78" spans="2:6" x14ac:dyDescent="0.3">
      <c r="B78" s="19"/>
      <c r="F78" s="201"/>
    </row>
    <row r="80" spans="2:6" x14ac:dyDescent="0.3">
      <c r="B80" s="43" t="s">
        <v>159</v>
      </c>
      <c r="C80" s="44"/>
      <c r="D80" s="44"/>
      <c r="E80" s="44"/>
      <c r="F80" s="44"/>
    </row>
    <row r="81" spans="2:6" ht="7" customHeight="1" x14ac:dyDescent="0.3"/>
    <row r="82" spans="2:6" x14ac:dyDescent="0.3">
      <c r="B82" s="116"/>
      <c r="C82" s="116" t="s">
        <v>160</v>
      </c>
      <c r="D82" s="116" t="s">
        <v>161</v>
      </c>
      <c r="E82" s="116" t="s">
        <v>160</v>
      </c>
      <c r="F82" s="116"/>
    </row>
    <row r="83" spans="2:6" ht="17" x14ac:dyDescent="0.6">
      <c r="B83" s="203" t="s">
        <v>162</v>
      </c>
      <c r="C83" s="20" t="s">
        <v>163</v>
      </c>
      <c r="D83" s="20" t="s">
        <v>164</v>
      </c>
      <c r="E83" s="20" t="s">
        <v>165</v>
      </c>
      <c r="F83" s="20" t="s">
        <v>166</v>
      </c>
    </row>
    <row r="84" spans="2:6" s="283" customFormat="1" x14ac:dyDescent="0.3">
      <c r="B84" s="282"/>
      <c r="C84" s="282" t="s">
        <v>167</v>
      </c>
      <c r="D84" s="204" t="s">
        <v>168</v>
      </c>
      <c r="E84" s="282" t="s">
        <v>167</v>
      </c>
      <c r="F84" s="204" t="s">
        <v>169</v>
      </c>
    </row>
    <row r="85" spans="2:6" x14ac:dyDescent="0.3">
      <c r="B85" s="324"/>
      <c r="C85" s="325"/>
      <c r="D85" s="326"/>
      <c r="E85" s="199">
        <f>+IF(D85&lt;=$F$68,C85,0)</f>
        <v>0</v>
      </c>
      <c r="F85" s="205">
        <f>+D85*E85</f>
        <v>0</v>
      </c>
    </row>
    <row r="86" spans="2:6" x14ac:dyDescent="0.3">
      <c r="B86" s="324"/>
      <c r="C86" s="325"/>
      <c r="D86" s="326"/>
      <c r="E86" s="199">
        <f>+IF(D86&lt;=$F$68,C86,0)</f>
        <v>0</v>
      </c>
      <c r="F86" s="205">
        <f t="shared" ref="F86:F89" si="4">+D86*E86</f>
        <v>0</v>
      </c>
    </row>
    <row r="87" spans="2:6" x14ac:dyDescent="0.3">
      <c r="B87" s="324"/>
      <c r="C87" s="325"/>
      <c r="D87" s="326"/>
      <c r="E87" s="199">
        <f t="shared" ref="E87:E89" si="5">+IF(D87&lt;=$F$68,C87,0)</f>
        <v>0</v>
      </c>
      <c r="F87" s="205">
        <f t="shared" si="4"/>
        <v>0</v>
      </c>
    </row>
    <row r="88" spans="2:6" x14ac:dyDescent="0.3">
      <c r="B88" s="324"/>
      <c r="C88" s="325"/>
      <c r="D88" s="326"/>
      <c r="E88" s="199">
        <f t="shared" ref="E88" si="6">+IF(D88&lt;=$F$68,C88,0)</f>
        <v>0</v>
      </c>
      <c r="F88" s="205">
        <f t="shared" ref="F88" si="7">+D88*E88</f>
        <v>0</v>
      </c>
    </row>
    <row r="89" spans="2:6" x14ac:dyDescent="0.3">
      <c r="B89" s="327"/>
      <c r="C89" s="328"/>
      <c r="D89" s="329"/>
      <c r="E89" s="199">
        <f t="shared" si="5"/>
        <v>0</v>
      </c>
      <c r="F89" s="206">
        <f t="shared" si="4"/>
        <v>0</v>
      </c>
    </row>
    <row r="90" spans="2:6" x14ac:dyDescent="0.3">
      <c r="B90" s="51" t="s">
        <v>146</v>
      </c>
      <c r="C90" s="51"/>
      <c r="D90" s="51"/>
      <c r="E90" s="208">
        <f>SUM(E85:E89)</f>
        <v>0</v>
      </c>
      <c r="F90" s="210">
        <f>SUM(F85:F89)</f>
        <v>0</v>
      </c>
    </row>
    <row r="91" spans="2:6" x14ac:dyDescent="0.3">
      <c r="E91" s="28"/>
      <c r="F91" s="28"/>
    </row>
    <row r="92" spans="2:6" x14ac:dyDescent="0.3">
      <c r="B92" s="18" t="s">
        <v>170</v>
      </c>
      <c r="E92" s="28"/>
      <c r="F92" s="199">
        <f>+E90</f>
        <v>0</v>
      </c>
    </row>
    <row r="93" spans="2:6" x14ac:dyDescent="0.3">
      <c r="B93" s="18" t="s">
        <v>171</v>
      </c>
      <c r="E93" s="28"/>
      <c r="F93" s="199">
        <f>IFERROR(F90/F68,"na")</f>
        <v>0</v>
      </c>
    </row>
    <row r="94" spans="2:6" x14ac:dyDescent="0.3">
      <c r="B94" s="18" t="s">
        <v>196</v>
      </c>
      <c r="E94" s="28"/>
      <c r="F94" s="199">
        <f>IFERROR(F92-F93,"na")</f>
        <v>0</v>
      </c>
    </row>
    <row r="95" spans="2:6" x14ac:dyDescent="0.3">
      <c r="E95" s="28"/>
      <c r="F95" s="199"/>
    </row>
    <row r="96" spans="2:6" x14ac:dyDescent="0.3">
      <c r="E96" s="28"/>
      <c r="F96" s="199"/>
    </row>
    <row r="97" spans="2:6" x14ac:dyDescent="0.3">
      <c r="B97" s="43" t="s">
        <v>197</v>
      </c>
      <c r="C97" s="44"/>
      <c r="D97" s="44"/>
      <c r="E97" s="44"/>
      <c r="F97" s="44"/>
    </row>
    <row r="98" spans="2:6" s="41" customFormat="1" ht="5.5" customHeight="1" x14ac:dyDescent="0.3">
      <c r="B98" s="188"/>
      <c r="C98" s="281"/>
      <c r="D98" s="281"/>
      <c r="E98" s="281"/>
      <c r="F98" s="281"/>
    </row>
    <row r="99" spans="2:6" x14ac:dyDescent="0.3">
      <c r="B99" s="19"/>
      <c r="E99" s="28"/>
      <c r="F99" s="116" t="s">
        <v>198</v>
      </c>
    </row>
    <row r="100" spans="2:6" x14ac:dyDescent="0.3">
      <c r="B100" s="19"/>
      <c r="E100" s="28"/>
      <c r="F100" s="116" t="s">
        <v>160</v>
      </c>
    </row>
    <row r="101" spans="2:6" ht="17" x14ac:dyDescent="0.6">
      <c r="B101" s="203" t="s">
        <v>162</v>
      </c>
      <c r="C101" s="203" t="s">
        <v>181</v>
      </c>
      <c r="D101" s="203" t="s">
        <v>181</v>
      </c>
      <c r="E101" s="203" t="s">
        <v>181</v>
      </c>
      <c r="F101" s="20" t="s">
        <v>163</v>
      </c>
    </row>
    <row r="102" spans="2:6" s="283" customFormat="1" x14ac:dyDescent="0.3">
      <c r="E102" s="284"/>
      <c r="F102" s="282" t="s">
        <v>167</v>
      </c>
    </row>
    <row r="103" spans="2:6" x14ac:dyDescent="0.3">
      <c r="B103" s="324" t="s">
        <v>237</v>
      </c>
      <c r="C103" s="318"/>
      <c r="D103" s="318"/>
      <c r="E103" s="330"/>
      <c r="F103" s="325">
        <v>6.0449999999999999</v>
      </c>
    </row>
    <row r="104" spans="2:6" x14ac:dyDescent="0.3">
      <c r="B104" s="324" t="s">
        <v>236</v>
      </c>
      <c r="C104" s="318"/>
      <c r="D104" s="318"/>
      <c r="E104" s="330"/>
      <c r="F104" s="325">
        <v>23.260999999999999</v>
      </c>
    </row>
    <row r="105" spans="2:6" x14ac:dyDescent="0.3">
      <c r="B105" s="331"/>
      <c r="C105" s="332"/>
      <c r="D105" s="332"/>
      <c r="E105" s="333"/>
      <c r="F105" s="325"/>
    </row>
    <row r="106" spans="2:6" x14ac:dyDescent="0.3">
      <c r="B106" s="327"/>
      <c r="C106" s="334"/>
      <c r="D106" s="334"/>
      <c r="E106" s="335"/>
      <c r="F106" s="336"/>
    </row>
    <row r="107" spans="2:6" s="19" customFormat="1" x14ac:dyDescent="0.3">
      <c r="B107" s="19" t="s">
        <v>146</v>
      </c>
      <c r="E107" s="30"/>
      <c r="F107" s="295">
        <f>SUM(F103:F106)</f>
        <v>29.305999999999997</v>
      </c>
    </row>
    <row r="108" spans="2:6" x14ac:dyDescent="0.3">
      <c r="B108" s="19"/>
      <c r="C108" s="280"/>
      <c r="E108" s="28"/>
      <c r="F108" s="199"/>
    </row>
    <row r="109" spans="2:6" x14ac:dyDescent="0.3">
      <c r="E109" s="28"/>
      <c r="F109" s="199"/>
    </row>
    <row r="110" spans="2:6" x14ac:dyDescent="0.3">
      <c r="B110" s="43" t="s">
        <v>24</v>
      </c>
      <c r="C110" s="44"/>
      <c r="D110" s="44"/>
      <c r="E110" s="44"/>
      <c r="F110" s="44"/>
    </row>
    <row r="111" spans="2:6" ht="6.65" customHeight="1" x14ac:dyDescent="0.3">
      <c r="E111" s="28"/>
      <c r="F111" s="199"/>
    </row>
    <row r="112" spans="2:6" x14ac:dyDescent="0.3">
      <c r="B112" s="116"/>
      <c r="C112" s="116"/>
      <c r="D112" s="116" t="s">
        <v>172</v>
      </c>
      <c r="E112" s="116" t="s">
        <v>173</v>
      </c>
      <c r="F112" s="116" t="s">
        <v>174</v>
      </c>
    </row>
    <row r="113" spans="2:6" ht="17" x14ac:dyDescent="0.6">
      <c r="B113" s="203" t="s">
        <v>175</v>
      </c>
      <c r="C113" s="20" t="s">
        <v>181</v>
      </c>
      <c r="D113" s="20" t="s">
        <v>176</v>
      </c>
      <c r="E113" s="20" t="s">
        <v>164</v>
      </c>
      <c r="F113" s="20" t="s">
        <v>177</v>
      </c>
    </row>
    <row r="114" spans="2:6" s="283" customFormat="1" x14ac:dyDescent="0.3">
      <c r="C114" s="282"/>
      <c r="D114" s="282" t="s">
        <v>167</v>
      </c>
      <c r="E114" s="204" t="s">
        <v>168</v>
      </c>
      <c r="F114" s="282" t="s">
        <v>167</v>
      </c>
    </row>
    <row r="115" spans="2:6" x14ac:dyDescent="0.3">
      <c r="B115" s="324"/>
      <c r="C115" s="337"/>
      <c r="D115" s="337"/>
      <c r="E115" s="326"/>
      <c r="F115" s="199">
        <f>IF(ISNUMBER($E115),IF($F$68&gt;$E115,$D115/$E115,0),0)</f>
        <v>0</v>
      </c>
    </row>
    <row r="116" spans="2:6" x14ac:dyDescent="0.3">
      <c r="B116" s="324"/>
      <c r="C116" s="337"/>
      <c r="D116" s="337"/>
      <c r="E116" s="326"/>
      <c r="F116" s="199">
        <f t="shared" ref="F116:F117" si="8">IF(ISNUMBER($E116),IF($F$68&gt;$E116,$D116/$E116,0),0)</f>
        <v>0</v>
      </c>
    </row>
    <row r="117" spans="2:6" x14ac:dyDescent="0.3">
      <c r="B117" s="324"/>
      <c r="C117" s="337"/>
      <c r="D117" s="337"/>
      <c r="E117" s="326"/>
      <c r="F117" s="199">
        <f t="shared" si="8"/>
        <v>0</v>
      </c>
    </row>
    <row r="118" spans="2:6" x14ac:dyDescent="0.3">
      <c r="B118" s="318"/>
      <c r="C118" s="337"/>
      <c r="D118" s="337"/>
      <c r="E118" s="326"/>
      <c r="F118" s="199">
        <f>IF(ISNUMBER($E118),IF($F$68&gt;$E118,$D118/$E118,0),0)</f>
        <v>0</v>
      </c>
    </row>
    <row r="119" spans="2:6" x14ac:dyDescent="0.3">
      <c r="B119" s="51" t="s">
        <v>146</v>
      </c>
      <c r="C119" s="51"/>
      <c r="D119" s="51"/>
      <c r="E119" s="51"/>
      <c r="F119" s="208">
        <f>SUM(F115:F118)</f>
        <v>0</v>
      </c>
    </row>
    <row r="120" spans="2:6" x14ac:dyDescent="0.3">
      <c r="F120" s="28"/>
    </row>
    <row r="121" spans="2:6" x14ac:dyDescent="0.3">
      <c r="B121" s="18" t="s">
        <v>178</v>
      </c>
      <c r="F121" s="133">
        <f>SUMIF(E115:E118,"&lt;"&amp;$F$68,D115:D118)</f>
        <v>0</v>
      </c>
    </row>
    <row r="122" spans="2:6" x14ac:dyDescent="0.3">
      <c r="B122" s="18" t="s">
        <v>179</v>
      </c>
      <c r="F122" s="133">
        <f>SUMIF(E115:E118,"&gt;="&amp;$F$68,D115:D118)</f>
        <v>0</v>
      </c>
    </row>
    <row r="123" spans="2:6" x14ac:dyDescent="0.3">
      <c r="E123" s="28"/>
      <c r="F123" s="199"/>
    </row>
    <row r="125" spans="2:6" ht="15.5" x14ac:dyDescent="0.35">
      <c r="B125" s="91" t="str">
        <f>'Comps Data'!I6&amp;"'s Diluted Shares"</f>
        <v>Twitter's Diluted Shares</v>
      </c>
      <c r="C125" s="26"/>
      <c r="D125" s="26"/>
      <c r="E125" s="26"/>
      <c r="F125" s="26"/>
    </row>
    <row r="126" spans="2:6" ht="7.5" customHeight="1" x14ac:dyDescent="0.3"/>
    <row r="127" spans="2:6" x14ac:dyDescent="0.3">
      <c r="B127" s="18" t="s">
        <v>31</v>
      </c>
      <c r="F127" s="202">
        <f>'Comps Data'!I11</f>
        <v>77.63</v>
      </c>
    </row>
    <row r="129" spans="2:6" x14ac:dyDescent="0.3">
      <c r="B129" s="198" t="s">
        <v>21</v>
      </c>
    </row>
    <row r="130" spans="2:6" x14ac:dyDescent="0.3">
      <c r="B130" s="18" t="s">
        <v>32</v>
      </c>
      <c r="F130" s="209">
        <f>'Comps Data'!I15</f>
        <v>796</v>
      </c>
    </row>
    <row r="131" spans="2:6" x14ac:dyDescent="0.3">
      <c r="B131" s="18" t="s">
        <v>199</v>
      </c>
      <c r="F131" s="209">
        <f>F166</f>
        <v>40.254999999999995</v>
      </c>
    </row>
    <row r="132" spans="2:6" x14ac:dyDescent="0.3">
      <c r="B132" s="18" t="s">
        <v>33</v>
      </c>
      <c r="F132" s="199">
        <f>+F153</f>
        <v>1.086942676800206</v>
      </c>
    </row>
    <row r="133" spans="2:6" x14ac:dyDescent="0.3">
      <c r="B133" s="50" t="s">
        <v>34</v>
      </c>
      <c r="F133" s="200">
        <f>F178</f>
        <v>44.226006300315021</v>
      </c>
    </row>
    <row r="134" spans="2:6" x14ac:dyDescent="0.3">
      <c r="B134" s="37" t="s">
        <v>91</v>
      </c>
      <c r="C134" s="37"/>
      <c r="D134" s="37"/>
      <c r="E134" s="37"/>
      <c r="F134" s="199">
        <f>SUM(F130:F133)</f>
        <v>881.56794897711518</v>
      </c>
    </row>
    <row r="135" spans="2:6" x14ac:dyDescent="0.3">
      <c r="F135" s="28"/>
    </row>
    <row r="136" spans="2:6" x14ac:dyDescent="0.3">
      <c r="B136" s="19" t="s">
        <v>22</v>
      </c>
      <c r="F136" s="201">
        <f>F127*F134</f>
        <v>68436.119879093443</v>
      </c>
    </row>
    <row r="137" spans="2:6" x14ac:dyDescent="0.3">
      <c r="B137" s="19"/>
      <c r="F137" s="201"/>
    </row>
    <row r="139" spans="2:6" x14ac:dyDescent="0.3">
      <c r="B139" s="43" t="s">
        <v>159</v>
      </c>
      <c r="C139" s="44"/>
      <c r="D139" s="44"/>
      <c r="E139" s="44"/>
      <c r="F139" s="44"/>
    </row>
    <row r="140" spans="2:6" ht="7.5" customHeight="1" x14ac:dyDescent="0.3"/>
    <row r="141" spans="2:6" x14ac:dyDescent="0.3">
      <c r="B141" s="116"/>
      <c r="C141" s="116" t="s">
        <v>160</v>
      </c>
      <c r="D141" s="116" t="s">
        <v>161</v>
      </c>
      <c r="E141" s="116" t="s">
        <v>160</v>
      </c>
      <c r="F141" s="116"/>
    </row>
    <row r="142" spans="2:6" ht="17" x14ac:dyDescent="0.6">
      <c r="B142" s="203" t="s">
        <v>162</v>
      </c>
      <c r="C142" s="20" t="s">
        <v>163</v>
      </c>
      <c r="D142" s="20" t="s">
        <v>164</v>
      </c>
      <c r="E142" s="20" t="s">
        <v>165</v>
      </c>
      <c r="F142" s="20" t="s">
        <v>166</v>
      </c>
    </row>
    <row r="143" spans="2:6" s="283" customFormat="1" x14ac:dyDescent="0.3">
      <c r="B143" s="282"/>
      <c r="C143" s="282" t="s">
        <v>167</v>
      </c>
      <c r="D143" s="204" t="s">
        <v>168</v>
      </c>
      <c r="E143" s="282" t="s">
        <v>167</v>
      </c>
      <c r="F143" s="204" t="s">
        <v>169</v>
      </c>
    </row>
    <row r="144" spans="2:6" x14ac:dyDescent="0.3">
      <c r="B144" s="324" t="s">
        <v>238</v>
      </c>
      <c r="C144" s="325">
        <v>1.4359999999999999</v>
      </c>
      <c r="D144" s="326">
        <v>18.87</v>
      </c>
      <c r="E144" s="199">
        <f>+IF(D144&lt;=$F$127,C144,0)</f>
        <v>1.4359999999999999</v>
      </c>
      <c r="F144" s="205">
        <f t="shared" ref="F144" si="9">+D144*E144</f>
        <v>27.09732</v>
      </c>
    </row>
    <row r="145" spans="2:6" x14ac:dyDescent="0.3">
      <c r="B145" s="324"/>
      <c r="C145" s="325"/>
      <c r="D145" s="326"/>
      <c r="E145" s="199">
        <f t="shared" ref="E145:E148" si="10">+IF(D145&lt;=$F$127,C145,0)</f>
        <v>0</v>
      </c>
      <c r="F145" s="205">
        <f t="shared" ref="F145:F148" si="11">+D145*E145</f>
        <v>0</v>
      </c>
    </row>
    <row r="146" spans="2:6" x14ac:dyDescent="0.3">
      <c r="B146" s="324"/>
      <c r="C146" s="325"/>
      <c r="D146" s="326"/>
      <c r="E146" s="199">
        <f t="shared" si="10"/>
        <v>0</v>
      </c>
      <c r="F146" s="205">
        <f t="shared" si="11"/>
        <v>0</v>
      </c>
    </row>
    <row r="147" spans="2:6" x14ac:dyDescent="0.3">
      <c r="B147" s="324"/>
      <c r="C147" s="325"/>
      <c r="D147" s="326"/>
      <c r="E147" s="199">
        <f t="shared" si="10"/>
        <v>0</v>
      </c>
      <c r="F147" s="205">
        <f t="shared" si="11"/>
        <v>0</v>
      </c>
    </row>
    <row r="148" spans="2:6" x14ac:dyDescent="0.3">
      <c r="B148" s="324"/>
      <c r="C148" s="325"/>
      <c r="D148" s="326"/>
      <c r="E148" s="199">
        <f t="shared" si="10"/>
        <v>0</v>
      </c>
      <c r="F148" s="205">
        <f t="shared" si="11"/>
        <v>0</v>
      </c>
    </row>
    <row r="149" spans="2:6" x14ac:dyDescent="0.3">
      <c r="B149" s="51" t="s">
        <v>146</v>
      </c>
      <c r="C149" s="51"/>
      <c r="D149" s="51"/>
      <c r="E149" s="208">
        <f>SUM(E144:E148)</f>
        <v>1.4359999999999999</v>
      </c>
      <c r="F149" s="210">
        <f>SUM(F144:F148)</f>
        <v>27.09732</v>
      </c>
    </row>
    <row r="150" spans="2:6" x14ac:dyDescent="0.3">
      <c r="E150" s="28"/>
      <c r="F150" s="28"/>
    </row>
    <row r="151" spans="2:6" x14ac:dyDescent="0.3">
      <c r="B151" s="18" t="s">
        <v>170</v>
      </c>
      <c r="E151" s="28"/>
      <c r="F151" s="199">
        <f>+E149</f>
        <v>1.4359999999999999</v>
      </c>
    </row>
    <row r="152" spans="2:6" x14ac:dyDescent="0.3">
      <c r="B152" s="18" t="s">
        <v>171</v>
      </c>
      <c r="E152" s="28"/>
      <c r="F152" s="199">
        <f>IFERROR(F149/F127,"na")</f>
        <v>0.34905732319979393</v>
      </c>
    </row>
    <row r="153" spans="2:6" x14ac:dyDescent="0.3">
      <c r="B153" s="18" t="s">
        <v>196</v>
      </c>
      <c r="E153" s="28"/>
      <c r="F153" s="199">
        <f>IFERROR(F151-F152,"na")</f>
        <v>1.086942676800206</v>
      </c>
    </row>
    <row r="154" spans="2:6" x14ac:dyDescent="0.3">
      <c r="E154" s="28"/>
      <c r="F154" s="199"/>
    </row>
    <row r="155" spans="2:6" x14ac:dyDescent="0.3">
      <c r="E155" s="28"/>
      <c r="F155" s="199"/>
    </row>
    <row r="156" spans="2:6" x14ac:dyDescent="0.3">
      <c r="B156" s="43" t="s">
        <v>197</v>
      </c>
      <c r="C156" s="44"/>
      <c r="D156" s="44"/>
      <c r="E156" s="44"/>
      <c r="F156" s="44"/>
    </row>
    <row r="157" spans="2:6" s="41" customFormat="1" ht="5.5" customHeight="1" x14ac:dyDescent="0.3">
      <c r="B157" s="188"/>
      <c r="C157" s="281"/>
      <c r="D157" s="281"/>
      <c r="E157" s="281"/>
      <c r="F157" s="281"/>
    </row>
    <row r="158" spans="2:6" x14ac:dyDescent="0.3">
      <c r="B158" s="19"/>
      <c r="E158" s="28"/>
      <c r="F158" s="116" t="s">
        <v>198</v>
      </c>
    </row>
    <row r="159" spans="2:6" x14ac:dyDescent="0.3">
      <c r="B159" s="19"/>
      <c r="E159" s="28"/>
      <c r="F159" s="116" t="s">
        <v>160</v>
      </c>
    </row>
    <row r="160" spans="2:6" ht="17" x14ac:dyDescent="0.6">
      <c r="B160" s="203" t="s">
        <v>162</v>
      </c>
      <c r="C160" s="203" t="s">
        <v>181</v>
      </c>
      <c r="D160" s="203" t="s">
        <v>181</v>
      </c>
      <c r="E160" s="203" t="s">
        <v>181</v>
      </c>
      <c r="F160" s="20" t="s">
        <v>163</v>
      </c>
    </row>
    <row r="161" spans="2:6" s="283" customFormat="1" x14ac:dyDescent="0.3">
      <c r="E161" s="284"/>
      <c r="F161" s="282" t="s">
        <v>167</v>
      </c>
    </row>
    <row r="162" spans="2:6" x14ac:dyDescent="0.3">
      <c r="B162" s="324" t="s">
        <v>239</v>
      </c>
      <c r="C162" s="318"/>
      <c r="D162" s="318"/>
      <c r="E162" s="330"/>
      <c r="F162" s="325">
        <v>0.72899999999999998</v>
      </c>
    </row>
    <row r="163" spans="2:6" x14ac:dyDescent="0.3">
      <c r="B163" s="324" t="s">
        <v>240</v>
      </c>
      <c r="C163" s="318"/>
      <c r="D163" s="318"/>
      <c r="E163" s="330"/>
      <c r="F163" s="325">
        <v>0.91700000000000004</v>
      </c>
    </row>
    <row r="164" spans="2:6" x14ac:dyDescent="0.3">
      <c r="B164" s="324" t="s">
        <v>236</v>
      </c>
      <c r="C164" s="318"/>
      <c r="D164" s="318"/>
      <c r="E164" s="330"/>
      <c r="F164" s="325">
        <v>36.610999999999997</v>
      </c>
    </row>
    <row r="165" spans="2:6" x14ac:dyDescent="0.3">
      <c r="B165" s="327" t="s">
        <v>241</v>
      </c>
      <c r="C165" s="334" t="s">
        <v>181</v>
      </c>
      <c r="D165" s="334"/>
      <c r="E165" s="335"/>
      <c r="F165" s="325">
        <v>1.998</v>
      </c>
    </row>
    <row r="166" spans="2:6" s="19" customFormat="1" x14ac:dyDescent="0.3">
      <c r="B166" s="19" t="s">
        <v>146</v>
      </c>
      <c r="E166" s="30"/>
      <c r="F166" s="296">
        <f>SUM(F162:F165)</f>
        <v>40.254999999999995</v>
      </c>
    </row>
    <row r="167" spans="2:6" x14ac:dyDescent="0.3">
      <c r="E167" s="28"/>
      <c r="F167" s="199"/>
    </row>
    <row r="168" spans="2:6" x14ac:dyDescent="0.3">
      <c r="E168" s="28"/>
      <c r="F168" s="199"/>
    </row>
    <row r="169" spans="2:6" x14ac:dyDescent="0.3">
      <c r="B169" s="43" t="s">
        <v>24</v>
      </c>
      <c r="C169" s="44"/>
      <c r="D169" s="44"/>
      <c r="E169" s="44"/>
      <c r="F169" s="44"/>
    </row>
    <row r="170" spans="2:6" ht="7.5" customHeight="1" x14ac:dyDescent="0.3">
      <c r="E170" s="28"/>
      <c r="F170" s="199"/>
    </row>
    <row r="171" spans="2:6" x14ac:dyDescent="0.3">
      <c r="B171" s="116"/>
      <c r="D171" s="116" t="s">
        <v>172</v>
      </c>
      <c r="E171" s="116" t="s">
        <v>173</v>
      </c>
      <c r="F171" s="116" t="s">
        <v>174</v>
      </c>
    </row>
    <row r="172" spans="2:6" ht="17" x14ac:dyDescent="0.6">
      <c r="B172" s="203" t="s">
        <v>175</v>
      </c>
      <c r="C172" s="20" t="s">
        <v>181</v>
      </c>
      <c r="D172" s="20" t="s">
        <v>176</v>
      </c>
      <c r="E172" s="20" t="s">
        <v>164</v>
      </c>
      <c r="F172" s="20" t="s">
        <v>177</v>
      </c>
    </row>
    <row r="173" spans="2:6" s="283" customFormat="1" x14ac:dyDescent="0.3">
      <c r="D173" s="282" t="s">
        <v>167</v>
      </c>
      <c r="E173" s="204" t="s">
        <v>168</v>
      </c>
      <c r="F173" s="282" t="s">
        <v>167</v>
      </c>
    </row>
    <row r="174" spans="2:6" x14ac:dyDescent="0.3">
      <c r="B174" s="324" t="s">
        <v>242</v>
      </c>
      <c r="C174" s="318"/>
      <c r="D174" s="337">
        <v>954</v>
      </c>
      <c r="E174" s="326">
        <v>77.64</v>
      </c>
      <c r="F174" s="199">
        <f>IF(ISNUMBER($E174),IF($F$127&gt;$E174,$D174/$E174,0),0)</f>
        <v>0</v>
      </c>
    </row>
    <row r="175" spans="2:6" x14ac:dyDescent="0.3">
      <c r="B175" s="324" t="s">
        <v>243</v>
      </c>
      <c r="C175" s="318"/>
      <c r="D175" s="337">
        <v>1150</v>
      </c>
      <c r="E175" s="326">
        <v>57.14</v>
      </c>
      <c r="F175" s="199">
        <f>IF(ISNUMBER($E175),IF($F$127&gt;$E175,$D175/$E175,0),0)</f>
        <v>20.126006300315016</v>
      </c>
    </row>
    <row r="176" spans="2:6" x14ac:dyDescent="0.3">
      <c r="B176" s="324" t="s">
        <v>244</v>
      </c>
      <c r="C176" s="318" t="s">
        <v>181</v>
      </c>
      <c r="D176" s="337">
        <f>24.1*41.5</f>
        <v>1000.1500000000001</v>
      </c>
      <c r="E176" s="326">
        <v>41.5</v>
      </c>
      <c r="F176" s="199">
        <f>IF(ISNUMBER($E176),IF($F$127&gt;$E176,$D176/$E176,0),0)</f>
        <v>24.1</v>
      </c>
    </row>
    <row r="177" spans="2:6" x14ac:dyDescent="0.3">
      <c r="B177" s="327"/>
      <c r="C177" s="334"/>
      <c r="D177" s="338"/>
      <c r="E177" s="329"/>
      <c r="F177" s="200">
        <f>IF(ISNUMBER($E177),IF($F$127&gt;$E177,$D177/$E177,0),0)</f>
        <v>0</v>
      </c>
    </row>
    <row r="178" spans="2:6" x14ac:dyDescent="0.3">
      <c r="B178" s="131" t="s">
        <v>146</v>
      </c>
      <c r="D178" s="131"/>
      <c r="E178" s="131"/>
      <c r="F178" s="297">
        <f>SUM(F174:F177)</f>
        <v>44.226006300315021</v>
      </c>
    </row>
    <row r="179" spans="2:6" x14ac:dyDescent="0.3">
      <c r="F179" s="28"/>
    </row>
    <row r="180" spans="2:6" x14ac:dyDescent="0.3">
      <c r="B180" s="18" t="s">
        <v>178</v>
      </c>
      <c r="F180" s="133">
        <f>SUMIF(E174:E177,"&lt;"&amp;$F$127,D174:D177)</f>
        <v>2150.15</v>
      </c>
    </row>
    <row r="181" spans="2:6" x14ac:dyDescent="0.3">
      <c r="B181" s="18" t="s">
        <v>179</v>
      </c>
      <c r="F181" s="133">
        <f>SUMIF(E174:E177,"&gt;="&amp;$F$127,D174:D177)</f>
        <v>954</v>
      </c>
    </row>
    <row r="184" spans="2:6" ht="15.5" x14ac:dyDescent="0.35">
      <c r="B184" s="91" t="str">
        <f>'Comps Data'!J6&amp;"'s Diluted Shares"</f>
        <v>eBay's Diluted Shares</v>
      </c>
      <c r="C184" s="26"/>
      <c r="D184" s="26"/>
      <c r="E184" s="26"/>
      <c r="F184" s="26"/>
    </row>
    <row r="185" spans="2:6" ht="7.5" customHeight="1" x14ac:dyDescent="0.3"/>
    <row r="186" spans="2:6" x14ac:dyDescent="0.3">
      <c r="B186" s="18" t="s">
        <v>31</v>
      </c>
      <c r="F186" s="202">
        <f>'Comps Data'!J11</f>
        <v>58.48</v>
      </c>
    </row>
    <row r="188" spans="2:6" x14ac:dyDescent="0.3">
      <c r="B188" s="198" t="s">
        <v>21</v>
      </c>
    </row>
    <row r="189" spans="2:6" x14ac:dyDescent="0.3">
      <c r="B189" s="18" t="s">
        <v>32</v>
      </c>
      <c r="F189" s="209">
        <f>'Comps Data'!J15</f>
        <v>684</v>
      </c>
    </row>
    <row r="190" spans="2:6" x14ac:dyDescent="0.3">
      <c r="B190" s="18" t="s">
        <v>199</v>
      </c>
      <c r="F190" s="209">
        <f>F225</f>
        <v>25</v>
      </c>
    </row>
    <row r="191" spans="2:6" x14ac:dyDescent="0.3">
      <c r="B191" s="18" t="s">
        <v>33</v>
      </c>
      <c r="F191" s="199">
        <f>+F212</f>
        <v>0</v>
      </c>
    </row>
    <row r="192" spans="2:6" x14ac:dyDescent="0.3">
      <c r="B192" s="50" t="s">
        <v>34</v>
      </c>
      <c r="F192" s="200">
        <f>F237</f>
        <v>0</v>
      </c>
    </row>
    <row r="193" spans="2:6" x14ac:dyDescent="0.3">
      <c r="B193" s="37" t="s">
        <v>91</v>
      </c>
      <c r="C193" s="37"/>
      <c r="D193" s="37"/>
      <c r="E193" s="37"/>
      <c r="F193" s="199">
        <f>SUM(F189:F192)</f>
        <v>709</v>
      </c>
    </row>
    <row r="194" spans="2:6" x14ac:dyDescent="0.3">
      <c r="F194" s="28"/>
    </row>
    <row r="195" spans="2:6" x14ac:dyDescent="0.3">
      <c r="B195" s="19" t="s">
        <v>22</v>
      </c>
      <c r="F195" s="201">
        <f>F186*F193</f>
        <v>41462.32</v>
      </c>
    </row>
    <row r="196" spans="2:6" x14ac:dyDescent="0.3">
      <c r="B196" s="19"/>
      <c r="F196" s="201"/>
    </row>
    <row r="198" spans="2:6" x14ac:dyDescent="0.3">
      <c r="B198" s="43" t="s">
        <v>159</v>
      </c>
      <c r="C198" s="44"/>
      <c r="D198" s="44"/>
      <c r="E198" s="44"/>
      <c r="F198" s="44"/>
    </row>
    <row r="199" spans="2:6" ht="7.5" customHeight="1" x14ac:dyDescent="0.3"/>
    <row r="200" spans="2:6" x14ac:dyDescent="0.3">
      <c r="B200" s="116"/>
      <c r="C200" s="116" t="s">
        <v>160</v>
      </c>
      <c r="D200" s="116" t="s">
        <v>161</v>
      </c>
      <c r="E200" s="116" t="s">
        <v>160</v>
      </c>
      <c r="F200" s="116"/>
    </row>
    <row r="201" spans="2:6" ht="17" x14ac:dyDescent="0.6">
      <c r="B201" s="203" t="s">
        <v>162</v>
      </c>
      <c r="C201" s="20" t="s">
        <v>163</v>
      </c>
      <c r="D201" s="20" t="s">
        <v>164</v>
      </c>
      <c r="E201" s="20" t="s">
        <v>165</v>
      </c>
      <c r="F201" s="20" t="s">
        <v>166</v>
      </c>
    </row>
    <row r="202" spans="2:6" s="283" customFormat="1" x14ac:dyDescent="0.3">
      <c r="B202" s="282"/>
      <c r="C202" s="282" t="s">
        <v>167</v>
      </c>
      <c r="D202" s="204" t="s">
        <v>168</v>
      </c>
      <c r="E202" s="282" t="s">
        <v>167</v>
      </c>
      <c r="F202" s="204" t="s">
        <v>169</v>
      </c>
    </row>
    <row r="203" spans="2:6" x14ac:dyDescent="0.3">
      <c r="B203" s="324"/>
      <c r="C203" s="325"/>
      <c r="D203" s="326"/>
      <c r="E203" s="199">
        <f t="shared" ref="E203:E207" si="12">+IF(D203&lt;=$F$186,C203,0)</f>
        <v>0</v>
      </c>
      <c r="F203" s="205">
        <f t="shared" ref="F203:F207" si="13">+D203*E203</f>
        <v>0</v>
      </c>
    </row>
    <row r="204" spans="2:6" x14ac:dyDescent="0.3">
      <c r="B204" s="324"/>
      <c r="C204" s="325"/>
      <c r="D204" s="326"/>
      <c r="E204" s="199">
        <f t="shared" ref="E204:E205" si="14">+IF(D204&lt;=$F$186,C204,0)</f>
        <v>0</v>
      </c>
      <c r="F204" s="205">
        <f t="shared" ref="F204:F205" si="15">+D204*E204</f>
        <v>0</v>
      </c>
    </row>
    <row r="205" spans="2:6" x14ac:dyDescent="0.3">
      <c r="B205" s="324"/>
      <c r="C205" s="325"/>
      <c r="D205" s="326"/>
      <c r="E205" s="199">
        <f t="shared" si="14"/>
        <v>0</v>
      </c>
      <c r="F205" s="205">
        <f t="shared" si="15"/>
        <v>0</v>
      </c>
    </row>
    <row r="206" spans="2:6" x14ac:dyDescent="0.3">
      <c r="B206" s="324"/>
      <c r="C206" s="325"/>
      <c r="D206" s="326"/>
      <c r="E206" s="199">
        <f t="shared" si="12"/>
        <v>0</v>
      </c>
      <c r="F206" s="205">
        <f t="shared" si="13"/>
        <v>0</v>
      </c>
    </row>
    <row r="207" spans="2:6" x14ac:dyDescent="0.3">
      <c r="B207" s="327"/>
      <c r="C207" s="328"/>
      <c r="D207" s="329"/>
      <c r="E207" s="199">
        <f t="shared" si="12"/>
        <v>0</v>
      </c>
      <c r="F207" s="206">
        <f t="shared" si="13"/>
        <v>0</v>
      </c>
    </row>
    <row r="208" spans="2:6" x14ac:dyDescent="0.3">
      <c r="B208" s="51" t="s">
        <v>146</v>
      </c>
      <c r="C208" s="51"/>
      <c r="D208" s="51"/>
      <c r="E208" s="208">
        <f>SUM(E203:E207)</f>
        <v>0</v>
      </c>
      <c r="F208" s="210">
        <f>SUM(F203:F207)</f>
        <v>0</v>
      </c>
    </row>
    <row r="209" spans="2:6" x14ac:dyDescent="0.3">
      <c r="E209" s="28"/>
      <c r="F209" s="28"/>
    </row>
    <row r="210" spans="2:6" x14ac:dyDescent="0.3">
      <c r="B210" s="18" t="s">
        <v>170</v>
      </c>
      <c r="E210" s="28"/>
      <c r="F210" s="199">
        <f>+E208</f>
        <v>0</v>
      </c>
    </row>
    <row r="211" spans="2:6" x14ac:dyDescent="0.3">
      <c r="B211" s="18" t="s">
        <v>171</v>
      </c>
      <c r="E211" s="28"/>
      <c r="F211" s="199">
        <f>IFERROR(F208/F186,"na")</f>
        <v>0</v>
      </c>
    </row>
    <row r="212" spans="2:6" x14ac:dyDescent="0.3">
      <c r="B212" s="18" t="s">
        <v>196</v>
      </c>
      <c r="E212" s="28"/>
      <c r="F212" s="199">
        <f>IFERROR(F210-F211,"na")</f>
        <v>0</v>
      </c>
    </row>
    <row r="213" spans="2:6" x14ac:dyDescent="0.3">
      <c r="E213" s="28"/>
      <c r="F213" s="199"/>
    </row>
    <row r="214" spans="2:6" x14ac:dyDescent="0.3">
      <c r="E214" s="28"/>
      <c r="F214" s="199"/>
    </row>
    <row r="215" spans="2:6" x14ac:dyDescent="0.3">
      <c r="B215" s="43" t="s">
        <v>197</v>
      </c>
      <c r="C215" s="44"/>
      <c r="D215" s="44"/>
      <c r="E215" s="44"/>
      <c r="F215" s="44"/>
    </row>
    <row r="216" spans="2:6" s="41" customFormat="1" ht="5.5" customHeight="1" x14ac:dyDescent="0.3">
      <c r="B216" s="188"/>
      <c r="C216" s="281"/>
      <c r="D216" s="281"/>
      <c r="E216" s="281"/>
      <c r="F216" s="281"/>
    </row>
    <row r="217" spans="2:6" x14ac:dyDescent="0.3">
      <c r="B217" s="19"/>
      <c r="E217" s="28"/>
      <c r="F217" s="116" t="s">
        <v>198</v>
      </c>
    </row>
    <row r="218" spans="2:6" x14ac:dyDescent="0.3">
      <c r="B218" s="19"/>
      <c r="E218" s="28"/>
      <c r="F218" s="116" t="s">
        <v>160</v>
      </c>
    </row>
    <row r="219" spans="2:6" ht="17" x14ac:dyDescent="0.6">
      <c r="B219" s="203" t="s">
        <v>162</v>
      </c>
      <c r="C219" s="203" t="s">
        <v>181</v>
      </c>
      <c r="D219" s="203" t="s">
        <v>181</v>
      </c>
      <c r="E219" s="203" t="s">
        <v>181</v>
      </c>
      <c r="F219" s="20" t="s">
        <v>163</v>
      </c>
    </row>
    <row r="220" spans="2:6" s="283" customFormat="1" x14ac:dyDescent="0.3">
      <c r="E220" s="284"/>
      <c r="F220" s="282" t="s">
        <v>167</v>
      </c>
    </row>
    <row r="221" spans="2:6" x14ac:dyDescent="0.3">
      <c r="B221" s="324" t="s">
        <v>236</v>
      </c>
      <c r="C221" s="318"/>
      <c r="D221" s="318"/>
      <c r="E221" s="330"/>
      <c r="F221" s="325">
        <v>25</v>
      </c>
    </row>
    <row r="222" spans="2:6" x14ac:dyDescent="0.3">
      <c r="B222" s="331"/>
      <c r="C222" s="332"/>
      <c r="D222" s="332"/>
      <c r="E222" s="333"/>
      <c r="F222" s="325"/>
    </row>
    <row r="223" spans="2:6" x14ac:dyDescent="0.3">
      <c r="B223" s="331"/>
      <c r="C223" s="332"/>
      <c r="D223" s="332"/>
      <c r="E223" s="333"/>
      <c r="F223" s="325"/>
    </row>
    <row r="224" spans="2:6" x14ac:dyDescent="0.3">
      <c r="B224" s="327"/>
      <c r="C224" s="334"/>
      <c r="D224" s="334"/>
      <c r="E224" s="335"/>
      <c r="F224" s="336"/>
    </row>
    <row r="225" spans="2:6" s="19" customFormat="1" x14ac:dyDescent="0.3">
      <c r="B225" s="19" t="s">
        <v>146</v>
      </c>
      <c r="E225" s="30"/>
      <c r="F225" s="295">
        <f>SUM(F221:F224)</f>
        <v>25</v>
      </c>
    </row>
    <row r="226" spans="2:6" x14ac:dyDescent="0.3">
      <c r="B226" s="19"/>
      <c r="C226" s="280"/>
      <c r="E226" s="28"/>
      <c r="F226" s="199"/>
    </row>
    <row r="227" spans="2:6" x14ac:dyDescent="0.3">
      <c r="B227" s="19"/>
      <c r="C227" s="280"/>
      <c r="E227" s="28"/>
      <c r="F227" s="199"/>
    </row>
    <row r="228" spans="2:6" x14ac:dyDescent="0.3">
      <c r="B228" s="43" t="s">
        <v>24</v>
      </c>
      <c r="C228" s="44"/>
      <c r="D228" s="44"/>
      <c r="E228" s="44"/>
      <c r="F228" s="44"/>
    </row>
    <row r="229" spans="2:6" ht="7.5" customHeight="1" x14ac:dyDescent="0.3">
      <c r="E229" s="28"/>
      <c r="F229" s="199"/>
    </row>
    <row r="230" spans="2:6" x14ac:dyDescent="0.3">
      <c r="B230" s="116"/>
      <c r="D230" s="116" t="s">
        <v>172</v>
      </c>
      <c r="E230" s="116" t="s">
        <v>173</v>
      </c>
      <c r="F230" s="116" t="s">
        <v>174</v>
      </c>
    </row>
    <row r="231" spans="2:6" ht="17" x14ac:dyDescent="0.6">
      <c r="B231" s="203" t="s">
        <v>175</v>
      </c>
      <c r="C231" s="20" t="s">
        <v>181</v>
      </c>
      <c r="D231" s="20" t="s">
        <v>176</v>
      </c>
      <c r="E231" s="20" t="s">
        <v>164</v>
      </c>
      <c r="F231" s="20" t="s">
        <v>177</v>
      </c>
    </row>
    <row r="232" spans="2:6" s="283" customFormat="1" x14ac:dyDescent="0.3">
      <c r="C232" s="282"/>
      <c r="D232" s="282" t="s">
        <v>167</v>
      </c>
      <c r="E232" s="204" t="s">
        <v>168</v>
      </c>
      <c r="F232" s="282" t="s">
        <v>167</v>
      </c>
    </row>
    <row r="233" spans="2:6" x14ac:dyDescent="0.3">
      <c r="B233" s="324"/>
      <c r="C233" s="337"/>
      <c r="D233" s="337"/>
      <c r="E233" s="326"/>
      <c r="F233" s="199">
        <f>IF(ISNUMBER($E233),IF($F$186&gt;$E233,$D233/$E233,0),0)</f>
        <v>0</v>
      </c>
    </row>
    <row r="234" spans="2:6" x14ac:dyDescent="0.3">
      <c r="B234" s="324"/>
      <c r="C234" s="337"/>
      <c r="D234" s="337"/>
      <c r="E234" s="326"/>
      <c r="F234" s="199">
        <f t="shared" ref="F234:F235" si="16">IF(ISNUMBER($E234),IF($F$186&gt;$E234,$D234/$E234,0),0)</f>
        <v>0</v>
      </c>
    </row>
    <row r="235" spans="2:6" x14ac:dyDescent="0.3">
      <c r="B235" s="324"/>
      <c r="C235" s="337"/>
      <c r="D235" s="337"/>
      <c r="E235" s="326"/>
      <c r="F235" s="199">
        <f t="shared" si="16"/>
        <v>0</v>
      </c>
    </row>
    <row r="236" spans="2:6" x14ac:dyDescent="0.3">
      <c r="B236" s="324"/>
      <c r="C236" s="337"/>
      <c r="D236" s="337"/>
      <c r="E236" s="326"/>
      <c r="F236" s="199">
        <f>IF(ISNUMBER($E236),IF($F$186&gt;$E236,$D236/$E236,0),0)</f>
        <v>0</v>
      </c>
    </row>
    <row r="237" spans="2:6" x14ac:dyDescent="0.3">
      <c r="B237" s="51" t="s">
        <v>146</v>
      </c>
      <c r="C237" s="51"/>
      <c r="D237" s="51"/>
      <c r="E237" s="51"/>
      <c r="F237" s="208">
        <f>SUM(F233:F236)</f>
        <v>0</v>
      </c>
    </row>
    <row r="238" spans="2:6" x14ac:dyDescent="0.3">
      <c r="F238" s="28"/>
    </row>
    <row r="239" spans="2:6" x14ac:dyDescent="0.3">
      <c r="B239" s="18" t="s">
        <v>178</v>
      </c>
      <c r="F239" s="133">
        <f>SUMIF(E233:E236,"&lt;"&amp;$F$186,D233:D236)</f>
        <v>0</v>
      </c>
    </row>
    <row r="240" spans="2:6" x14ac:dyDescent="0.3">
      <c r="B240" s="18" t="s">
        <v>179</v>
      </c>
      <c r="F240" s="133">
        <f>SUMIF(E233:E236,"&gt;="&amp;$F$186,D233:D236)</f>
        <v>0</v>
      </c>
    </row>
    <row r="243" spans="2:6" ht="15.5" x14ac:dyDescent="0.35">
      <c r="B243" s="91" t="str">
        <f>'Comps Data'!K6&amp;"'s Diluted Shares"</f>
        <v>Snap Inc.'s Diluted Shares</v>
      </c>
      <c r="C243" s="26"/>
      <c r="D243" s="26"/>
      <c r="E243" s="26"/>
      <c r="F243" s="26"/>
    </row>
    <row r="244" spans="2:6" ht="7.5" customHeight="1" x14ac:dyDescent="0.3"/>
    <row r="245" spans="2:6" x14ac:dyDescent="0.3">
      <c r="B245" s="18" t="s">
        <v>31</v>
      </c>
      <c r="F245" s="202">
        <f>'Comps Data'!K11</f>
        <v>66.67</v>
      </c>
    </row>
    <row r="247" spans="2:6" x14ac:dyDescent="0.3">
      <c r="B247" s="198" t="s">
        <v>21</v>
      </c>
    </row>
    <row r="248" spans="2:6" x14ac:dyDescent="0.3">
      <c r="B248" s="18" t="s">
        <v>32</v>
      </c>
      <c r="F248" s="209">
        <f>'Comps Data'!K15</f>
        <v>231.62694300000001</v>
      </c>
    </row>
    <row r="249" spans="2:6" x14ac:dyDescent="0.3">
      <c r="B249" s="18" t="s">
        <v>199</v>
      </c>
      <c r="F249" s="209">
        <f>F284</f>
        <v>131.172</v>
      </c>
    </row>
    <row r="250" spans="2:6" x14ac:dyDescent="0.3">
      <c r="B250" s="18" t="s">
        <v>33</v>
      </c>
      <c r="F250" s="199">
        <f>+F271</f>
        <v>4.7492305384730766</v>
      </c>
    </row>
    <row r="251" spans="2:6" x14ac:dyDescent="0.3">
      <c r="B251" s="50" t="s">
        <v>34</v>
      </c>
      <c r="F251" s="200">
        <f>F296</f>
        <v>90.939256440080669</v>
      </c>
    </row>
    <row r="252" spans="2:6" x14ac:dyDescent="0.3">
      <c r="B252" s="37" t="s">
        <v>91</v>
      </c>
      <c r="C252" s="37"/>
      <c r="D252" s="37"/>
      <c r="E252" s="37"/>
      <c r="F252" s="199">
        <f>SUM(F248:F251)</f>
        <v>458.48742997855373</v>
      </c>
    </row>
    <row r="253" spans="2:6" x14ac:dyDescent="0.3">
      <c r="F253" s="28"/>
    </row>
    <row r="254" spans="2:6" x14ac:dyDescent="0.3">
      <c r="B254" s="19" t="s">
        <v>22</v>
      </c>
      <c r="F254" s="201">
        <f>F245*F252</f>
        <v>30567.356956670177</v>
      </c>
    </row>
    <row r="255" spans="2:6" x14ac:dyDescent="0.3">
      <c r="B255" s="19"/>
      <c r="F255" s="201"/>
    </row>
    <row r="257" spans="2:9" x14ac:dyDescent="0.3">
      <c r="B257" s="43" t="s">
        <v>159</v>
      </c>
      <c r="C257" s="44"/>
      <c r="D257" s="44"/>
      <c r="E257" s="44"/>
      <c r="F257" s="44"/>
    </row>
    <row r="258" spans="2:9" ht="7.5" customHeight="1" x14ac:dyDescent="0.3"/>
    <row r="259" spans="2:9" x14ac:dyDescent="0.3">
      <c r="B259" s="116"/>
      <c r="C259" s="116" t="s">
        <v>160</v>
      </c>
      <c r="D259" s="116" t="s">
        <v>161</v>
      </c>
      <c r="E259" s="116" t="s">
        <v>160</v>
      </c>
      <c r="F259" s="116"/>
    </row>
    <row r="260" spans="2:9" ht="17" x14ac:dyDescent="0.6">
      <c r="B260" s="203" t="s">
        <v>162</v>
      </c>
      <c r="C260" s="20" t="s">
        <v>163</v>
      </c>
      <c r="D260" s="20" t="s">
        <v>164</v>
      </c>
      <c r="E260" s="20" t="s">
        <v>165</v>
      </c>
      <c r="F260" s="20" t="s">
        <v>166</v>
      </c>
    </row>
    <row r="261" spans="2:9" s="283" customFormat="1" x14ac:dyDescent="0.3">
      <c r="B261" s="282"/>
      <c r="C261" s="282" t="s">
        <v>167</v>
      </c>
      <c r="D261" s="204" t="s">
        <v>168</v>
      </c>
      <c r="E261" s="282" t="s">
        <v>167</v>
      </c>
      <c r="F261" s="204" t="s">
        <v>169</v>
      </c>
    </row>
    <row r="262" spans="2:9" x14ac:dyDescent="0.3">
      <c r="B262" s="324" t="s">
        <v>238</v>
      </c>
      <c r="C262" s="325">
        <f>4.828+0.796</f>
        <v>5.6240000000000006</v>
      </c>
      <c r="D262" s="326">
        <v>10.37</v>
      </c>
      <c r="E262" s="199">
        <f>+IF(D262&lt;=$F$245,C262,0)</f>
        <v>5.6240000000000006</v>
      </c>
      <c r="F262" s="205">
        <f>+D262*E262</f>
        <v>58.320880000000002</v>
      </c>
      <c r="I262" s="279"/>
    </row>
    <row r="263" spans="2:9" x14ac:dyDescent="0.3">
      <c r="B263" s="324"/>
      <c r="C263" s="325"/>
      <c r="D263" s="326"/>
      <c r="E263" s="199">
        <f t="shared" ref="E263:E264" si="17">+IF(D263&lt;=$F$245,C263,0)</f>
        <v>0</v>
      </c>
      <c r="F263" s="205">
        <f t="shared" ref="F263:F264" si="18">+D263*E263</f>
        <v>0</v>
      </c>
      <c r="I263" s="279"/>
    </row>
    <row r="264" spans="2:9" x14ac:dyDescent="0.3">
      <c r="B264" s="324"/>
      <c r="C264" s="325"/>
      <c r="D264" s="326"/>
      <c r="E264" s="199">
        <f t="shared" si="17"/>
        <v>0</v>
      </c>
      <c r="F264" s="205">
        <f t="shared" si="18"/>
        <v>0</v>
      </c>
      <c r="I264" s="279"/>
    </row>
    <row r="265" spans="2:9" x14ac:dyDescent="0.3">
      <c r="B265" s="324"/>
      <c r="C265" s="325"/>
      <c r="D265" s="326"/>
      <c r="E265" s="199">
        <f>+IF(D265&lt;=$F$245,C265,0)</f>
        <v>0</v>
      </c>
      <c r="F265" s="205">
        <f t="shared" ref="F265:F266" si="19">+D265*E265</f>
        <v>0</v>
      </c>
    </row>
    <row r="266" spans="2:9" x14ac:dyDescent="0.3">
      <c r="B266" s="327"/>
      <c r="C266" s="328"/>
      <c r="D266" s="329"/>
      <c r="E266" s="199">
        <f>+IF(D266&lt;=$F$245,C266,0)</f>
        <v>0</v>
      </c>
      <c r="F266" s="206">
        <f t="shared" si="19"/>
        <v>0</v>
      </c>
    </row>
    <row r="267" spans="2:9" x14ac:dyDescent="0.3">
      <c r="B267" s="51" t="s">
        <v>146</v>
      </c>
      <c r="C267" s="51"/>
      <c r="D267" s="51"/>
      <c r="E267" s="208">
        <f>SUM(E262:E266)</f>
        <v>5.6240000000000006</v>
      </c>
      <c r="F267" s="210">
        <f>SUM(F262:F266)</f>
        <v>58.320880000000002</v>
      </c>
    </row>
    <row r="268" spans="2:9" x14ac:dyDescent="0.3">
      <c r="E268" s="28"/>
      <c r="F268" s="28"/>
    </row>
    <row r="269" spans="2:9" x14ac:dyDescent="0.3">
      <c r="B269" s="18" t="s">
        <v>170</v>
      </c>
      <c r="E269" s="28"/>
      <c r="F269" s="199">
        <f>+E267</f>
        <v>5.6240000000000006</v>
      </c>
    </row>
    <row r="270" spans="2:9" x14ac:dyDescent="0.3">
      <c r="B270" s="18" t="s">
        <v>171</v>
      </c>
      <c r="E270" s="28"/>
      <c r="F270" s="199">
        <f>IFERROR(F267/F245,"na")</f>
        <v>0.8747694615269237</v>
      </c>
    </row>
    <row r="271" spans="2:9" x14ac:dyDescent="0.3">
      <c r="B271" s="18" t="s">
        <v>196</v>
      </c>
      <c r="E271" s="28"/>
      <c r="F271" s="199">
        <f>IFERROR(F269-F270,"na")</f>
        <v>4.7492305384730766</v>
      </c>
    </row>
    <row r="272" spans="2:9" x14ac:dyDescent="0.3">
      <c r="E272" s="28"/>
      <c r="F272" s="199"/>
    </row>
    <row r="273" spans="2:6" x14ac:dyDescent="0.3">
      <c r="E273" s="28"/>
      <c r="F273" s="199"/>
    </row>
    <row r="274" spans="2:6" x14ac:dyDescent="0.3">
      <c r="B274" s="43" t="s">
        <v>197</v>
      </c>
      <c r="C274" s="44"/>
      <c r="D274" s="44"/>
      <c r="E274" s="44"/>
      <c r="F274" s="44"/>
    </row>
    <row r="275" spans="2:6" s="41" customFormat="1" ht="5.5" customHeight="1" x14ac:dyDescent="0.3">
      <c r="B275" s="188"/>
      <c r="C275" s="281"/>
      <c r="D275" s="281"/>
      <c r="E275" s="281"/>
      <c r="F275" s="281"/>
    </row>
    <row r="276" spans="2:6" x14ac:dyDescent="0.3">
      <c r="B276" s="19"/>
      <c r="E276" s="28"/>
      <c r="F276" s="116" t="s">
        <v>198</v>
      </c>
    </row>
    <row r="277" spans="2:6" x14ac:dyDescent="0.3">
      <c r="B277" s="19"/>
      <c r="E277" s="28"/>
      <c r="F277" s="116" t="s">
        <v>160</v>
      </c>
    </row>
    <row r="278" spans="2:6" ht="17" x14ac:dyDescent="0.6">
      <c r="B278" s="203" t="s">
        <v>162</v>
      </c>
      <c r="C278" s="203" t="s">
        <v>181</v>
      </c>
      <c r="D278" s="203" t="s">
        <v>181</v>
      </c>
      <c r="E278" s="203" t="s">
        <v>181</v>
      </c>
      <c r="F278" s="20" t="s">
        <v>163</v>
      </c>
    </row>
    <row r="279" spans="2:6" s="283" customFormat="1" x14ac:dyDescent="0.3">
      <c r="E279" s="284"/>
      <c r="F279" s="282" t="s">
        <v>167</v>
      </c>
    </row>
    <row r="280" spans="2:6" x14ac:dyDescent="0.3">
      <c r="B280" s="324" t="s">
        <v>245</v>
      </c>
      <c r="C280" s="318"/>
      <c r="D280" s="318"/>
      <c r="E280" s="330"/>
      <c r="F280" s="325">
        <v>131.172</v>
      </c>
    </row>
    <row r="281" spans="2:6" x14ac:dyDescent="0.3">
      <c r="B281" s="331"/>
      <c r="C281" s="332"/>
      <c r="D281" s="332"/>
      <c r="E281" s="333"/>
      <c r="F281" s="328"/>
    </row>
    <row r="282" spans="2:6" x14ac:dyDescent="0.3">
      <c r="B282" s="331"/>
      <c r="C282" s="332"/>
      <c r="D282" s="332"/>
      <c r="E282" s="333"/>
      <c r="F282" s="328"/>
    </row>
    <row r="283" spans="2:6" x14ac:dyDescent="0.3">
      <c r="B283" s="327"/>
      <c r="C283" s="334"/>
      <c r="D283" s="334"/>
      <c r="E283" s="335"/>
      <c r="F283" s="336"/>
    </row>
    <row r="284" spans="2:6" s="19" customFormat="1" x14ac:dyDescent="0.3">
      <c r="B284" s="19" t="s">
        <v>146</v>
      </c>
      <c r="E284" s="30"/>
      <c r="F284" s="295">
        <f>SUM(F280:F283)</f>
        <v>131.172</v>
      </c>
    </row>
    <row r="285" spans="2:6" x14ac:dyDescent="0.3">
      <c r="B285" s="19"/>
      <c r="C285" s="280"/>
      <c r="E285" s="28"/>
      <c r="F285" s="199"/>
    </row>
    <row r="286" spans="2:6" x14ac:dyDescent="0.3">
      <c r="E286" s="28"/>
      <c r="F286" s="199"/>
    </row>
    <row r="287" spans="2:6" x14ac:dyDescent="0.3">
      <c r="B287" s="43" t="s">
        <v>24</v>
      </c>
      <c r="C287" s="44"/>
      <c r="D287" s="44"/>
      <c r="E287" s="44"/>
      <c r="F287" s="44"/>
    </row>
    <row r="288" spans="2:6" ht="7.5" customHeight="1" x14ac:dyDescent="0.3">
      <c r="E288" s="28"/>
      <c r="F288" s="199"/>
    </row>
    <row r="289" spans="2:6" x14ac:dyDescent="0.3">
      <c r="B289" s="116"/>
      <c r="D289" s="116" t="s">
        <v>172</v>
      </c>
      <c r="E289" s="116" t="s">
        <v>173</v>
      </c>
      <c r="F289" s="116" t="s">
        <v>174</v>
      </c>
    </row>
    <row r="290" spans="2:6" ht="17" x14ac:dyDescent="0.6">
      <c r="B290" s="203" t="s">
        <v>175</v>
      </c>
      <c r="C290" s="20" t="s">
        <v>181</v>
      </c>
      <c r="D290" s="20" t="s">
        <v>176</v>
      </c>
      <c r="E290" s="20" t="s">
        <v>164</v>
      </c>
      <c r="F290" s="20" t="s">
        <v>177</v>
      </c>
    </row>
    <row r="291" spans="2:6" s="283" customFormat="1" x14ac:dyDescent="0.3">
      <c r="D291" s="282" t="s">
        <v>167</v>
      </c>
      <c r="E291" s="204" t="s">
        <v>168</v>
      </c>
      <c r="F291" s="282" t="s">
        <v>167</v>
      </c>
    </row>
    <row r="292" spans="2:6" x14ac:dyDescent="0.3">
      <c r="B292" s="324" t="s">
        <v>244</v>
      </c>
      <c r="C292" s="318"/>
      <c r="D292" s="337">
        <v>1000</v>
      </c>
      <c r="E292" s="326">
        <f>21.68*1.3</f>
        <v>28.184000000000001</v>
      </c>
      <c r="F292" s="199">
        <f>IF(ISNUMBER($E292),IF($F$245&gt;$E292,$D292/$E292,0),0)</f>
        <v>35.481124042009647</v>
      </c>
    </row>
    <row r="293" spans="2:6" x14ac:dyDescent="0.3">
      <c r="B293" s="324" t="s">
        <v>246</v>
      </c>
      <c r="C293" s="318"/>
      <c r="D293" s="337">
        <v>1265</v>
      </c>
      <c r="E293" s="326">
        <v>22.81</v>
      </c>
      <c r="F293" s="199">
        <f>IF(ISNUMBER($E293),IF($F$245&gt;$E293,$D293/$E293,0),0)</f>
        <v>55.458132398071022</v>
      </c>
    </row>
    <row r="294" spans="2:6" x14ac:dyDescent="0.3">
      <c r="B294" s="324"/>
      <c r="C294" s="318"/>
      <c r="D294" s="337"/>
      <c r="E294" s="326"/>
      <c r="F294" s="199">
        <f>IF(ISNUMBER($E294),IF($F$245&gt;$E294,$D294/$E294,0),0)</f>
        <v>0</v>
      </c>
    </row>
    <row r="295" spans="2:6" x14ac:dyDescent="0.3">
      <c r="B295" s="324"/>
      <c r="C295" s="334"/>
      <c r="D295" s="337"/>
      <c r="E295" s="326"/>
      <c r="F295" s="199">
        <f>IF(ISNUMBER($E295),IF($F$245&gt;$E295,$D295/$E295,0),0)</f>
        <v>0</v>
      </c>
    </row>
    <row r="296" spans="2:6" x14ac:dyDescent="0.3">
      <c r="B296" s="51" t="s">
        <v>146</v>
      </c>
      <c r="D296" s="51"/>
      <c r="E296" s="51"/>
      <c r="F296" s="208">
        <f>SUM(F292:F295)</f>
        <v>90.939256440080669</v>
      </c>
    </row>
    <row r="297" spans="2:6" x14ac:dyDescent="0.3">
      <c r="F297" s="28"/>
    </row>
    <row r="298" spans="2:6" x14ac:dyDescent="0.3">
      <c r="B298" s="18" t="s">
        <v>178</v>
      </c>
      <c r="F298" s="133">
        <f>SUMIF(E292:E295,"&lt;"&amp;$F$245,D292:D295)</f>
        <v>2265</v>
      </c>
    </row>
    <row r="299" spans="2:6" x14ac:dyDescent="0.3">
      <c r="B299" s="18" t="s">
        <v>179</v>
      </c>
      <c r="F299" s="133">
        <f>SUMIF(E292:E295,"&gt;="&amp;$F$245,D292:D295)</f>
        <v>0</v>
      </c>
    </row>
    <row r="302" spans="2:6" ht="15.5" x14ac:dyDescent="0.35">
      <c r="B302" s="91" t="str">
        <f>'Comps Data'!L6&amp;"'s Diluted Shares"</f>
        <v>Expedia's Diluted Shares</v>
      </c>
      <c r="C302" s="26"/>
      <c r="D302" s="26"/>
      <c r="E302" s="26"/>
      <c r="F302" s="26"/>
    </row>
    <row r="303" spans="2:6" ht="7.5" customHeight="1" x14ac:dyDescent="0.3"/>
    <row r="304" spans="2:6" x14ac:dyDescent="0.3">
      <c r="B304" s="18" t="s">
        <v>31</v>
      </c>
      <c r="F304" s="202">
        <f>'Comps Data'!L11</f>
        <v>161.24</v>
      </c>
    </row>
    <row r="306" spans="2:6" x14ac:dyDescent="0.3">
      <c r="B306" s="198" t="s">
        <v>21</v>
      </c>
    </row>
    <row r="307" spans="2:6" x14ac:dyDescent="0.3">
      <c r="B307" s="18" t="s">
        <v>32</v>
      </c>
      <c r="F307" s="209">
        <f>'Comps Data'!L15</f>
        <v>138.07400000000001</v>
      </c>
    </row>
    <row r="308" spans="2:6" x14ac:dyDescent="0.3">
      <c r="B308" s="18" t="s">
        <v>199</v>
      </c>
      <c r="F308" s="209">
        <f>F343</f>
        <v>5.2850000000000001</v>
      </c>
    </row>
    <row r="309" spans="2:6" x14ac:dyDescent="0.3">
      <c r="B309" s="18" t="s">
        <v>33</v>
      </c>
      <c r="F309" s="199">
        <f>+F330</f>
        <v>2.992688166708013</v>
      </c>
    </row>
    <row r="310" spans="2:6" x14ac:dyDescent="0.3">
      <c r="B310" s="50" t="s">
        <v>34</v>
      </c>
      <c r="F310" s="200">
        <f>F355</f>
        <v>0</v>
      </c>
    </row>
    <row r="311" spans="2:6" x14ac:dyDescent="0.3">
      <c r="B311" s="37" t="s">
        <v>91</v>
      </c>
      <c r="C311" s="37"/>
      <c r="D311" s="37"/>
      <c r="E311" s="37"/>
      <c r="F311" s="199">
        <f>SUM(F307:F310)</f>
        <v>146.35168816670802</v>
      </c>
    </row>
    <row r="312" spans="2:6" x14ac:dyDescent="0.3">
      <c r="F312" s="28"/>
    </row>
    <row r="313" spans="2:6" x14ac:dyDescent="0.3">
      <c r="B313" s="19" t="s">
        <v>22</v>
      </c>
      <c r="F313" s="201">
        <f>F304*F311</f>
        <v>23597.746200000001</v>
      </c>
    </row>
    <row r="314" spans="2:6" x14ac:dyDescent="0.3">
      <c r="B314" s="19"/>
      <c r="F314" s="201"/>
    </row>
    <row r="316" spans="2:6" x14ac:dyDescent="0.3">
      <c r="B316" s="43" t="s">
        <v>159</v>
      </c>
      <c r="C316" s="44"/>
      <c r="D316" s="44"/>
      <c r="E316" s="44"/>
      <c r="F316" s="44"/>
    </row>
    <row r="317" spans="2:6" ht="7.5" customHeight="1" x14ac:dyDescent="0.3"/>
    <row r="318" spans="2:6" x14ac:dyDescent="0.3">
      <c r="B318" s="116"/>
      <c r="C318" s="116" t="s">
        <v>160</v>
      </c>
      <c r="D318" s="116" t="s">
        <v>161</v>
      </c>
      <c r="E318" s="116" t="s">
        <v>160</v>
      </c>
      <c r="F318" s="116"/>
    </row>
    <row r="319" spans="2:6" ht="17" x14ac:dyDescent="0.6">
      <c r="B319" s="203" t="s">
        <v>162</v>
      </c>
      <c r="C319" s="20" t="s">
        <v>163</v>
      </c>
      <c r="D319" s="20" t="s">
        <v>164</v>
      </c>
      <c r="E319" s="20" t="s">
        <v>165</v>
      </c>
      <c r="F319" s="20" t="s">
        <v>166</v>
      </c>
    </row>
    <row r="320" spans="2:6" s="283" customFormat="1" x14ac:dyDescent="0.3">
      <c r="B320" s="282"/>
      <c r="C320" s="282" t="s">
        <v>167</v>
      </c>
      <c r="D320" s="204" t="s">
        <v>168</v>
      </c>
      <c r="E320" s="282" t="s">
        <v>167</v>
      </c>
      <c r="F320" s="204" t="s">
        <v>169</v>
      </c>
    </row>
    <row r="321" spans="2:6" x14ac:dyDescent="0.3">
      <c r="B321" s="324" t="s">
        <v>238</v>
      </c>
      <c r="C321" s="325">
        <v>8.6959999999999997</v>
      </c>
      <c r="D321" s="326">
        <v>105.75</v>
      </c>
      <c r="E321" s="199">
        <f>+IF(D321&lt;=$F$304,C321,0)</f>
        <v>8.6959999999999997</v>
      </c>
      <c r="F321" s="205">
        <f>+D321*E321</f>
        <v>919.60199999999998</v>
      </c>
    </row>
    <row r="322" spans="2:6" x14ac:dyDescent="0.3">
      <c r="B322" s="324"/>
      <c r="C322" s="325"/>
      <c r="D322" s="326"/>
      <c r="E322" s="199">
        <f>+IF(D322&lt;=$F$304,C322,0)</f>
        <v>0</v>
      </c>
      <c r="F322" s="205">
        <f t="shared" ref="F322:F325" si="20">+D322*E322</f>
        <v>0</v>
      </c>
    </row>
    <row r="323" spans="2:6" x14ac:dyDescent="0.3">
      <c r="B323" s="324"/>
      <c r="C323" s="325"/>
      <c r="D323" s="326"/>
      <c r="E323" s="199">
        <f t="shared" ref="E323:E324" si="21">+IF(D323&lt;=$F$304,C323,0)</f>
        <v>0</v>
      </c>
      <c r="F323" s="205">
        <f t="shared" ref="F323:F324" si="22">+D323*E323</f>
        <v>0</v>
      </c>
    </row>
    <row r="324" spans="2:6" x14ac:dyDescent="0.3">
      <c r="B324" s="324"/>
      <c r="C324" s="325"/>
      <c r="D324" s="326"/>
      <c r="E324" s="199">
        <f t="shared" si="21"/>
        <v>0</v>
      </c>
      <c r="F324" s="205">
        <f t="shared" si="22"/>
        <v>0</v>
      </c>
    </row>
    <row r="325" spans="2:6" x14ac:dyDescent="0.3">
      <c r="B325" s="327"/>
      <c r="C325" s="328"/>
      <c r="D325" s="329"/>
      <c r="E325" s="199">
        <f>+IF(D325&lt;=$F$304,C325,0)</f>
        <v>0</v>
      </c>
      <c r="F325" s="206">
        <f t="shared" si="20"/>
        <v>0</v>
      </c>
    </row>
    <row r="326" spans="2:6" x14ac:dyDescent="0.3">
      <c r="B326" s="51" t="s">
        <v>146</v>
      </c>
      <c r="C326" s="51"/>
      <c r="D326" s="51"/>
      <c r="E326" s="208">
        <f>SUM(E321:E325)</f>
        <v>8.6959999999999997</v>
      </c>
      <c r="F326" s="210">
        <f>SUM(F321:F325)</f>
        <v>919.60199999999998</v>
      </c>
    </row>
    <row r="327" spans="2:6" x14ac:dyDescent="0.3">
      <c r="E327" s="28"/>
      <c r="F327" s="28"/>
    </row>
    <row r="328" spans="2:6" x14ac:dyDescent="0.3">
      <c r="B328" s="18" t="s">
        <v>170</v>
      </c>
      <c r="E328" s="28"/>
      <c r="F328" s="199">
        <f>+E326</f>
        <v>8.6959999999999997</v>
      </c>
    </row>
    <row r="329" spans="2:6" x14ac:dyDescent="0.3">
      <c r="B329" s="18" t="s">
        <v>171</v>
      </c>
      <c r="E329" s="28"/>
      <c r="F329" s="199">
        <f>IFERROR(F326/F304,"na")</f>
        <v>5.7033118332919868</v>
      </c>
    </row>
    <row r="330" spans="2:6" x14ac:dyDescent="0.3">
      <c r="B330" s="18" t="s">
        <v>196</v>
      </c>
      <c r="E330" s="28"/>
      <c r="F330" s="199">
        <f>IFERROR(F328-F329,"na")</f>
        <v>2.992688166708013</v>
      </c>
    </row>
    <row r="331" spans="2:6" x14ac:dyDescent="0.3">
      <c r="E331" s="28"/>
      <c r="F331" s="199"/>
    </row>
    <row r="332" spans="2:6" x14ac:dyDescent="0.3">
      <c r="E332" s="28"/>
      <c r="F332" s="199"/>
    </row>
    <row r="333" spans="2:6" x14ac:dyDescent="0.3">
      <c r="B333" s="43" t="s">
        <v>197</v>
      </c>
      <c r="C333" s="44"/>
      <c r="D333" s="44"/>
      <c r="E333" s="44"/>
      <c r="F333" s="44"/>
    </row>
    <row r="334" spans="2:6" s="41" customFormat="1" ht="5.5" customHeight="1" x14ac:dyDescent="0.3">
      <c r="B334" s="188"/>
      <c r="C334" s="281"/>
      <c r="D334" s="281"/>
      <c r="E334" s="281"/>
      <c r="F334" s="281"/>
    </row>
    <row r="335" spans="2:6" x14ac:dyDescent="0.3">
      <c r="B335" s="19"/>
      <c r="E335" s="28"/>
      <c r="F335" s="116" t="s">
        <v>198</v>
      </c>
    </row>
    <row r="336" spans="2:6" x14ac:dyDescent="0.3">
      <c r="B336" s="19"/>
      <c r="E336" s="28"/>
      <c r="F336" s="116" t="s">
        <v>160</v>
      </c>
    </row>
    <row r="337" spans="2:6" ht="17" x14ac:dyDescent="0.6">
      <c r="B337" s="203" t="s">
        <v>162</v>
      </c>
      <c r="C337" s="203" t="s">
        <v>181</v>
      </c>
      <c r="D337" s="203" t="s">
        <v>181</v>
      </c>
      <c r="E337" s="203" t="s">
        <v>181</v>
      </c>
      <c r="F337" s="20" t="s">
        <v>163</v>
      </c>
    </row>
    <row r="338" spans="2:6" s="283" customFormat="1" x14ac:dyDescent="0.3">
      <c r="E338" s="284"/>
      <c r="F338" s="282" t="s">
        <v>167</v>
      </c>
    </row>
    <row r="339" spans="2:6" x14ac:dyDescent="0.3">
      <c r="B339" s="324" t="s">
        <v>236</v>
      </c>
      <c r="C339" s="318"/>
      <c r="D339" s="318"/>
      <c r="E339" s="330"/>
      <c r="F339" s="325">
        <v>5.2850000000000001</v>
      </c>
    </row>
    <row r="340" spans="2:6" x14ac:dyDescent="0.3">
      <c r="B340" s="331"/>
      <c r="C340" s="332"/>
      <c r="D340" s="332"/>
      <c r="E340" s="333"/>
      <c r="F340" s="328"/>
    </row>
    <row r="341" spans="2:6" x14ac:dyDescent="0.3">
      <c r="B341" s="331"/>
      <c r="C341" s="332"/>
      <c r="D341" s="332"/>
      <c r="E341" s="333"/>
      <c r="F341" s="328"/>
    </row>
    <row r="342" spans="2:6" x14ac:dyDescent="0.3">
      <c r="B342" s="327"/>
      <c r="C342" s="334"/>
      <c r="D342" s="334"/>
      <c r="E342" s="335"/>
      <c r="F342" s="336"/>
    </row>
    <row r="343" spans="2:6" s="19" customFormat="1" x14ac:dyDescent="0.3">
      <c r="B343" s="19" t="s">
        <v>146</v>
      </c>
      <c r="E343" s="30"/>
      <c r="F343" s="295">
        <f>SUM(F339:F342)</f>
        <v>5.2850000000000001</v>
      </c>
    </row>
    <row r="344" spans="2:6" x14ac:dyDescent="0.3">
      <c r="E344" s="28"/>
      <c r="F344" s="199"/>
    </row>
    <row r="345" spans="2:6" x14ac:dyDescent="0.3">
      <c r="E345" s="28"/>
      <c r="F345" s="199"/>
    </row>
    <row r="346" spans="2:6" x14ac:dyDescent="0.3">
      <c r="B346" s="43" t="s">
        <v>24</v>
      </c>
      <c r="C346" s="44"/>
      <c r="D346" s="44"/>
      <c r="E346" s="44"/>
      <c r="F346" s="44"/>
    </row>
    <row r="347" spans="2:6" ht="7.5" customHeight="1" x14ac:dyDescent="0.3">
      <c r="E347" s="28"/>
      <c r="F347" s="199"/>
    </row>
    <row r="348" spans="2:6" x14ac:dyDescent="0.3">
      <c r="B348" s="116"/>
      <c r="D348" s="116" t="s">
        <v>172</v>
      </c>
      <c r="E348" s="116" t="s">
        <v>173</v>
      </c>
      <c r="F348" s="116" t="s">
        <v>174</v>
      </c>
    </row>
    <row r="349" spans="2:6" ht="17" x14ac:dyDescent="0.6">
      <c r="B349" s="203" t="s">
        <v>175</v>
      </c>
      <c r="C349" s="20" t="s">
        <v>181</v>
      </c>
      <c r="D349" s="20" t="s">
        <v>176</v>
      </c>
      <c r="E349" s="20" t="s">
        <v>164</v>
      </c>
      <c r="F349" s="20" t="s">
        <v>177</v>
      </c>
    </row>
    <row r="350" spans="2:6" s="283" customFormat="1" x14ac:dyDescent="0.3">
      <c r="C350" s="282"/>
      <c r="D350" s="282" t="s">
        <v>167</v>
      </c>
      <c r="E350" s="204" t="s">
        <v>168</v>
      </c>
      <c r="F350" s="282" t="s">
        <v>167</v>
      </c>
    </row>
    <row r="351" spans="2:6" x14ac:dyDescent="0.3">
      <c r="B351" s="324"/>
      <c r="C351" s="337"/>
      <c r="D351" s="337"/>
      <c r="E351" s="326"/>
      <c r="F351" s="199">
        <f>IF(ISNUMBER($E351),IF($F$304&gt;$E351,$D351/$E351,0),0)</f>
        <v>0</v>
      </c>
    </row>
    <row r="352" spans="2:6" x14ac:dyDescent="0.3">
      <c r="B352" s="324"/>
      <c r="C352" s="337"/>
      <c r="D352" s="337"/>
      <c r="E352" s="326"/>
      <c r="F352" s="199">
        <f>IF(ISNUMBER($E352),IF($F$304&gt;$E352,$D352/$E352,0),0)</f>
        <v>0</v>
      </c>
    </row>
    <row r="353" spans="2:6" x14ac:dyDescent="0.3">
      <c r="B353" s="324"/>
      <c r="C353" s="337"/>
      <c r="D353" s="337"/>
      <c r="E353" s="326"/>
      <c r="F353" s="199">
        <f>IF(ISNUMBER($E353),IF($F$304&gt;$E353,$D353/$E353,0),0)</f>
        <v>0</v>
      </c>
    </row>
    <row r="354" spans="2:6" x14ac:dyDescent="0.3">
      <c r="B354" s="324"/>
      <c r="C354" s="337"/>
      <c r="D354" s="337"/>
      <c r="E354" s="326"/>
      <c r="F354" s="199">
        <f>IF(ISNUMBER($E354),IF($F$304&gt;$E354,$D354/$E354,0),0)</f>
        <v>0</v>
      </c>
    </row>
    <row r="355" spans="2:6" x14ac:dyDescent="0.3">
      <c r="B355" s="51" t="s">
        <v>146</v>
      </c>
      <c r="C355" s="51"/>
      <c r="D355" s="51"/>
      <c r="E355" s="51"/>
      <c r="F355" s="208">
        <f>SUM(F351:F354)</f>
        <v>0</v>
      </c>
    </row>
    <row r="356" spans="2:6" x14ac:dyDescent="0.3">
      <c r="F356" s="28"/>
    </row>
    <row r="357" spans="2:6" x14ac:dyDescent="0.3">
      <c r="B357" s="18" t="s">
        <v>178</v>
      </c>
      <c r="F357" s="133">
        <f>SUMIF(E351:E354,"&lt;"&amp;$F$304,D351:D354)</f>
        <v>0</v>
      </c>
    </row>
    <row r="358" spans="2:6" x14ac:dyDescent="0.3">
      <c r="B358" s="18" t="s">
        <v>179</v>
      </c>
      <c r="F358" s="133">
        <f>SUMIF(E351:E354,"&gt;="&amp;$F$304,D351:D354)</f>
        <v>0</v>
      </c>
    </row>
    <row r="361" spans="2:6" ht="15.5" x14ac:dyDescent="0.35">
      <c r="B361" s="91" t="str">
        <f>'Comps Data'!M6&amp;"'s Diluted Shares"</f>
        <v>Alphabet's Diluted Shares</v>
      </c>
      <c r="C361" s="26"/>
      <c r="D361" s="26"/>
      <c r="E361" s="26"/>
      <c r="F361" s="26"/>
    </row>
    <row r="362" spans="2:6" ht="7.5" customHeight="1" x14ac:dyDescent="0.3"/>
    <row r="363" spans="2:6" x14ac:dyDescent="0.3">
      <c r="B363" s="18" t="s">
        <v>31</v>
      </c>
      <c r="F363" s="202">
        <f>+'Comps Data'!M11</f>
        <v>2069.66</v>
      </c>
    </row>
    <row r="365" spans="2:6" x14ac:dyDescent="0.3">
      <c r="B365" s="198" t="s">
        <v>21</v>
      </c>
    </row>
    <row r="366" spans="2:6" x14ac:dyDescent="0.3">
      <c r="B366" s="18" t="s">
        <v>32</v>
      </c>
      <c r="F366" s="209">
        <f>+'Comps Data'!M15</f>
        <v>675.22199999999998</v>
      </c>
    </row>
    <row r="367" spans="2:6" x14ac:dyDescent="0.3">
      <c r="B367" s="18" t="s">
        <v>199</v>
      </c>
      <c r="F367" s="209">
        <f>F402</f>
        <v>19.288792999999998</v>
      </c>
    </row>
    <row r="368" spans="2:6" x14ac:dyDescent="0.3">
      <c r="B368" s="18" t="s">
        <v>33</v>
      </c>
      <c r="F368" s="199">
        <f>+F389</f>
        <v>0</v>
      </c>
    </row>
    <row r="369" spans="2:6" x14ac:dyDescent="0.3">
      <c r="B369" s="50" t="s">
        <v>34</v>
      </c>
      <c r="F369" s="200">
        <f>F414</f>
        <v>0</v>
      </c>
    </row>
    <row r="370" spans="2:6" x14ac:dyDescent="0.3">
      <c r="B370" s="37" t="s">
        <v>91</v>
      </c>
      <c r="C370" s="37"/>
      <c r="D370" s="37"/>
      <c r="E370" s="37"/>
      <c r="F370" s="199">
        <f>SUM(F366:F369)</f>
        <v>694.51079299999992</v>
      </c>
    </row>
    <row r="371" spans="2:6" x14ac:dyDescent="0.3">
      <c r="F371" s="28"/>
    </row>
    <row r="372" spans="2:6" x14ac:dyDescent="0.3">
      <c r="B372" s="19" t="s">
        <v>22</v>
      </c>
      <c r="F372" s="201">
        <f>F363*F370</f>
        <v>1437401.2078403798</v>
      </c>
    </row>
    <row r="373" spans="2:6" x14ac:dyDescent="0.3">
      <c r="B373" s="19"/>
      <c r="F373" s="201"/>
    </row>
    <row r="375" spans="2:6" x14ac:dyDescent="0.3">
      <c r="B375" s="43" t="s">
        <v>159</v>
      </c>
      <c r="C375" s="44"/>
      <c r="D375" s="44"/>
      <c r="E375" s="44"/>
      <c r="F375" s="44"/>
    </row>
    <row r="376" spans="2:6" ht="7.5" customHeight="1" x14ac:dyDescent="0.3"/>
    <row r="377" spans="2:6" x14ac:dyDescent="0.3">
      <c r="B377" s="116"/>
      <c r="C377" s="116" t="s">
        <v>160</v>
      </c>
      <c r="D377" s="116" t="s">
        <v>161</v>
      </c>
      <c r="E377" s="116" t="s">
        <v>160</v>
      </c>
      <c r="F377" s="116"/>
    </row>
    <row r="378" spans="2:6" ht="17" x14ac:dyDescent="0.6">
      <c r="B378" s="203" t="s">
        <v>162</v>
      </c>
      <c r="C378" s="20" t="s">
        <v>163</v>
      </c>
      <c r="D378" s="20" t="s">
        <v>164</v>
      </c>
      <c r="E378" s="20" t="s">
        <v>165</v>
      </c>
      <c r="F378" s="20" t="s">
        <v>166</v>
      </c>
    </row>
    <row r="379" spans="2:6" s="283" customFormat="1" x14ac:dyDescent="0.3">
      <c r="B379" s="282"/>
      <c r="C379" s="282" t="s">
        <v>167</v>
      </c>
      <c r="D379" s="204" t="s">
        <v>168</v>
      </c>
      <c r="E379" s="282" t="s">
        <v>167</v>
      </c>
      <c r="F379" s="204" t="s">
        <v>169</v>
      </c>
    </row>
    <row r="380" spans="2:6" x14ac:dyDescent="0.3">
      <c r="B380" s="324"/>
      <c r="C380" s="325"/>
      <c r="D380" s="326"/>
      <c r="E380" s="199">
        <f>+IF(D380&lt;=$F$363,C380,0)</f>
        <v>0</v>
      </c>
      <c r="F380" s="205">
        <f>+D380*E380</f>
        <v>0</v>
      </c>
    </row>
    <row r="381" spans="2:6" x14ac:dyDescent="0.3">
      <c r="B381" s="324"/>
      <c r="C381" s="325"/>
      <c r="D381" s="326"/>
      <c r="E381" s="199">
        <f t="shared" ref="E381:E382" si="23">+IF(D381&lt;=$F$363,C381,0)</f>
        <v>0</v>
      </c>
      <c r="F381" s="205">
        <f t="shared" ref="F381:F382" si="24">+D381*E381</f>
        <v>0</v>
      </c>
    </row>
    <row r="382" spans="2:6" x14ac:dyDescent="0.3">
      <c r="B382" s="324"/>
      <c r="C382" s="325"/>
      <c r="D382" s="326"/>
      <c r="E382" s="199">
        <f t="shared" si="23"/>
        <v>0</v>
      </c>
      <c r="F382" s="205">
        <f t="shared" si="24"/>
        <v>0</v>
      </c>
    </row>
    <row r="383" spans="2:6" x14ac:dyDescent="0.3">
      <c r="B383" s="324"/>
      <c r="C383" s="325"/>
      <c r="D383" s="326"/>
      <c r="E383" s="199">
        <f t="shared" ref="E383:E384" si="25">+IF(D383&lt;=$F$363,C383,0)</f>
        <v>0</v>
      </c>
      <c r="F383" s="205">
        <f t="shared" ref="F383:F384" si="26">+D383*E383</f>
        <v>0</v>
      </c>
    </row>
    <row r="384" spans="2:6" x14ac:dyDescent="0.3">
      <c r="B384" s="327"/>
      <c r="C384" s="328"/>
      <c r="D384" s="329"/>
      <c r="E384" s="199">
        <f t="shared" si="25"/>
        <v>0</v>
      </c>
      <c r="F384" s="206">
        <f t="shared" si="26"/>
        <v>0</v>
      </c>
    </row>
    <row r="385" spans="2:6" x14ac:dyDescent="0.3">
      <c r="B385" s="51" t="s">
        <v>146</v>
      </c>
      <c r="C385" s="51"/>
      <c r="D385" s="51"/>
      <c r="E385" s="208">
        <f>SUM(E380:E384)</f>
        <v>0</v>
      </c>
      <c r="F385" s="210">
        <f>SUM(F380:F384)</f>
        <v>0</v>
      </c>
    </row>
    <row r="386" spans="2:6" x14ac:dyDescent="0.3">
      <c r="E386" s="28"/>
      <c r="F386" s="28"/>
    </row>
    <row r="387" spans="2:6" x14ac:dyDescent="0.3">
      <c r="B387" s="18" t="s">
        <v>170</v>
      </c>
      <c r="E387" s="28"/>
      <c r="F387" s="199">
        <f>+E385</f>
        <v>0</v>
      </c>
    </row>
    <row r="388" spans="2:6" x14ac:dyDescent="0.3">
      <c r="B388" s="18" t="s">
        <v>171</v>
      </c>
      <c r="E388" s="28"/>
      <c r="F388" s="199">
        <f>IFERROR(F385/F363,"na")</f>
        <v>0</v>
      </c>
    </row>
    <row r="389" spans="2:6" x14ac:dyDescent="0.3">
      <c r="B389" s="18" t="s">
        <v>196</v>
      </c>
      <c r="E389" s="28"/>
      <c r="F389" s="199">
        <f>IFERROR(F387-F388,"na")</f>
        <v>0</v>
      </c>
    </row>
    <row r="390" spans="2:6" x14ac:dyDescent="0.3">
      <c r="E390" s="28"/>
      <c r="F390" s="199"/>
    </row>
    <row r="391" spans="2:6" x14ac:dyDescent="0.3">
      <c r="E391" s="28"/>
      <c r="F391" s="199"/>
    </row>
    <row r="392" spans="2:6" x14ac:dyDescent="0.3">
      <c r="B392" s="43" t="s">
        <v>197</v>
      </c>
      <c r="C392" s="44"/>
      <c r="D392" s="44"/>
      <c r="E392" s="44"/>
      <c r="F392" s="44"/>
    </row>
    <row r="393" spans="2:6" s="41" customFormat="1" ht="5.5" customHeight="1" x14ac:dyDescent="0.3">
      <c r="B393" s="188"/>
      <c r="C393" s="281"/>
      <c r="D393" s="281"/>
      <c r="E393" s="281"/>
      <c r="F393" s="281"/>
    </row>
    <row r="394" spans="2:6" x14ac:dyDescent="0.3">
      <c r="B394" s="19"/>
      <c r="E394" s="28"/>
      <c r="F394" s="116" t="s">
        <v>198</v>
      </c>
    </row>
    <row r="395" spans="2:6" x14ac:dyDescent="0.3">
      <c r="B395" s="19"/>
      <c r="E395" s="28"/>
      <c r="F395" s="116" t="s">
        <v>160</v>
      </c>
    </row>
    <row r="396" spans="2:6" ht="17" x14ac:dyDescent="0.6">
      <c r="B396" s="203" t="s">
        <v>162</v>
      </c>
      <c r="C396" s="203" t="s">
        <v>181</v>
      </c>
      <c r="D396" s="203" t="s">
        <v>181</v>
      </c>
      <c r="E396" s="203" t="s">
        <v>181</v>
      </c>
      <c r="F396" s="20" t="s">
        <v>163</v>
      </c>
    </row>
    <row r="397" spans="2:6" s="283" customFormat="1" x14ac:dyDescent="0.3">
      <c r="E397" s="284"/>
      <c r="F397" s="282" t="s">
        <v>167</v>
      </c>
    </row>
    <row r="398" spans="2:6" x14ac:dyDescent="0.3">
      <c r="B398" s="324" t="s">
        <v>236</v>
      </c>
      <c r="C398" s="318"/>
      <c r="D398" s="318"/>
      <c r="E398" s="330"/>
      <c r="F398" s="325">
        <v>19.288792999999998</v>
      </c>
    </row>
    <row r="399" spans="2:6" x14ac:dyDescent="0.3">
      <c r="B399" s="331"/>
      <c r="C399" s="332"/>
      <c r="D399" s="332"/>
      <c r="E399" s="333"/>
      <c r="F399" s="328"/>
    </row>
    <row r="400" spans="2:6" x14ac:dyDescent="0.3">
      <c r="B400" s="331"/>
      <c r="C400" s="332"/>
      <c r="D400" s="332"/>
      <c r="E400" s="333"/>
      <c r="F400" s="328"/>
    </row>
    <row r="401" spans="2:6" x14ac:dyDescent="0.3">
      <c r="B401" s="327"/>
      <c r="C401" s="334"/>
      <c r="D401" s="334"/>
      <c r="E401" s="335"/>
      <c r="F401" s="336"/>
    </row>
    <row r="402" spans="2:6" s="19" customFormat="1" x14ac:dyDescent="0.3">
      <c r="B402" s="19" t="s">
        <v>146</v>
      </c>
      <c r="E402" s="30"/>
      <c r="F402" s="295">
        <f>SUM(F398:F401)</f>
        <v>19.288792999999998</v>
      </c>
    </row>
    <row r="403" spans="2:6" x14ac:dyDescent="0.3">
      <c r="E403" s="28"/>
      <c r="F403" s="199"/>
    </row>
    <row r="404" spans="2:6" x14ac:dyDescent="0.3">
      <c r="E404" s="28"/>
      <c r="F404" s="199"/>
    </row>
    <row r="405" spans="2:6" x14ac:dyDescent="0.3">
      <c r="B405" s="43" t="s">
        <v>24</v>
      </c>
      <c r="C405" s="44"/>
      <c r="D405" s="44"/>
      <c r="E405" s="44"/>
      <c r="F405" s="44"/>
    </row>
    <row r="406" spans="2:6" ht="7.5" customHeight="1" x14ac:dyDescent="0.3">
      <c r="E406" s="28"/>
      <c r="F406" s="199"/>
    </row>
    <row r="407" spans="2:6" x14ac:dyDescent="0.3">
      <c r="B407" s="116"/>
      <c r="D407" s="116" t="s">
        <v>172</v>
      </c>
      <c r="E407" s="116" t="s">
        <v>173</v>
      </c>
      <c r="F407" s="116" t="s">
        <v>174</v>
      </c>
    </row>
    <row r="408" spans="2:6" ht="17" x14ac:dyDescent="0.6">
      <c r="B408" s="203" t="s">
        <v>175</v>
      </c>
      <c r="C408" s="20" t="s">
        <v>181</v>
      </c>
      <c r="D408" s="20" t="s">
        <v>176</v>
      </c>
      <c r="E408" s="20" t="s">
        <v>164</v>
      </c>
      <c r="F408" s="20" t="s">
        <v>177</v>
      </c>
    </row>
    <row r="409" spans="2:6" s="283" customFormat="1" x14ac:dyDescent="0.3">
      <c r="C409" s="282"/>
      <c r="D409" s="282" t="s">
        <v>167</v>
      </c>
      <c r="E409" s="204" t="s">
        <v>168</v>
      </c>
      <c r="F409" s="282" t="s">
        <v>167</v>
      </c>
    </row>
    <row r="410" spans="2:6" x14ac:dyDescent="0.3">
      <c r="B410" s="324"/>
      <c r="C410" s="337"/>
      <c r="D410" s="337"/>
      <c r="E410" s="326"/>
      <c r="F410" s="199">
        <f>IF(ISNUMBER($E410),IF($F$363&gt;$E410,$D410/$E410,0),0)</f>
        <v>0</v>
      </c>
    </row>
    <row r="411" spans="2:6" x14ac:dyDescent="0.3">
      <c r="B411" s="324"/>
      <c r="C411" s="337"/>
      <c r="D411" s="337"/>
      <c r="E411" s="326"/>
      <c r="F411" s="199">
        <f>IF(ISNUMBER($E411),IF($F$363&gt;$E411,$D411/$E411,0),0)</f>
        <v>0</v>
      </c>
    </row>
    <row r="412" spans="2:6" x14ac:dyDescent="0.3">
      <c r="B412" s="324"/>
      <c r="C412" s="337"/>
      <c r="D412" s="337"/>
      <c r="E412" s="326"/>
      <c r="F412" s="199">
        <f t="shared" ref="F412:F413" si="27">IF(ISNUMBER($E412),IF($F$363&gt;$E412,$D412/$E412,0),0)</f>
        <v>0</v>
      </c>
    </row>
    <row r="413" spans="2:6" x14ac:dyDescent="0.3">
      <c r="B413" s="324"/>
      <c r="C413" s="337"/>
      <c r="D413" s="337"/>
      <c r="E413" s="326"/>
      <c r="F413" s="199">
        <f t="shared" si="27"/>
        <v>0</v>
      </c>
    </row>
    <row r="414" spans="2:6" x14ac:dyDescent="0.3">
      <c r="B414" s="51" t="s">
        <v>146</v>
      </c>
      <c r="C414" s="51"/>
      <c r="D414" s="51"/>
      <c r="E414" s="51"/>
      <c r="F414" s="208">
        <f>SUM(F410:F413)</f>
        <v>0</v>
      </c>
    </row>
    <row r="415" spans="2:6" x14ac:dyDescent="0.3">
      <c r="F415" s="28"/>
    </row>
    <row r="416" spans="2:6" x14ac:dyDescent="0.3">
      <c r="B416" s="18" t="s">
        <v>178</v>
      </c>
      <c r="F416" s="133">
        <f>SUMIF(E410:E413,"&lt;"&amp;$F$363,D410:D413)</f>
        <v>0</v>
      </c>
    </row>
    <row r="417" spans="2:6" x14ac:dyDescent="0.3">
      <c r="B417" s="18" t="s">
        <v>179</v>
      </c>
      <c r="F417" s="133">
        <f>SUMIF(E410:E413,"&gt;="&amp;$F$363,D410:D413)</f>
        <v>0</v>
      </c>
    </row>
    <row r="420" spans="2:6" ht="15.5" x14ac:dyDescent="0.35">
      <c r="B420" s="91" t="str">
        <f>'Comps Data'!N6&amp;"'s Diluted Shares"</f>
        <v>Facebook's Diluted Shares</v>
      </c>
      <c r="C420" s="26"/>
      <c r="D420" s="26"/>
      <c r="E420" s="26"/>
      <c r="F420" s="26"/>
    </row>
    <row r="421" spans="2:6" ht="7.5" customHeight="1" x14ac:dyDescent="0.3"/>
    <row r="422" spans="2:6" x14ac:dyDescent="0.3">
      <c r="B422" s="18" t="s">
        <v>31</v>
      </c>
      <c r="F422" s="202">
        <f>+'Comps Data'!N11</f>
        <v>264.91000000000003</v>
      </c>
    </row>
    <row r="424" spans="2:6" x14ac:dyDescent="0.3">
      <c r="B424" s="198" t="s">
        <v>21</v>
      </c>
    </row>
    <row r="425" spans="2:6" x14ac:dyDescent="0.3">
      <c r="B425" s="18" t="s">
        <v>32</v>
      </c>
      <c r="F425" s="209">
        <f>+'Comps Data'!N15</f>
        <v>2849</v>
      </c>
    </row>
    <row r="426" spans="2:6" x14ac:dyDescent="0.3">
      <c r="B426" s="18" t="s">
        <v>199</v>
      </c>
      <c r="F426" s="209">
        <f>F461</f>
        <v>96.733000000000004</v>
      </c>
    </row>
    <row r="427" spans="2:6" x14ac:dyDescent="0.3">
      <c r="B427" s="18" t="s">
        <v>33</v>
      </c>
      <c r="F427" s="199">
        <f>+F448</f>
        <v>0</v>
      </c>
    </row>
    <row r="428" spans="2:6" x14ac:dyDescent="0.3">
      <c r="B428" s="50" t="s">
        <v>34</v>
      </c>
      <c r="F428" s="200">
        <f>F473</f>
        <v>0</v>
      </c>
    </row>
    <row r="429" spans="2:6" x14ac:dyDescent="0.3">
      <c r="B429" s="37" t="s">
        <v>91</v>
      </c>
      <c r="C429" s="37"/>
      <c r="D429" s="37"/>
      <c r="E429" s="37"/>
      <c r="F429" s="199">
        <f>SUM(F425:F428)</f>
        <v>2945.7330000000002</v>
      </c>
    </row>
    <row r="430" spans="2:6" x14ac:dyDescent="0.3">
      <c r="F430" s="28"/>
    </row>
    <row r="431" spans="2:6" x14ac:dyDescent="0.3">
      <c r="B431" s="19" t="s">
        <v>22</v>
      </c>
      <c r="F431" s="201">
        <f>F422*F429</f>
        <v>780354.12903000007</v>
      </c>
    </row>
    <row r="432" spans="2:6" x14ac:dyDescent="0.3">
      <c r="B432" s="19"/>
      <c r="F432" s="201"/>
    </row>
    <row r="434" spans="2:6" x14ac:dyDescent="0.3">
      <c r="B434" s="43" t="s">
        <v>159</v>
      </c>
      <c r="C434" s="44"/>
      <c r="D434" s="44"/>
      <c r="E434" s="44"/>
      <c r="F434" s="44"/>
    </row>
    <row r="435" spans="2:6" ht="7.5" customHeight="1" x14ac:dyDescent="0.3"/>
    <row r="436" spans="2:6" x14ac:dyDescent="0.3">
      <c r="B436" s="116"/>
      <c r="C436" s="116" t="s">
        <v>160</v>
      </c>
      <c r="D436" s="116" t="s">
        <v>161</v>
      </c>
      <c r="E436" s="116" t="s">
        <v>160</v>
      </c>
      <c r="F436" s="116"/>
    </row>
    <row r="437" spans="2:6" ht="17" x14ac:dyDescent="0.6">
      <c r="B437" s="203" t="s">
        <v>162</v>
      </c>
      <c r="C437" s="20" t="s">
        <v>163</v>
      </c>
      <c r="D437" s="20" t="s">
        <v>164</v>
      </c>
      <c r="E437" s="20" t="s">
        <v>165</v>
      </c>
      <c r="F437" s="20" t="s">
        <v>166</v>
      </c>
    </row>
    <row r="438" spans="2:6" s="283" customFormat="1" x14ac:dyDescent="0.3">
      <c r="B438" s="282"/>
      <c r="C438" s="282" t="s">
        <v>167</v>
      </c>
      <c r="D438" s="204" t="s">
        <v>168</v>
      </c>
      <c r="E438" s="282" t="s">
        <v>167</v>
      </c>
      <c r="F438" s="204" t="s">
        <v>169</v>
      </c>
    </row>
    <row r="439" spans="2:6" x14ac:dyDescent="0.3">
      <c r="B439" s="324"/>
      <c r="C439" s="325"/>
      <c r="D439" s="326"/>
      <c r="E439" s="199">
        <f>+IF(D439&lt;=$F$422,C439,0)</f>
        <v>0</v>
      </c>
      <c r="F439" s="205">
        <f>+D439*E439</f>
        <v>0</v>
      </c>
    </row>
    <row r="440" spans="2:6" x14ac:dyDescent="0.3">
      <c r="B440" s="324"/>
      <c r="C440" s="325"/>
      <c r="D440" s="326"/>
      <c r="E440" s="199">
        <f t="shared" ref="E440:E443" si="28">+IF(D440&lt;=$F$422,C440,0)</f>
        <v>0</v>
      </c>
      <c r="F440" s="205">
        <f t="shared" ref="F440:F443" si="29">+D440*E440</f>
        <v>0</v>
      </c>
    </row>
    <row r="441" spans="2:6" x14ac:dyDescent="0.3">
      <c r="B441" s="324"/>
      <c r="C441" s="325"/>
      <c r="D441" s="326"/>
      <c r="E441" s="199">
        <f t="shared" ref="E441:E442" si="30">+IF(D441&lt;=$F$422,C441,0)</f>
        <v>0</v>
      </c>
      <c r="F441" s="205">
        <f t="shared" ref="F441:F442" si="31">+D441*E441</f>
        <v>0</v>
      </c>
    </row>
    <row r="442" spans="2:6" x14ac:dyDescent="0.3">
      <c r="B442" s="324"/>
      <c r="C442" s="325"/>
      <c r="D442" s="326"/>
      <c r="E442" s="199">
        <f t="shared" si="30"/>
        <v>0</v>
      </c>
      <c r="F442" s="205">
        <f t="shared" si="31"/>
        <v>0</v>
      </c>
    </row>
    <row r="443" spans="2:6" x14ac:dyDescent="0.3">
      <c r="B443" s="327"/>
      <c r="C443" s="328"/>
      <c r="D443" s="329"/>
      <c r="E443" s="199">
        <f t="shared" si="28"/>
        <v>0</v>
      </c>
      <c r="F443" s="206">
        <f t="shared" si="29"/>
        <v>0</v>
      </c>
    </row>
    <row r="444" spans="2:6" x14ac:dyDescent="0.3">
      <c r="B444" s="51" t="s">
        <v>146</v>
      </c>
      <c r="C444" s="51"/>
      <c r="D444" s="51"/>
      <c r="E444" s="208">
        <f>SUM(E439:E443)</f>
        <v>0</v>
      </c>
      <c r="F444" s="210">
        <f>SUM(F439:F443)</f>
        <v>0</v>
      </c>
    </row>
    <row r="445" spans="2:6" x14ac:dyDescent="0.3">
      <c r="E445" s="28"/>
      <c r="F445" s="28"/>
    </row>
    <row r="446" spans="2:6" x14ac:dyDescent="0.3">
      <c r="B446" s="18" t="s">
        <v>170</v>
      </c>
      <c r="E446" s="28"/>
      <c r="F446" s="199">
        <f>+E444</f>
        <v>0</v>
      </c>
    </row>
    <row r="447" spans="2:6" x14ac:dyDescent="0.3">
      <c r="B447" s="18" t="s">
        <v>171</v>
      </c>
      <c r="E447" s="28"/>
      <c r="F447" s="199">
        <f>IFERROR(F444/F422,"na")</f>
        <v>0</v>
      </c>
    </row>
    <row r="448" spans="2:6" x14ac:dyDescent="0.3">
      <c r="B448" s="18" t="s">
        <v>196</v>
      </c>
      <c r="E448" s="28"/>
      <c r="F448" s="199">
        <f>IFERROR(F446-F447,"na")</f>
        <v>0</v>
      </c>
    </row>
    <row r="449" spans="2:6" x14ac:dyDescent="0.3">
      <c r="E449" s="28"/>
      <c r="F449" s="199"/>
    </row>
    <row r="450" spans="2:6" x14ac:dyDescent="0.3">
      <c r="E450" s="28"/>
      <c r="F450" s="199"/>
    </row>
    <row r="451" spans="2:6" x14ac:dyDescent="0.3">
      <c r="B451" s="43" t="s">
        <v>197</v>
      </c>
      <c r="C451" s="44"/>
      <c r="D451" s="44"/>
      <c r="E451" s="44"/>
      <c r="F451" s="44"/>
    </row>
    <row r="452" spans="2:6" s="41" customFormat="1" ht="5.5" customHeight="1" x14ac:dyDescent="0.3">
      <c r="B452" s="188"/>
      <c r="C452" s="281"/>
      <c r="D452" s="281"/>
      <c r="E452" s="281"/>
      <c r="F452" s="281"/>
    </row>
    <row r="453" spans="2:6" x14ac:dyDescent="0.3">
      <c r="B453" s="19"/>
      <c r="E453" s="28"/>
      <c r="F453" s="116" t="s">
        <v>198</v>
      </c>
    </row>
    <row r="454" spans="2:6" x14ac:dyDescent="0.3">
      <c r="B454" s="19"/>
      <c r="E454" s="28"/>
      <c r="F454" s="116" t="s">
        <v>160</v>
      </c>
    </row>
    <row r="455" spans="2:6" ht="17" x14ac:dyDescent="0.6">
      <c r="B455" s="203" t="s">
        <v>162</v>
      </c>
      <c r="C455" s="203" t="s">
        <v>181</v>
      </c>
      <c r="D455" s="203" t="s">
        <v>181</v>
      </c>
      <c r="E455" s="203" t="s">
        <v>181</v>
      </c>
      <c r="F455" s="20" t="s">
        <v>163</v>
      </c>
    </row>
    <row r="456" spans="2:6" s="283" customFormat="1" x14ac:dyDescent="0.3">
      <c r="E456" s="284"/>
      <c r="F456" s="282" t="s">
        <v>167</v>
      </c>
    </row>
    <row r="457" spans="2:6" x14ac:dyDescent="0.3">
      <c r="B457" s="324" t="s">
        <v>236</v>
      </c>
      <c r="C457" s="318"/>
      <c r="D457" s="318"/>
      <c r="E457" s="330"/>
      <c r="F457" s="325">
        <v>96.733000000000004</v>
      </c>
    </row>
    <row r="458" spans="2:6" x14ac:dyDescent="0.3">
      <c r="B458" s="331"/>
      <c r="C458" s="332"/>
      <c r="D458" s="332"/>
      <c r="E458" s="333"/>
      <c r="F458" s="328"/>
    </row>
    <row r="459" spans="2:6" x14ac:dyDescent="0.3">
      <c r="B459" s="331"/>
      <c r="C459" s="332"/>
      <c r="D459" s="332"/>
      <c r="E459" s="333"/>
      <c r="F459" s="328"/>
    </row>
    <row r="460" spans="2:6" x14ac:dyDescent="0.3">
      <c r="B460" s="327"/>
      <c r="C460" s="334"/>
      <c r="D460" s="334"/>
      <c r="E460" s="335"/>
      <c r="F460" s="336"/>
    </row>
    <row r="461" spans="2:6" s="19" customFormat="1" x14ac:dyDescent="0.3">
      <c r="B461" s="19" t="s">
        <v>146</v>
      </c>
      <c r="E461" s="30"/>
      <c r="F461" s="295">
        <f>SUM(F457:F460)</f>
        <v>96.733000000000004</v>
      </c>
    </row>
    <row r="462" spans="2:6" x14ac:dyDescent="0.3">
      <c r="E462" s="28"/>
      <c r="F462" s="199"/>
    </row>
    <row r="463" spans="2:6" x14ac:dyDescent="0.3">
      <c r="E463" s="28"/>
      <c r="F463" s="199"/>
    </row>
    <row r="464" spans="2:6" x14ac:dyDescent="0.3">
      <c r="B464" s="43" t="s">
        <v>24</v>
      </c>
      <c r="C464" s="44"/>
      <c r="D464" s="44"/>
      <c r="E464" s="44"/>
      <c r="F464" s="44"/>
    </row>
    <row r="465" spans="2:6" ht="7.5" customHeight="1" x14ac:dyDescent="0.3">
      <c r="E465" s="28"/>
      <c r="F465" s="199"/>
    </row>
    <row r="466" spans="2:6" x14ac:dyDescent="0.3">
      <c r="B466" s="116"/>
      <c r="D466" s="116" t="s">
        <v>172</v>
      </c>
      <c r="E466" s="116" t="s">
        <v>173</v>
      </c>
      <c r="F466" s="116" t="s">
        <v>174</v>
      </c>
    </row>
    <row r="467" spans="2:6" ht="17" x14ac:dyDescent="0.6">
      <c r="B467" s="203" t="s">
        <v>175</v>
      </c>
      <c r="C467" s="20" t="s">
        <v>181</v>
      </c>
      <c r="D467" s="20" t="s">
        <v>176</v>
      </c>
      <c r="E467" s="20" t="s">
        <v>164</v>
      </c>
      <c r="F467" s="20" t="s">
        <v>177</v>
      </c>
    </row>
    <row r="468" spans="2:6" s="283" customFormat="1" x14ac:dyDescent="0.3">
      <c r="C468" s="282"/>
      <c r="D468" s="282" t="s">
        <v>167</v>
      </c>
      <c r="E468" s="204" t="s">
        <v>168</v>
      </c>
      <c r="F468" s="282" t="s">
        <v>167</v>
      </c>
    </row>
    <row r="469" spans="2:6" x14ac:dyDescent="0.3">
      <c r="B469" s="324"/>
      <c r="C469" s="337"/>
      <c r="D469" s="337"/>
      <c r="E469" s="326"/>
      <c r="F469" s="199">
        <f>IF(ISNUMBER($E469),IF($F$422&gt;$E469,$D469/$E469,0),0)</f>
        <v>0</v>
      </c>
    </row>
    <row r="470" spans="2:6" x14ac:dyDescent="0.3">
      <c r="B470" s="324"/>
      <c r="C470" s="337"/>
      <c r="D470" s="337"/>
      <c r="E470" s="326"/>
      <c r="F470" s="199">
        <f t="shared" ref="F470" si="32">IF(ISNUMBER($E470),IF($F$422&gt;$E470,$D470/$E470,0),0)</f>
        <v>0</v>
      </c>
    </row>
    <row r="471" spans="2:6" x14ac:dyDescent="0.3">
      <c r="B471" s="324"/>
      <c r="C471" s="337"/>
      <c r="D471" s="337"/>
      <c r="E471" s="326"/>
      <c r="F471" s="199">
        <f t="shared" ref="F471:F472" si="33">IF(ISNUMBER($E471),IF($F$422&gt;$E471,$D471/$E471,0),0)</f>
        <v>0</v>
      </c>
    </row>
    <row r="472" spans="2:6" x14ac:dyDescent="0.3">
      <c r="B472" s="324"/>
      <c r="C472" s="337"/>
      <c r="D472" s="337"/>
      <c r="E472" s="326"/>
      <c r="F472" s="199">
        <f t="shared" si="33"/>
        <v>0</v>
      </c>
    </row>
    <row r="473" spans="2:6" x14ac:dyDescent="0.3">
      <c r="B473" s="51" t="s">
        <v>146</v>
      </c>
      <c r="C473" s="51"/>
      <c r="D473" s="51"/>
      <c r="E473" s="51"/>
      <c r="F473" s="208">
        <f>SUM(F469:F472)</f>
        <v>0</v>
      </c>
    </row>
    <row r="474" spans="2:6" x14ac:dyDescent="0.3">
      <c r="F474" s="28"/>
    </row>
    <row r="475" spans="2:6" x14ac:dyDescent="0.3">
      <c r="B475" s="18" t="s">
        <v>178</v>
      </c>
      <c r="F475" s="133">
        <f>SUMIF(E469:E472,"&lt;"&amp;$F$422,D469:D472)</f>
        <v>0</v>
      </c>
    </row>
    <row r="476" spans="2:6" x14ac:dyDescent="0.3">
      <c r="B476" s="18" t="s">
        <v>179</v>
      </c>
      <c r="F476" s="133">
        <f>SUMIF(E469:E472,"&gt;="&amp;$F$422,D469:D472)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Control Panel</vt:lpstr>
      <vt:lpstr>Outputs</vt:lpstr>
      <vt:lpstr>Sensitivities</vt:lpstr>
      <vt:lpstr>Model</vt:lpstr>
      <vt:lpstr>Comps Data</vt:lpstr>
      <vt:lpstr>Diluted Shares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Katie Au Yeung</cp:lastModifiedBy>
  <cp:lastPrinted>2021-03-10T21:59:26Z</cp:lastPrinted>
  <dcterms:created xsi:type="dcterms:W3CDTF">2020-09-13T07:04:14Z</dcterms:created>
  <dcterms:modified xsi:type="dcterms:W3CDTF">2021-04-13T22:03:46Z</dcterms:modified>
</cp:coreProperties>
</file>