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31. Strategy\Attachments\"/>
    </mc:Choice>
  </mc:AlternateContent>
  <xr:revisionPtr revIDLastSave="0" documentId="13_ncr:1_{897E8223-92FD-4914-8236-1A081811130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ver Page" sheetId="8" r:id="rId1"/>
    <sheet name="Financial Statements" sheetId="1" r:id="rId2"/>
    <sheet name="Strategic Alternatives" sheetId="2" r:id="rId3"/>
    <sheet name="DCF Model" sheetId="4" r:id="rId4"/>
    <sheet name="Forecast Scenarios" sheetId="5" r:id="rId5"/>
    <sheet name="DCF Model - Scenarios" sheetId="7" r:id="rId6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1" i="7" l="1"/>
  <c r="D83" i="7"/>
  <c r="D55" i="7"/>
  <c r="D29" i="7"/>
  <c r="D108" i="4"/>
  <c r="D81" i="4"/>
  <c r="D54" i="4"/>
  <c r="D29" i="4"/>
  <c r="D22" i="7" l="1"/>
  <c r="E22" i="7"/>
  <c r="F22" i="7"/>
  <c r="G22" i="7"/>
  <c r="H22" i="7"/>
  <c r="I22" i="7"/>
  <c r="J22" i="7"/>
  <c r="K22" i="7"/>
  <c r="D25" i="7"/>
  <c r="D28" i="7"/>
  <c r="D107" i="4"/>
  <c r="D104" i="4"/>
  <c r="D77" i="4"/>
  <c r="D80" i="4"/>
  <c r="D53" i="4"/>
  <c r="D28" i="4"/>
  <c r="D50" i="4"/>
  <c r="D25" i="4"/>
  <c r="C19" i="8" l="1"/>
  <c r="C18" i="8"/>
  <c r="C17" i="8"/>
  <c r="C16" i="8"/>
  <c r="C15" i="8"/>
  <c r="G100" i="7" l="1"/>
  <c r="G72" i="7"/>
  <c r="G44" i="7"/>
  <c r="G102" i="7"/>
  <c r="K101" i="7"/>
  <c r="J101" i="7"/>
  <c r="I101" i="7"/>
  <c r="H101" i="7"/>
  <c r="G101" i="7"/>
  <c r="G74" i="7"/>
  <c r="K73" i="7"/>
  <c r="J73" i="7"/>
  <c r="I73" i="7"/>
  <c r="H73" i="7"/>
  <c r="G73" i="7"/>
  <c r="G46" i="7"/>
  <c r="K45" i="7"/>
  <c r="J45" i="7"/>
  <c r="I45" i="7"/>
  <c r="H45" i="7"/>
  <c r="G45" i="7"/>
  <c r="K20" i="7"/>
  <c r="J20" i="7"/>
  <c r="I20" i="7"/>
  <c r="H20" i="7"/>
  <c r="G20" i="7"/>
  <c r="F20" i="7"/>
  <c r="E20" i="7"/>
  <c r="D20" i="7"/>
  <c r="K19" i="7"/>
  <c r="J19" i="7"/>
  <c r="I19" i="7"/>
  <c r="H19" i="7"/>
  <c r="G19" i="7"/>
  <c r="F19" i="7"/>
  <c r="E19" i="7"/>
  <c r="D19" i="7"/>
  <c r="D18" i="7"/>
  <c r="H12" i="7"/>
  <c r="H102" i="7" s="1"/>
  <c r="G72" i="4"/>
  <c r="G99" i="4"/>
  <c r="G97" i="4"/>
  <c r="K98" i="4"/>
  <c r="J98" i="4"/>
  <c r="I98" i="4"/>
  <c r="H98" i="4"/>
  <c r="G98" i="4"/>
  <c r="H71" i="4"/>
  <c r="I71" i="4"/>
  <c r="J71" i="4"/>
  <c r="K71" i="4"/>
  <c r="G71" i="4"/>
  <c r="G70" i="4"/>
  <c r="G45" i="4"/>
  <c r="H12" i="4"/>
  <c r="H45" i="4" s="1"/>
  <c r="H44" i="4"/>
  <c r="I44" i="4"/>
  <c r="J44" i="4"/>
  <c r="K44" i="4"/>
  <c r="G44" i="4"/>
  <c r="H19" i="4"/>
  <c r="I19" i="4"/>
  <c r="J19" i="4"/>
  <c r="K19" i="4"/>
  <c r="G19" i="4"/>
  <c r="D19" i="4"/>
  <c r="H99" i="4" l="1"/>
  <c r="H72" i="4"/>
  <c r="H74" i="7"/>
  <c r="I12" i="7"/>
  <c r="H46" i="7"/>
  <c r="I12" i="4"/>
  <c r="H20" i="4"/>
  <c r="I20" i="4"/>
  <c r="J20" i="4"/>
  <c r="K20" i="4"/>
  <c r="G20" i="4"/>
  <c r="E20" i="4"/>
  <c r="F20" i="4"/>
  <c r="D20" i="4"/>
  <c r="E19" i="4"/>
  <c r="F19" i="4"/>
  <c r="D18" i="4"/>
  <c r="G43" i="4"/>
  <c r="I99" i="4" l="1"/>
  <c r="I72" i="4"/>
  <c r="I74" i="7"/>
  <c r="I46" i="7"/>
  <c r="I102" i="7"/>
  <c r="J12" i="7"/>
  <c r="J12" i="4"/>
  <c r="I45" i="4"/>
  <c r="C17" i="5"/>
  <c r="C19" i="5" s="1"/>
  <c r="C13" i="5"/>
  <c r="C14" i="5" s="1"/>
  <c r="C9" i="5"/>
  <c r="E17" i="5"/>
  <c r="E19" i="5" s="1"/>
  <c r="E13" i="5"/>
  <c r="E14" i="5" s="1"/>
  <c r="E9" i="5"/>
  <c r="D17" i="5"/>
  <c r="D19" i="5" s="1"/>
  <c r="D13" i="5"/>
  <c r="D14" i="5" s="1"/>
  <c r="D9" i="5"/>
  <c r="J72" i="4" l="1"/>
  <c r="J99" i="4"/>
  <c r="J74" i="7"/>
  <c r="J102" i="7"/>
  <c r="J46" i="7"/>
  <c r="K12" i="7"/>
  <c r="K12" i="4"/>
  <c r="J45" i="4"/>
  <c r="C20" i="5"/>
  <c r="G98" i="7" s="1"/>
  <c r="E20" i="5"/>
  <c r="G70" i="7" s="1"/>
  <c r="D20" i="5"/>
  <c r="D58" i="1"/>
  <c r="F58" i="1"/>
  <c r="E58" i="1"/>
  <c r="D21" i="5" l="1"/>
  <c r="G42" i="7"/>
  <c r="H70" i="7"/>
  <c r="G71" i="7"/>
  <c r="G75" i="7" s="1"/>
  <c r="G99" i="7"/>
  <c r="G103" i="7" s="1"/>
  <c r="H98" i="7"/>
  <c r="K72" i="4"/>
  <c r="K99" i="4"/>
  <c r="E21" i="7"/>
  <c r="E21" i="4"/>
  <c r="F21" i="7"/>
  <c r="G21" i="7" s="1"/>
  <c r="H21" i="7" s="1"/>
  <c r="I21" i="7" s="1"/>
  <c r="J21" i="7" s="1"/>
  <c r="K21" i="7" s="1"/>
  <c r="F21" i="4"/>
  <c r="G21" i="4" s="1"/>
  <c r="H21" i="4" s="1"/>
  <c r="I21" i="4" s="1"/>
  <c r="J21" i="4" s="1"/>
  <c r="K21" i="4" s="1"/>
  <c r="D21" i="7"/>
  <c r="D21" i="4"/>
  <c r="K102" i="7"/>
  <c r="K46" i="7"/>
  <c r="K74" i="7"/>
  <c r="K45" i="4"/>
  <c r="E21" i="5"/>
  <c r="C21" i="5"/>
  <c r="F37" i="1"/>
  <c r="F43" i="1" s="1"/>
  <c r="D37" i="1"/>
  <c r="D43" i="1" s="1"/>
  <c r="E37" i="1"/>
  <c r="E43" i="1" s="1"/>
  <c r="F66" i="1"/>
  <c r="F68" i="1" s="1"/>
  <c r="E66" i="1"/>
  <c r="E68" i="1" s="1"/>
  <c r="D66" i="1"/>
  <c r="D68" i="1" s="1"/>
  <c r="E57" i="1"/>
  <c r="F57" i="1"/>
  <c r="D57" i="1"/>
  <c r="C9" i="2"/>
  <c r="F11" i="1"/>
  <c r="F24" i="1"/>
  <c r="F26" i="1" s="1"/>
  <c r="D11" i="1"/>
  <c r="D24" i="1"/>
  <c r="D26" i="1" s="1"/>
  <c r="E11" i="1"/>
  <c r="E24" i="1"/>
  <c r="D19" i="2"/>
  <c r="E19" i="2"/>
  <c r="E114" i="1"/>
  <c r="F114" i="1"/>
  <c r="E115" i="1"/>
  <c r="F115" i="1"/>
  <c r="D114" i="1"/>
  <c r="D115" i="1"/>
  <c r="E92" i="1"/>
  <c r="F92" i="1"/>
  <c r="D92" i="1"/>
  <c r="F83" i="1"/>
  <c r="F87" i="1" s="1"/>
  <c r="E83" i="1"/>
  <c r="E87" i="1" s="1"/>
  <c r="D83" i="1"/>
  <c r="D87" i="1" s="1"/>
  <c r="F86" i="1"/>
  <c r="E86" i="1"/>
  <c r="D86" i="1"/>
  <c r="F85" i="1"/>
  <c r="E85" i="1"/>
  <c r="D85" i="1"/>
  <c r="F84" i="1"/>
  <c r="E84" i="1"/>
  <c r="D84" i="1"/>
  <c r="E63" i="1"/>
  <c r="F63" i="1"/>
  <c r="D63" i="1"/>
  <c r="E107" i="1"/>
  <c r="E109" i="1" s="1"/>
  <c r="F107" i="1"/>
  <c r="F109" i="1" s="1"/>
  <c r="D107" i="1"/>
  <c r="D109" i="1" s="1"/>
  <c r="E16" i="1"/>
  <c r="F16" i="1"/>
  <c r="D16" i="1"/>
  <c r="E9" i="2"/>
  <c r="E23" i="2"/>
  <c r="D9" i="2"/>
  <c r="D20" i="2" s="1"/>
  <c r="D23" i="2"/>
  <c r="E13" i="2"/>
  <c r="E14" i="2" s="1"/>
  <c r="E20" i="2" s="1"/>
  <c r="D13" i="2"/>
  <c r="D14" i="2"/>
  <c r="C13" i="2"/>
  <c r="C14" i="2"/>
  <c r="C17" i="2"/>
  <c r="C19" i="2" s="1"/>
  <c r="E108" i="1"/>
  <c r="F108" i="1"/>
  <c r="D108" i="1"/>
  <c r="G68" i="4" l="1"/>
  <c r="D21" i="2"/>
  <c r="C20" i="2"/>
  <c r="C23" i="2"/>
  <c r="G41" i="4"/>
  <c r="C21" i="2"/>
  <c r="G95" i="4"/>
  <c r="E21" i="2"/>
  <c r="I70" i="7"/>
  <c r="H71" i="7"/>
  <c r="H75" i="7" s="1"/>
  <c r="G69" i="4"/>
  <c r="G73" i="4"/>
  <c r="H68" i="4"/>
  <c r="G43" i="7"/>
  <c r="G47" i="7" s="1"/>
  <c r="H42" i="7"/>
  <c r="H99" i="7"/>
  <c r="H103" i="7" s="1"/>
  <c r="I98" i="7"/>
  <c r="E17" i="7"/>
  <c r="E17" i="4"/>
  <c r="D17" i="7"/>
  <c r="D17" i="4"/>
  <c r="D22" i="4" s="1"/>
  <c r="F17" i="7"/>
  <c r="F17" i="4"/>
  <c r="E17" i="1"/>
  <c r="E106" i="1" s="1"/>
  <c r="E99" i="1"/>
  <c r="F17" i="1"/>
  <c r="F106" i="1" s="1"/>
  <c r="E26" i="1"/>
  <c r="E30" i="1" s="1"/>
  <c r="D98" i="1"/>
  <c r="E98" i="1"/>
  <c r="F98" i="1"/>
  <c r="F99" i="1"/>
  <c r="F30" i="1"/>
  <c r="F103" i="1"/>
  <c r="D30" i="1"/>
  <c r="D103" i="1"/>
  <c r="D99" i="1"/>
  <c r="D17" i="1"/>
  <c r="D106" i="1" s="1"/>
  <c r="F38" i="1"/>
  <c r="E47" i="1"/>
  <c r="E44" i="1"/>
  <c r="D47" i="1"/>
  <c r="D44" i="1"/>
  <c r="F44" i="1"/>
  <c r="F47" i="1"/>
  <c r="E38" i="1"/>
  <c r="D38" i="1"/>
  <c r="I42" i="7" l="1"/>
  <c r="H43" i="7"/>
  <c r="H47" i="7" s="1"/>
  <c r="H95" i="4"/>
  <c r="G96" i="4"/>
  <c r="G100" i="4" s="1"/>
  <c r="I71" i="7"/>
  <c r="I75" i="7" s="1"/>
  <c r="J70" i="7"/>
  <c r="I99" i="7"/>
  <c r="I103" i="7" s="1"/>
  <c r="J98" i="7"/>
  <c r="I68" i="4"/>
  <c r="H69" i="4"/>
  <c r="H73" i="4" s="1"/>
  <c r="H41" i="4"/>
  <c r="G42" i="4"/>
  <c r="G46" i="4" s="1"/>
  <c r="D101" i="4"/>
  <c r="D74" i="4"/>
  <c r="D47" i="4"/>
  <c r="D104" i="7"/>
  <c r="D76" i="7"/>
  <c r="D48" i="7"/>
  <c r="G17" i="4"/>
  <c r="G17" i="7"/>
  <c r="E102" i="1"/>
  <c r="E103" i="1"/>
  <c r="F102" i="1"/>
  <c r="D102" i="1"/>
  <c r="F49" i="1"/>
  <c r="D50" i="1"/>
  <c r="E49" i="1"/>
  <c r="J71" i="7" l="1"/>
  <c r="J75" i="7" s="1"/>
  <c r="K70" i="7"/>
  <c r="K71" i="7" s="1"/>
  <c r="K75" i="7" s="1"/>
  <c r="I41" i="4"/>
  <c r="H42" i="4"/>
  <c r="H46" i="4" s="1"/>
  <c r="I95" i="4"/>
  <c r="H96" i="4"/>
  <c r="H100" i="4" s="1"/>
  <c r="J99" i="7"/>
  <c r="J103" i="7" s="1"/>
  <c r="K98" i="7"/>
  <c r="K99" i="7" s="1"/>
  <c r="K103" i="7" s="1"/>
  <c r="J68" i="4"/>
  <c r="I69" i="4"/>
  <c r="I73" i="4" s="1"/>
  <c r="I43" i="7"/>
  <c r="I47" i="7" s="1"/>
  <c r="J42" i="7"/>
  <c r="F18" i="7"/>
  <c r="F18" i="4"/>
  <c r="F22" i="4" s="1"/>
  <c r="G18" i="7"/>
  <c r="H17" i="7"/>
  <c r="H17" i="4"/>
  <c r="G18" i="4"/>
  <c r="G22" i="4" s="1"/>
  <c r="E18" i="7"/>
  <c r="E18" i="4"/>
  <c r="E22" i="4" s="1"/>
  <c r="F50" i="1"/>
  <c r="F56" i="1" s="1"/>
  <c r="F59" i="1" s="1"/>
  <c r="F70" i="1" s="1"/>
  <c r="E50" i="1"/>
  <c r="D56" i="1"/>
  <c r="D59" i="1" s="1"/>
  <c r="D70" i="1" s="1"/>
  <c r="D72" i="1" s="1"/>
  <c r="E71" i="1" s="1"/>
  <c r="D112" i="1"/>
  <c r="D113" i="1"/>
  <c r="J95" i="4" l="1"/>
  <c r="I96" i="4"/>
  <c r="I100" i="4" s="1"/>
  <c r="J41" i="4"/>
  <c r="I42" i="4"/>
  <c r="I46" i="4" s="1"/>
  <c r="J43" i="7"/>
  <c r="J47" i="7" s="1"/>
  <c r="K42" i="7"/>
  <c r="K43" i="7" s="1"/>
  <c r="K47" i="7" s="1"/>
  <c r="F113" i="1"/>
  <c r="F112" i="1"/>
  <c r="K68" i="4"/>
  <c r="J69" i="4"/>
  <c r="J73" i="4" s="1"/>
  <c r="G104" i="7"/>
  <c r="G48" i="7"/>
  <c r="G76" i="7"/>
  <c r="E104" i="7"/>
  <c r="E76" i="7"/>
  <c r="E48" i="7"/>
  <c r="G74" i="4"/>
  <c r="G101" i="4"/>
  <c r="G47" i="4"/>
  <c r="H18" i="4"/>
  <c r="H22" i="4" s="1"/>
  <c r="I17" i="4"/>
  <c r="F101" i="4"/>
  <c r="F47" i="4"/>
  <c r="F74" i="4"/>
  <c r="E101" i="4"/>
  <c r="E74" i="4"/>
  <c r="E47" i="4"/>
  <c r="I17" i="7"/>
  <c r="H18" i="7"/>
  <c r="F104" i="7"/>
  <c r="F48" i="7"/>
  <c r="F76" i="7"/>
  <c r="E56" i="1"/>
  <c r="E59" i="1" s="1"/>
  <c r="E70" i="1" s="1"/>
  <c r="E72" i="1" s="1"/>
  <c r="E113" i="1"/>
  <c r="E112" i="1"/>
  <c r="K41" i="4" l="1"/>
  <c r="K42" i="4" s="1"/>
  <c r="K46" i="4" s="1"/>
  <c r="J42" i="4"/>
  <c r="J46" i="4" s="1"/>
  <c r="K69" i="4"/>
  <c r="K73" i="4"/>
  <c r="K95" i="4"/>
  <c r="K96" i="4" s="1"/>
  <c r="K100" i="4" s="1"/>
  <c r="J96" i="4"/>
  <c r="J100" i="4" s="1"/>
  <c r="H48" i="7"/>
  <c r="H76" i="7"/>
  <c r="H104" i="7"/>
  <c r="J17" i="7"/>
  <c r="I18" i="7"/>
  <c r="J17" i="4"/>
  <c r="I18" i="4"/>
  <c r="I22" i="4" s="1"/>
  <c r="H101" i="4"/>
  <c r="H47" i="4"/>
  <c r="H74" i="4"/>
  <c r="F71" i="1"/>
  <c r="F72" i="1" s="1"/>
  <c r="K17" i="7" l="1"/>
  <c r="J18" i="7"/>
  <c r="I101" i="4"/>
  <c r="I47" i="4"/>
  <c r="I74" i="4"/>
  <c r="K17" i="4"/>
  <c r="J18" i="4"/>
  <c r="J22" i="4" s="1"/>
  <c r="I48" i="7"/>
  <c r="I104" i="7"/>
  <c r="I76" i="7"/>
  <c r="J104" i="7" l="1"/>
  <c r="J48" i="7"/>
  <c r="J76" i="7"/>
  <c r="J74" i="4"/>
  <c r="J101" i="4"/>
  <c r="J47" i="4"/>
  <c r="K18" i="7"/>
  <c r="K18" i="4"/>
  <c r="K22" i="4" s="1"/>
  <c r="D107" i="7" l="1"/>
  <c r="K74" i="4"/>
  <c r="D30" i="4"/>
  <c r="K47" i="4"/>
  <c r="K101" i="4"/>
  <c r="K76" i="7"/>
  <c r="D30" i="7"/>
  <c r="K104" i="7"/>
  <c r="D110" i="7" s="1"/>
  <c r="K48" i="7"/>
  <c r="D54" i="7" s="1"/>
  <c r="D82" i="7" l="1"/>
  <c r="D79" i="7"/>
  <c r="D84" i="7" s="1"/>
  <c r="D51" i="7"/>
  <c r="D56" i="7" l="1"/>
  <c r="D109" i="4"/>
  <c r="D55" i="4"/>
  <c r="D82" i="4"/>
  <c r="D1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B108" authorId="0" shapeId="0" xr:uid="{00000000-0006-0000-0000-000001000000}">
      <text>
        <r>
          <rPr>
            <sz val="10"/>
            <color indexed="81"/>
            <rFont val="Open Sans"/>
            <family val="2"/>
          </rPr>
          <t>Assumes 88% of sales are credit sales</t>
        </r>
      </text>
    </comment>
  </commentList>
</comments>
</file>

<file path=xl/sharedStrings.xml><?xml version="1.0" encoding="utf-8"?>
<sst xmlns="http://schemas.openxmlformats.org/spreadsheetml/2006/main" count="307" uniqueCount="155">
  <si>
    <t>Assets</t>
  </si>
  <si>
    <t>Current Assets</t>
  </si>
  <si>
    <t>Cash</t>
  </si>
  <si>
    <t>Accounts receivable</t>
  </si>
  <si>
    <t>Inventories</t>
  </si>
  <si>
    <t>Total Current Assets</t>
  </si>
  <si>
    <t>Fixed Assets</t>
  </si>
  <si>
    <t>Equipment</t>
  </si>
  <si>
    <t>Capital expenditures</t>
  </si>
  <si>
    <t>Total Fixed Assets</t>
  </si>
  <si>
    <t>Total Assets</t>
  </si>
  <si>
    <t>Liabilities</t>
  </si>
  <si>
    <t>Current Liabilities</t>
  </si>
  <si>
    <t>Accounts payable</t>
  </si>
  <si>
    <t>Accrued expenses</t>
  </si>
  <si>
    <t>Interests</t>
  </si>
  <si>
    <t>Total Current Liabilities</t>
  </si>
  <si>
    <t>Long-term debt</t>
  </si>
  <si>
    <t>Total Liabilities</t>
  </si>
  <si>
    <t>Owner’s Equity</t>
  </si>
  <si>
    <t>Capital contributions</t>
  </si>
  <si>
    <t>Total Liabilities and Owner’s Equity</t>
  </si>
  <si>
    <t>Sales</t>
  </si>
  <si>
    <t>Cost of goods sold</t>
  </si>
  <si>
    <t>Net income</t>
  </si>
  <si>
    <t>Current ratio</t>
  </si>
  <si>
    <t>Acid-test ratio</t>
  </si>
  <si>
    <t>Debt ratio</t>
  </si>
  <si>
    <t>Debt to equity ratio</t>
  </si>
  <si>
    <t>Asset turnover ratio</t>
  </si>
  <si>
    <t>Inventory turnover ratio</t>
  </si>
  <si>
    <t>Receivables turnover ratio</t>
  </si>
  <si>
    <t>Days sales in inventory</t>
  </si>
  <si>
    <t>Return on assets ratio</t>
  </si>
  <si>
    <t>Return on equity ratio</t>
  </si>
  <si>
    <t>Labor cost ratio</t>
  </si>
  <si>
    <t>Material cost ratio</t>
  </si>
  <si>
    <t>Material cost</t>
  </si>
  <si>
    <t>Labor cost</t>
  </si>
  <si>
    <t>Shipping cost</t>
  </si>
  <si>
    <t>Expected units of sale</t>
  </si>
  <si>
    <t>Average product price</t>
  </si>
  <si>
    <t>Revenue</t>
  </si>
  <si>
    <t>Material cost/unit</t>
  </si>
  <si>
    <t>Labor cost/unit</t>
  </si>
  <si>
    <t>Shipping cost/unit</t>
  </si>
  <si>
    <t>Variable cost/unit</t>
  </si>
  <si>
    <t>Total variable cost</t>
  </si>
  <si>
    <t>Inventory storage cost</t>
  </si>
  <si>
    <t>Additional workers</t>
  </si>
  <si>
    <t>Salaries and benefits</t>
  </si>
  <si>
    <t>Total fixed cost</t>
  </si>
  <si>
    <t>Operating profit</t>
  </si>
  <si>
    <t>Operating margin</t>
  </si>
  <si>
    <t>Sizes</t>
  </si>
  <si>
    <t>S, M, L</t>
  </si>
  <si>
    <t>One-size</t>
  </si>
  <si>
    <t>Balance Sheet</t>
  </si>
  <si>
    <t>© Corporate Finance Institute®. All rights reserved.</t>
  </si>
  <si>
    <t>Case Study - Monic</t>
  </si>
  <si>
    <t>US$</t>
  </si>
  <si>
    <t>Income Statement</t>
  </si>
  <si>
    <t>Gross profit</t>
  </si>
  <si>
    <t>Gross margin</t>
  </si>
  <si>
    <t>Selling and administrative expenses</t>
  </si>
  <si>
    <t>Depreciation expenses</t>
  </si>
  <si>
    <t>Interest expense</t>
  </si>
  <si>
    <t>Earnings before tax</t>
  </si>
  <si>
    <t>Tax</t>
  </si>
  <si>
    <t>Cash Flow Statement</t>
  </si>
  <si>
    <t>Operating Cash Flow</t>
  </si>
  <si>
    <t>Net Income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</si>
  <si>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</si>
  <si>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</si>
  <si>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</si>
  <si>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</si>
  <si>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</si>
  <si>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</si>
  <si>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</si>
  <si>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Owner’s Capital Contribution</t>
  </si>
  <si>
    <t>Changes in Long-Term Debt</t>
  </si>
  <si>
    <t>Cash from Financing</t>
  </si>
  <si>
    <t>Net Increase (decrease) in Cash</t>
  </si>
  <si>
    <t>Opening Cash Balance</t>
  </si>
  <si>
    <t>Closing Cash Balance</t>
  </si>
  <si>
    <t>Operations Metrics</t>
  </si>
  <si>
    <t>US $</t>
  </si>
  <si>
    <t>Number of products sold</t>
  </si>
  <si>
    <t>Average order value</t>
  </si>
  <si>
    <t>Warehouse rent</t>
  </si>
  <si>
    <t>Financial Ratios</t>
  </si>
  <si>
    <t>Liquidity ratios</t>
  </si>
  <si>
    <t>Leverage ratios</t>
  </si>
  <si>
    <t>Efficiency ratios</t>
  </si>
  <si>
    <t>Profitability ratios</t>
  </si>
  <si>
    <t>A. Selling organic cotton pants</t>
  </si>
  <si>
    <t>B. Selling organic cotton beanies</t>
  </si>
  <si>
    <t>C. Selling organic cotton shoes</t>
  </si>
  <si>
    <t>Size 5 - 10</t>
  </si>
  <si>
    <t>Annual production</t>
  </si>
  <si>
    <t>DCF Valuation</t>
  </si>
  <si>
    <t>Free Cash Flow</t>
  </si>
  <si>
    <t>Assumptions</t>
  </si>
  <si>
    <t>-</t>
  </si>
  <si>
    <t>EBIT</t>
  </si>
  <si>
    <t>DCF Valuation (A. Selling Organic Cotton Pants)</t>
  </si>
  <si>
    <t>Less Taxes</t>
  </si>
  <si>
    <t>Taxes</t>
  </si>
  <si>
    <t>Less Capex</t>
  </si>
  <si>
    <t>Plus Depreciation</t>
  </si>
  <si>
    <t>Less Changes in Working Capital</t>
  </si>
  <si>
    <t>Unlevered Free Cash Flow</t>
  </si>
  <si>
    <t>Marketing expenses</t>
  </si>
  <si>
    <t>Debt financing</t>
  </si>
  <si>
    <t>Depreciation</t>
  </si>
  <si>
    <t>NPV of Terminal Value</t>
  </si>
  <si>
    <t>Total Enterprise Value</t>
  </si>
  <si>
    <t>Terminal Value</t>
  </si>
  <si>
    <t>DCF Valuation (B. Selling Organic Cotton Beanies)</t>
  </si>
  <si>
    <t>DCF Valuation (C. Selling Organic Cotton Shoes)</t>
  </si>
  <si>
    <t>Strategic Alternatives</t>
  </si>
  <si>
    <t>Cost of Capital</t>
  </si>
  <si>
    <t>Perpetual Growth Rate</t>
  </si>
  <si>
    <t>Base Case</t>
  </si>
  <si>
    <t>High Case</t>
  </si>
  <si>
    <t>Low Case</t>
  </si>
  <si>
    <t>Forecast Scenarios</t>
  </si>
  <si>
    <t>Capex (one-time expense)</t>
  </si>
  <si>
    <t>DCF Valuation (Current Operation)</t>
  </si>
  <si>
    <t>EBIT growth (current operation)</t>
  </si>
  <si>
    <t>Total FCF (Current Operation + Alternative A)</t>
  </si>
  <si>
    <t>Capex (current operation)</t>
  </si>
  <si>
    <t>NPV</t>
  </si>
  <si>
    <t>EBIT growth (strategic alternatives)</t>
  </si>
  <si>
    <t>Changes in working capital (strategic alternatives)</t>
  </si>
  <si>
    <t>Changes in working capital % gorwth (current operation)</t>
  </si>
  <si>
    <t>DCF Valuation - Alternative A (Base Case)</t>
  </si>
  <si>
    <t>DCF Valuation - Alternative A (High Case)</t>
  </si>
  <si>
    <t>DCF Valuation - Alternative A (Low Case)</t>
  </si>
  <si>
    <t>Total FCF (Current Operation + Base Case)</t>
  </si>
  <si>
    <t>Total FCF (Current Operation + High Case)</t>
  </si>
  <si>
    <t>Total FCF (Current Operation + Low Case)</t>
  </si>
  <si>
    <t>Product durability (out of 5)</t>
  </si>
  <si>
    <t>Scenario Analysis</t>
  </si>
  <si>
    <t>Alternative A. Selling organic cotton pants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</si>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</sst>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0" formatCode="&quot;$&quot;#,##0.0_);[Red]\(&quot;$&quot;#,##0.0\)"/>
    <numFmt numFmtId="171" formatCode="&quot;$&quot;#,##0.0"/>
    <numFmt numFmtId="172" formatCode="&quot;$&quot;#,##0"/>
    <numFmt numFmtId="173" formatCode="_-* #,##0_-;\(#,##0\)_-;_-* &quot;-&quot;_-;_-@_-"/>
    <numFmt numFmtId="174" formatCode="_(* #,##0_);_(* \(#,##0\);_(* &quot;-&quot;??_);_(@_)"/>
    <numFmt numFmtId="175" formatCode="#,##0;\(#,##0\)"/>
    <numFmt numFmtId="178" formatCode="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sz val="10"/>
      <color indexed="81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173" fontId="2" fillId="2" borderId="0" xfId="3" applyNumberFormat="1" applyFont="1" applyFill="1"/>
    <xf numFmtId="173" fontId="3" fillId="2" borderId="0" xfId="3" applyNumberFormat="1" applyFont="1" applyFill="1"/>
    <xf numFmtId="173" fontId="3" fillId="2" borderId="0" xfId="3" applyNumberFormat="1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173" fontId="4" fillId="0" borderId="0" xfId="3" applyNumberFormat="1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7" fillId="0" borderId="0" xfId="0" applyFont="1"/>
    <xf numFmtId="0" fontId="6" fillId="4" borderId="0" xfId="0" applyFont="1" applyFill="1"/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169" fontId="9" fillId="0" borderId="0" xfId="1" applyNumberFormat="1" applyFont="1"/>
    <xf numFmtId="1" fontId="9" fillId="0" borderId="0" xfId="0" applyNumberFormat="1" applyFont="1"/>
    <xf numFmtId="0" fontId="4" fillId="4" borderId="0" xfId="0" applyFont="1" applyFill="1"/>
    <xf numFmtId="0" fontId="10" fillId="0" borderId="0" xfId="0" applyFont="1"/>
    <xf numFmtId="0" fontId="4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11" fillId="0" borderId="0" xfId="0" applyFont="1" applyFill="1"/>
    <xf numFmtId="3" fontId="10" fillId="0" borderId="0" xfId="0" applyNumberFormat="1" applyFont="1"/>
    <xf numFmtId="0" fontId="9" fillId="0" borderId="1" xfId="0" applyFont="1" applyBorder="1"/>
    <xf numFmtId="0" fontId="10" fillId="0" borderId="2" xfId="0" applyFont="1" applyBorder="1"/>
    <xf numFmtId="173" fontId="5" fillId="2" borderId="0" xfId="3" applyNumberFormat="1" applyFont="1" applyFill="1" applyAlignment="1">
      <alignment horizontal="left"/>
    </xf>
    <xf numFmtId="37" fontId="9" fillId="0" borderId="0" xfId="0" applyNumberFormat="1" applyFont="1"/>
    <xf numFmtId="37" fontId="9" fillId="0" borderId="1" xfId="0" applyNumberFormat="1" applyFont="1" applyBorder="1"/>
    <xf numFmtId="37" fontId="10" fillId="0" borderId="0" xfId="0" applyNumberFormat="1" applyFont="1"/>
    <xf numFmtId="37" fontId="10" fillId="0" borderId="2" xfId="0" applyNumberFormat="1" applyFont="1" applyBorder="1"/>
    <xf numFmtId="169" fontId="9" fillId="0" borderId="0" xfId="0" applyNumberFormat="1" applyFont="1"/>
    <xf numFmtId="164" fontId="10" fillId="0" borderId="0" xfId="0" applyNumberFormat="1" applyFont="1"/>
    <xf numFmtId="170" fontId="9" fillId="0" borderId="0" xfId="0" applyNumberFormat="1" applyFont="1"/>
    <xf numFmtId="170" fontId="9" fillId="0" borderId="1" xfId="0" applyNumberFormat="1" applyFont="1" applyBorder="1"/>
    <xf numFmtId="170" fontId="10" fillId="0" borderId="0" xfId="0" applyNumberFormat="1" applyFont="1"/>
    <xf numFmtId="0" fontId="8" fillId="3" borderId="0" xfId="0" applyFont="1" applyFill="1"/>
    <xf numFmtId="0" fontId="4" fillId="3" borderId="0" xfId="0" applyFont="1" applyFill="1"/>
    <xf numFmtId="0" fontId="6" fillId="3" borderId="0" xfId="0" applyFont="1" applyFill="1"/>
    <xf numFmtId="164" fontId="10" fillId="0" borderId="0" xfId="0" applyNumberFormat="1" applyFont="1" applyAlignment="1">
      <alignment horizontal="right"/>
    </xf>
    <xf numFmtId="170" fontId="9" fillId="0" borderId="1" xfId="0" applyNumberFormat="1" applyFont="1" applyBorder="1" applyAlignment="1">
      <alignment horizontal="right"/>
    </xf>
    <xf numFmtId="171" fontId="9" fillId="0" borderId="1" xfId="0" applyNumberFormat="1" applyFont="1" applyBorder="1" applyAlignment="1">
      <alignment horizontal="right"/>
    </xf>
    <xf numFmtId="164" fontId="10" fillId="0" borderId="2" xfId="0" applyNumberFormat="1" applyFont="1" applyBorder="1"/>
    <xf numFmtId="0" fontId="10" fillId="0" borderId="0" xfId="0" applyFont="1" applyFill="1" applyBorder="1"/>
    <xf numFmtId="169" fontId="10" fillId="0" borderId="0" xfId="1" applyNumberFormat="1" applyFont="1"/>
    <xf numFmtId="0" fontId="9" fillId="0" borderId="0" xfId="0" applyFont="1" applyAlignment="1">
      <alignment horizontal="right" wrapText="1"/>
    </xf>
    <xf numFmtId="0" fontId="10" fillId="0" borderId="3" xfId="0" applyFont="1" applyBorder="1"/>
    <xf numFmtId="37" fontId="10" fillId="0" borderId="3" xfId="0" applyNumberFormat="1" applyFont="1" applyBorder="1"/>
    <xf numFmtId="173" fontId="9" fillId="2" borderId="0" xfId="3" applyNumberFormat="1" applyFont="1" applyFill="1"/>
    <xf numFmtId="173" fontId="9" fillId="2" borderId="0" xfId="3" applyNumberFormat="1" applyFont="1" applyFill="1" applyAlignment="1">
      <alignment horizontal="center"/>
    </xf>
    <xf numFmtId="9" fontId="9" fillId="0" borderId="0" xfId="1" applyFont="1"/>
    <xf numFmtId="9" fontId="13" fillId="0" borderId="0" xfId="0" applyNumberFormat="1" applyFont="1"/>
    <xf numFmtId="9" fontId="13" fillId="0" borderId="0" xfId="0" applyNumberFormat="1" applyFont="1" applyAlignment="1">
      <alignment horizontal="right"/>
    </xf>
    <xf numFmtId="0" fontId="9" fillId="0" borderId="0" xfId="0" applyFont="1" applyBorder="1"/>
    <xf numFmtId="164" fontId="9" fillId="0" borderId="0" xfId="0" applyNumberFormat="1" applyFont="1" applyBorder="1"/>
    <xf numFmtId="37" fontId="13" fillId="0" borderId="0" xfId="0" applyNumberFormat="1" applyFont="1" applyAlignment="1">
      <alignment horizontal="right"/>
    </xf>
    <xf numFmtId="37" fontId="13" fillId="0" borderId="0" xfId="0" applyNumberFormat="1" applyFont="1"/>
    <xf numFmtId="169" fontId="13" fillId="0" borderId="0" xfId="0" applyNumberFormat="1" applyFont="1"/>
    <xf numFmtId="9" fontId="13" fillId="0" borderId="0" xfId="1" applyFont="1" applyAlignment="1">
      <alignment horizontal="right"/>
    </xf>
    <xf numFmtId="9" fontId="13" fillId="0" borderId="0" xfId="1" applyFont="1"/>
    <xf numFmtId="174" fontId="9" fillId="0" borderId="0" xfId="3" applyNumberFormat="1" applyFont="1"/>
    <xf numFmtId="174" fontId="9" fillId="0" borderId="1" xfId="3" applyNumberFormat="1" applyFont="1" applyBorder="1"/>
    <xf numFmtId="37" fontId="13" fillId="0" borderId="1" xfId="0" applyNumberFormat="1" applyFont="1" applyBorder="1"/>
    <xf numFmtId="37" fontId="11" fillId="0" borderId="1" xfId="0" applyNumberFormat="1" applyFont="1" applyBorder="1"/>
    <xf numFmtId="0" fontId="13" fillId="0" borderId="0" xfId="0" applyFont="1"/>
    <xf numFmtId="165" fontId="13" fillId="0" borderId="0" xfId="0" applyNumberFormat="1" applyFont="1"/>
    <xf numFmtId="164" fontId="13" fillId="0" borderId="0" xfId="0" applyNumberFormat="1" applyFont="1"/>
    <xf numFmtId="164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wrapText="1"/>
    </xf>
    <xf numFmtId="0" fontId="13" fillId="0" borderId="0" xfId="0" applyFont="1" applyAlignment="1">
      <alignment horizontal="right"/>
    </xf>
    <xf numFmtId="164" fontId="13" fillId="0" borderId="1" xfId="0" applyNumberFormat="1" applyFont="1" applyBorder="1" applyAlignment="1">
      <alignment horizontal="right"/>
    </xf>
    <xf numFmtId="172" fontId="13" fillId="0" borderId="1" xfId="2" applyNumberFormat="1" applyFont="1" applyBorder="1" applyAlignment="1">
      <alignment horizontal="right"/>
    </xf>
    <xf numFmtId="170" fontId="13" fillId="0" borderId="0" xfId="0" applyNumberFormat="1" applyFont="1" applyAlignment="1">
      <alignment horizontal="right"/>
    </xf>
    <xf numFmtId="171" fontId="13" fillId="0" borderId="0" xfId="0" applyNumberFormat="1" applyFont="1" applyAlignment="1">
      <alignment horizontal="right"/>
    </xf>
    <xf numFmtId="172" fontId="13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Continuous"/>
    </xf>
    <xf numFmtId="0" fontId="6" fillId="5" borderId="0" xfId="0" applyFont="1" applyFill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164" fontId="4" fillId="5" borderId="0" xfId="0" applyNumberFormat="1" applyFont="1" applyFill="1" applyAlignment="1">
      <alignment horizontal="right"/>
    </xf>
    <xf numFmtId="170" fontId="6" fillId="5" borderId="0" xfId="0" applyNumberFormat="1" applyFont="1" applyFill="1" applyAlignment="1">
      <alignment horizontal="right"/>
    </xf>
    <xf numFmtId="170" fontId="6" fillId="5" borderId="1" xfId="0" applyNumberFormat="1" applyFont="1" applyFill="1" applyBorder="1" applyAlignment="1">
      <alignment horizontal="right"/>
    </xf>
    <xf numFmtId="164" fontId="4" fillId="5" borderId="0" xfId="0" applyNumberFormat="1" applyFont="1" applyFill="1"/>
    <xf numFmtId="164" fontId="6" fillId="5" borderId="0" xfId="0" applyNumberFormat="1" applyFont="1" applyFill="1"/>
    <xf numFmtId="0" fontId="6" fillId="5" borderId="0" xfId="0" applyFont="1" applyFill="1"/>
    <xf numFmtId="164" fontId="6" fillId="5" borderId="0" xfId="0" applyNumberFormat="1" applyFont="1" applyFill="1" applyBorder="1"/>
    <xf numFmtId="164" fontId="6" fillId="5" borderId="1" xfId="0" applyNumberFormat="1" applyFont="1" applyFill="1" applyBorder="1"/>
    <xf numFmtId="164" fontId="4" fillId="5" borderId="2" xfId="0" applyNumberFormat="1" applyFont="1" applyFill="1" applyBorder="1"/>
    <xf numFmtId="169" fontId="4" fillId="5" borderId="0" xfId="1" applyNumberFormat="1" applyFont="1" applyFill="1"/>
    <xf numFmtId="0" fontId="6" fillId="3" borderId="0" xfId="0" applyFont="1" applyFill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70" fontId="6" fillId="3" borderId="0" xfId="0" applyNumberFormat="1" applyFont="1" applyFill="1" applyAlignment="1">
      <alignment horizontal="right"/>
    </xf>
    <xf numFmtId="170" fontId="6" fillId="3" borderId="1" xfId="0" applyNumberFormat="1" applyFont="1" applyFill="1" applyBorder="1" applyAlignment="1">
      <alignment horizontal="right"/>
    </xf>
    <xf numFmtId="164" fontId="4" fillId="3" borderId="0" xfId="0" applyNumberFormat="1" applyFont="1" applyFill="1"/>
    <xf numFmtId="164" fontId="6" fillId="3" borderId="0" xfId="0" applyNumberFormat="1" applyFont="1" applyFill="1"/>
    <xf numFmtId="164" fontId="6" fillId="3" borderId="0" xfId="0" applyNumberFormat="1" applyFont="1" applyFill="1" applyBorder="1"/>
    <xf numFmtId="164" fontId="6" fillId="3" borderId="1" xfId="0" applyNumberFormat="1" applyFont="1" applyFill="1" applyBorder="1"/>
    <xf numFmtId="164" fontId="4" fillId="3" borderId="2" xfId="0" applyNumberFormat="1" applyFont="1" applyFill="1" applyBorder="1"/>
    <xf numFmtId="169" fontId="4" fillId="3" borderId="0" xfId="1" applyNumberFormat="1" applyFont="1" applyFill="1"/>
    <xf numFmtId="0" fontId="6" fillId="6" borderId="0" xfId="0" applyFont="1" applyFill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64" fontId="4" fillId="6" borderId="0" xfId="0" applyNumberFormat="1" applyFont="1" applyFill="1" applyAlignment="1">
      <alignment horizontal="right"/>
    </xf>
    <xf numFmtId="170" fontId="6" fillId="6" borderId="0" xfId="0" applyNumberFormat="1" applyFont="1" applyFill="1" applyAlignment="1">
      <alignment horizontal="right"/>
    </xf>
    <xf numFmtId="170" fontId="6" fillId="6" borderId="1" xfId="0" applyNumberFormat="1" applyFont="1" applyFill="1" applyBorder="1" applyAlignment="1">
      <alignment horizontal="right"/>
    </xf>
    <xf numFmtId="164" fontId="4" fillId="6" borderId="0" xfId="0" applyNumberFormat="1" applyFont="1" applyFill="1"/>
    <xf numFmtId="164" fontId="6" fillId="6" borderId="0" xfId="0" applyNumberFormat="1" applyFont="1" applyFill="1"/>
    <xf numFmtId="0" fontId="6" fillId="6" borderId="0" xfId="0" applyFont="1" applyFill="1"/>
    <xf numFmtId="164" fontId="6" fillId="6" borderId="0" xfId="0" applyNumberFormat="1" applyFont="1" applyFill="1" applyBorder="1"/>
    <xf numFmtId="164" fontId="6" fillId="6" borderId="1" xfId="0" applyNumberFormat="1" applyFont="1" applyFill="1" applyBorder="1"/>
    <xf numFmtId="164" fontId="4" fillId="6" borderId="2" xfId="0" applyNumberFormat="1" applyFont="1" applyFill="1" applyBorder="1"/>
    <xf numFmtId="169" fontId="4" fillId="6" borderId="0" xfId="1" applyNumberFormat="1" applyFont="1" applyFill="1"/>
    <xf numFmtId="0" fontId="4" fillId="4" borderId="0" xfId="0" applyFont="1" applyFill="1" applyBorder="1" applyAlignment="1"/>
    <xf numFmtId="37" fontId="9" fillId="0" borderId="0" xfId="0" applyNumberFormat="1" applyFont="1" applyBorder="1"/>
    <xf numFmtId="166" fontId="13" fillId="0" borderId="0" xfId="0" applyNumberFormat="1" applyFont="1"/>
    <xf numFmtId="9" fontId="13" fillId="0" borderId="0" xfId="0" applyNumberFormat="1" applyFont="1" applyFill="1"/>
    <xf numFmtId="1" fontId="13" fillId="0" borderId="0" xfId="0" applyNumberFormat="1" applyFont="1"/>
    <xf numFmtId="166" fontId="11" fillId="0" borderId="0" xfId="0" applyNumberFormat="1" applyFont="1"/>
    <xf numFmtId="1" fontId="13" fillId="0" borderId="0" xfId="1" applyNumberFormat="1" applyFont="1" applyAlignment="1">
      <alignment horizontal="right"/>
    </xf>
    <xf numFmtId="0" fontId="13" fillId="0" borderId="0" xfId="0" applyNumberFormat="1" applyFont="1"/>
    <xf numFmtId="0" fontId="4" fillId="4" borderId="0" xfId="0" applyFont="1" applyFill="1" applyBorder="1"/>
    <xf numFmtId="0" fontId="4" fillId="4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64" fontId="4" fillId="6" borderId="0" xfId="0" applyNumberFormat="1" applyFont="1" applyFill="1" applyBorder="1"/>
    <xf numFmtId="164" fontId="4" fillId="5" borderId="0" xfId="0" applyNumberFormat="1" applyFont="1" applyFill="1" applyBorder="1"/>
    <xf numFmtId="164" fontId="4" fillId="3" borderId="0" xfId="0" applyNumberFormat="1" applyFont="1" applyFill="1" applyBorder="1"/>
    <xf numFmtId="0" fontId="4" fillId="0" borderId="0" xfId="0" applyFont="1" applyFill="1" applyBorder="1" applyAlignment="1"/>
    <xf numFmtId="0" fontId="15" fillId="7" borderId="0" xfId="5" applyFont="1" applyFill="1"/>
    <xf numFmtId="0" fontId="15" fillId="0" borderId="0" xfId="5" applyFont="1" applyFill="1" applyBorder="1"/>
    <xf numFmtId="0" fontId="16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5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15" fillId="0" borderId="4" xfId="5" applyFont="1" applyFill="1" applyBorder="1"/>
    <xf numFmtId="0" fontId="19" fillId="0" borderId="0" xfId="6" applyFont="1" applyFill="1" applyBorder="1"/>
    <xf numFmtId="0" fontId="20" fillId="2" borderId="0" xfId="5" applyFont="1" applyFill="1" applyBorder="1"/>
    <xf numFmtId="0" fontId="15" fillId="2" borderId="0" xfId="5" applyFont="1" applyFill="1" applyBorder="1"/>
    <xf numFmtId="0" fontId="15" fillId="8" borderId="0" xfId="5" applyFont="1" applyFill="1"/>
    <xf numFmtId="0" fontId="20" fillId="2" borderId="0" xfId="5" applyFont="1" applyFill="1"/>
    <xf numFmtId="175" fontId="10" fillId="0" borderId="0" xfId="0" applyNumberFormat="1" applyFont="1"/>
    <xf numFmtId="0" fontId="21" fillId="0" borderId="4" xfId="4" applyFont="1" applyFill="1" applyBorder="1" applyProtection="1">
      <protection locked="0"/>
    </xf>
    <xf numFmtId="0" fontId="21" fillId="0" borderId="0" xfId="4" applyFont="1" applyFill="1" applyBorder="1" applyProtection="1">
      <protection locked="0"/>
    </xf>
    <xf numFmtId="178" fontId="4" fillId="2" borderId="0" xfId="0" applyNumberFormat="1" applyFont="1" applyFill="1" applyAlignment="1">
      <alignment vertical="center"/>
    </xf>
  </cellXfs>
  <cellStyles count="7">
    <cellStyle name="Comma" xfId="3" builtinId="3"/>
    <cellStyle name="Currency" xfId="2" builtinId="4"/>
    <cellStyle name="Hyperlink" xfId="4" builtinId="8"/>
    <cellStyle name="Hyperlink 2 2" xfId="6" xr:uid="{2F5613DA-8BC5-4776-8664-EA3F739DC2C1}"/>
    <cellStyle name="Normal" xfId="0" builtinId="0"/>
    <cellStyle name="Normal 2 2" xfId="5" xr:uid="{E5CDD518-7225-4DD3-9775-68D85DDD2A2F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</a:t>
            </a:r>
          </a:p>
          <a:p>
            <a:pPr>
              <a:defRPr sz="1100" b="1"/>
            </a:pPr>
            <a:r>
              <a:rPr lang="en-US" sz="1100" b="1"/>
              <a:t>(A. Selling Organic Cotton Pants)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C-40E4-9E8C-55234DBD3150}"/>
            </c:ext>
          </c:extLst>
        </c:ser>
        <c:ser>
          <c:idx val="0"/>
          <c:order val="1"/>
          <c:tx>
            <c:v>A. Selling Organic Cotton Pants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Model'!$D$46:$K$46</c:f>
              <c:numCache>
                <c:formatCode>General</c:formatCode>
                <c:ptCount val="8"/>
                <c:pt idx="3" formatCode="#,##0_);\(#,##0\)">
                  <c:v>994.25</c:v>
                </c:pt>
                <c:pt idx="4" formatCode="#,##0_);\(#,##0\)">
                  <c:v>12398.387499999999</c:v>
                </c:pt>
                <c:pt idx="5" formatCode="#,##0_);\(#,##0\)">
                  <c:v>14015.645624999997</c:v>
                </c:pt>
                <c:pt idx="6" formatCode="#,##0_);\(#,##0\)">
                  <c:v>15878.242468749999</c:v>
                </c:pt>
                <c:pt idx="7" formatCode="#,##0_);\(#,##0\)">
                  <c:v>18023.253839062498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2F6-822C-8D7B3400BBD6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39833256136813E-4"/>
                  <c:y val="4.25670984675302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CC-40E4-9E8C-55234DBD3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Model'!$D$47:$K$47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16821.849999999999</c:v>
                </c:pt>
                <c:pt idx="4">
                  <c:v>31288.797499999993</c:v>
                </c:pt>
                <c:pt idx="5">
                  <c:v>36607.156624999996</c:v>
                </c:pt>
                <c:pt idx="6">
                  <c:v>42939.376568749998</c:v>
                </c:pt>
                <c:pt idx="7">
                  <c:v>50479.067749062495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0E4-9E8C-55234DBD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</a:t>
            </a:r>
          </a:p>
          <a:p>
            <a:pPr>
              <a:defRPr sz="1100" b="1"/>
            </a:pPr>
            <a:r>
              <a:rPr lang="en-US" sz="1100" b="1"/>
              <a:t>(Current Operation)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Model'!$B$22</c:f>
              <c:strCache>
                <c:ptCount val="1"/>
                <c:pt idx="0">
                  <c:v>Unlevered Free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C-48A8-8140-AD3BB1108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</a:t>
            </a:r>
          </a:p>
          <a:p>
            <a:pPr>
              <a:defRPr sz="1100" b="1"/>
            </a:pPr>
            <a:r>
              <a:rPr lang="en-US" sz="1100" b="1"/>
              <a:t>(B. Selling Organic Cotton Beanies)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5-41C7-A2FA-66A8BC30B196}"/>
            </c:ext>
          </c:extLst>
        </c:ser>
        <c:ser>
          <c:idx val="0"/>
          <c:order val="1"/>
          <c:tx>
            <c:v>B. Selling Organic Cotton Beanies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Model'!$D$73:$K$73</c:f>
              <c:numCache>
                <c:formatCode>General</c:formatCode>
                <c:ptCount val="8"/>
                <c:pt idx="3" formatCode="#,##0_);\(#,##0\)">
                  <c:v>-912</c:v>
                </c:pt>
                <c:pt idx="4" formatCode="#,##0_);\(#,##0\)">
                  <c:v>4456.2</c:v>
                </c:pt>
                <c:pt idx="5" formatCode="#,##0_);\(#,##0\)">
                  <c:v>4882.1299999999992</c:v>
                </c:pt>
                <c:pt idx="6" formatCode="#,##0_);\(#,##0\)">
                  <c:v>5374.6994999999988</c:v>
                </c:pt>
                <c:pt idx="7" formatCode="#,##0_);\(#,##0\)">
                  <c:v>5944.1794249999984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5-41C7-A2FA-66A8BC30B196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764869125455482E-3"/>
                  <c:y val="4.71603750495819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A5-41C7-A2FA-66A8BC30B1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Model'!$D$74:$K$74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14915.6</c:v>
                </c:pt>
                <c:pt idx="4">
                  <c:v>23346.609999999997</c:v>
                </c:pt>
                <c:pt idx="5">
                  <c:v>27473.640999999996</c:v>
                </c:pt>
                <c:pt idx="6">
                  <c:v>32435.833599999994</c:v>
                </c:pt>
                <c:pt idx="7">
                  <c:v>38399.993334999992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5-41C7-A2FA-66A8BC30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</a:t>
            </a:r>
          </a:p>
          <a:p>
            <a:pPr>
              <a:defRPr sz="1100" b="1"/>
            </a:pPr>
            <a:r>
              <a:rPr lang="en-US" sz="1100" b="1"/>
              <a:t>(C. Selling Organic Cotton Shoes)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477-B70F-F878FFA8EEDF}"/>
            </c:ext>
          </c:extLst>
        </c:ser>
        <c:ser>
          <c:idx val="0"/>
          <c:order val="1"/>
          <c:tx>
            <c:v>C. Selling Organic Cotton Shoes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Model'!$D$100:$K$100</c:f>
              <c:numCache>
                <c:formatCode>General</c:formatCode>
                <c:ptCount val="8"/>
                <c:pt idx="3" formatCode="#,##0_);\(#,##0\)">
                  <c:v>-8790.7999999999993</c:v>
                </c:pt>
                <c:pt idx="4" formatCode="#,##0_);\(#,##0\)">
                  <c:v>8045.58</c:v>
                </c:pt>
                <c:pt idx="5" formatCode="#,##0_);\(#,##0\)">
                  <c:v>9009.9169999999976</c:v>
                </c:pt>
                <c:pt idx="6" formatCode="#,##0_);\(#,##0\)">
                  <c:v>10121.654549999997</c:v>
                </c:pt>
                <c:pt idx="7" formatCode="#,##0_);\(#,##0\)">
                  <c:v>11403.177732499997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477-B70F-F878FFA8EEDF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607370555169463E-3"/>
                  <c:y val="4.62430412758916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90-4477-B70F-F878FFA8E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Model'!$D$101:$K$101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7036.8000000000011</c:v>
                </c:pt>
                <c:pt idx="4">
                  <c:v>26935.989999999998</c:v>
                </c:pt>
                <c:pt idx="5">
                  <c:v>31601.427999999996</c:v>
                </c:pt>
                <c:pt idx="6">
                  <c:v>37182.788649999995</c:v>
                </c:pt>
                <c:pt idx="7">
                  <c:v>43858.991642499997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0-4477-B70F-F878FFA8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 (Base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44E-99CE-1EAC634069B3}"/>
            </c:ext>
          </c:extLst>
        </c:ser>
        <c:ser>
          <c:idx val="0"/>
          <c:order val="1"/>
          <c:tx>
            <c:v>Base Case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Scenarios'!$D$47:$K$47</c:f>
              <c:numCache>
                <c:formatCode>General</c:formatCode>
                <c:ptCount val="8"/>
                <c:pt idx="3" formatCode="#,##0_);\(#,##0\)">
                  <c:v>994.25</c:v>
                </c:pt>
                <c:pt idx="4" formatCode="#,##0_);\(#,##0\)">
                  <c:v>12398.387499999999</c:v>
                </c:pt>
                <c:pt idx="5" formatCode="#,##0_);\(#,##0\)">
                  <c:v>14015.645624999997</c:v>
                </c:pt>
                <c:pt idx="6" formatCode="#,##0_);\(#,##0\)">
                  <c:v>15878.242468749999</c:v>
                </c:pt>
                <c:pt idx="7" formatCode="#,##0_);\(#,##0\)">
                  <c:v>18023.253839062498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44E-99CE-1EAC634069B3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39833256136813E-4"/>
                  <c:y val="4.23554778691184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2-444E-99CE-1EAC63406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Scenarios'!$D$48:$K$48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16821.849999999999</c:v>
                </c:pt>
                <c:pt idx="4">
                  <c:v>31288.797499999993</c:v>
                </c:pt>
                <c:pt idx="5">
                  <c:v>36607.156624999996</c:v>
                </c:pt>
                <c:pt idx="6">
                  <c:v>42939.376568749998</c:v>
                </c:pt>
                <c:pt idx="7">
                  <c:v>50479.067749062495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2-444E-99CE-1EAC6340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</a:t>
            </a:r>
          </a:p>
          <a:p>
            <a:pPr>
              <a:defRPr sz="1100" b="1"/>
            </a:pPr>
            <a:r>
              <a:rPr lang="en-US" sz="1100" b="1"/>
              <a:t>(Current Operation)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'DCF Model - Scenarios'!$B$22</c:f>
              <c:strCache>
                <c:ptCount val="1"/>
                <c:pt idx="0">
                  <c:v>Unlevered Free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000182272332996E-17"/>
                  <c:y val="1.509433962264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8F-42D8-980A-6DDCB111B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42D8-980A-6DDCB111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 (High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0-4BDD-9EBC-0C85E77E5601}"/>
            </c:ext>
          </c:extLst>
        </c:ser>
        <c:ser>
          <c:idx val="0"/>
          <c:order val="1"/>
          <c:tx>
            <c:v>High Case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Scenarios'!$D$75:$K$75</c:f>
              <c:numCache>
                <c:formatCode>General</c:formatCode>
                <c:ptCount val="8"/>
                <c:pt idx="3" formatCode="#,##0_);\(#,##0\)">
                  <c:v>4786.75</c:v>
                </c:pt>
                <c:pt idx="4" formatCode="#,##0_);\(#,##0\)">
                  <c:v>15379.762500000001</c:v>
                </c:pt>
                <c:pt idx="5" formatCode="#,##0_);\(#,##0\)">
                  <c:v>17444.226875</c:v>
                </c:pt>
                <c:pt idx="6" formatCode="#,##0_);\(#,##0\)">
                  <c:v>19821.11090625</c:v>
                </c:pt>
                <c:pt idx="7" formatCode="#,##0_);\(#,##0\)">
                  <c:v>22557.552542187499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0-4BDD-9EBC-0C85E77E5601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764705882352939E-3"/>
                  <c:y val="4.23121774207754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C0-4BDD-9EBC-0C85E77E5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Scenarios'!$D$76:$K$76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20614.349999999999</c:v>
                </c:pt>
                <c:pt idx="4">
                  <c:v>34270.172500000001</c:v>
                </c:pt>
                <c:pt idx="5">
                  <c:v>40035.737874999999</c:v>
                </c:pt>
                <c:pt idx="6">
                  <c:v>46882.245006249999</c:v>
                </c:pt>
                <c:pt idx="7">
                  <c:v>55013.366452187496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0-4BDD-9EBC-0C85E77E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100" b="1"/>
              <a:t>Unlevered Free Cash Flow (Low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Current Operation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Scenarios'!$D$22:$K$22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15827.6</c:v>
                </c:pt>
                <c:pt idx="4">
                  <c:v>18890.409999999996</c:v>
                </c:pt>
                <c:pt idx="5">
                  <c:v>22591.510999999999</c:v>
                </c:pt>
                <c:pt idx="6">
                  <c:v>27061.134099999996</c:v>
                </c:pt>
                <c:pt idx="7">
                  <c:v>32455.813909999997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E83-A266-2351AA845ADA}"/>
            </c:ext>
          </c:extLst>
        </c:ser>
        <c:ser>
          <c:idx val="0"/>
          <c:order val="1"/>
          <c:tx>
            <c:v>Low Case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Scenarios'!$D$103:$K$103</c:f>
              <c:numCache>
                <c:formatCode>General</c:formatCode>
                <c:ptCount val="8"/>
                <c:pt idx="3" formatCode="#,##0_);\(#,##0\)">
                  <c:v>-3488.05</c:v>
                </c:pt>
                <c:pt idx="4" formatCode="#,##0_);\(#,##0\)">
                  <c:v>9428.7425000000003</c:v>
                </c:pt>
                <c:pt idx="5" formatCode="#,##0_);\(#,##0\)">
                  <c:v>10600.553874999998</c:v>
                </c:pt>
                <c:pt idx="6" formatCode="#,##0_);\(#,##0\)">
                  <c:v>11950.886956249997</c:v>
                </c:pt>
                <c:pt idx="7" formatCode="#,##0_);\(#,##0\)">
                  <c:v>13506.794999687496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E83-A266-2351AA845ADA}"/>
            </c:ext>
          </c:extLst>
        </c:ser>
        <c:ser>
          <c:idx val="2"/>
          <c:order val="2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606815049790063E-3"/>
                  <c:y val="4.5559372192569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45-4E83-A266-2351AA845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 - Scenarios'!$D$2:$K$2</c:f>
              <c:numCache>
                <c:formatCode>yyyy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cat>
          <c:val>
            <c:numRef>
              <c:f>'DCF Model - Scenarios'!$D$104:$K$104</c:f>
              <c:numCache>
                <c:formatCode>#,##0;\(#,##0\)</c:formatCode>
                <c:ptCount val="8"/>
                <c:pt idx="0">
                  <c:v>-28166</c:v>
                </c:pt>
                <c:pt idx="1">
                  <c:v>6339.55</c:v>
                </c:pt>
                <c:pt idx="2">
                  <c:v>10791</c:v>
                </c:pt>
                <c:pt idx="3">
                  <c:v>12339.55</c:v>
                </c:pt>
                <c:pt idx="4">
                  <c:v>28319.152499999997</c:v>
                </c:pt>
                <c:pt idx="5">
                  <c:v>33192.064874999996</c:v>
                </c:pt>
                <c:pt idx="6">
                  <c:v>39012.021056249992</c:v>
                </c:pt>
                <c:pt idx="7">
                  <c:v>45962.608909687493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5-4E83-A266-2351AA84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22640768"/>
        <c:axId val="522638800"/>
      </c:barChart>
      <c:dateAx>
        <c:axId val="5226407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38800"/>
        <c:crosses val="autoZero"/>
        <c:auto val="1"/>
        <c:lblOffset val="100"/>
        <c:baseTimeUnit val="years"/>
      </c:dateAx>
      <c:valAx>
        <c:axId val="522638800"/>
        <c:scaling>
          <c:orientation val="minMax"/>
          <c:max val="60000"/>
          <c:min val="-40000"/>
        </c:scaling>
        <c:delete val="0"/>
        <c:axPos val="l"/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226407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5879F-7743-4EE5-B9CC-EF367761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48</xdr:row>
      <xdr:rowOff>0</xdr:rowOff>
    </xdr:from>
    <xdr:to>
      <xdr:col>10</xdr:col>
      <xdr:colOff>557213</xdr:colOff>
      <xdr:row>63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10BAB-4BC7-444E-B592-277D2BB1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23</xdr:row>
      <xdr:rowOff>19049</xdr:rowOff>
    </xdr:from>
    <xdr:to>
      <xdr:col>10</xdr:col>
      <xdr:colOff>442913</xdr:colOff>
      <xdr:row>36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AE336-D795-4D2F-A39C-BB9AE68AD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261938</xdr:colOff>
      <xdr:row>75</xdr:row>
      <xdr:rowOff>9525</xdr:rowOff>
    </xdr:from>
    <xdr:to>
      <xdr:col>11</xdr:col>
      <xdr:colOff>0</xdr:colOff>
      <xdr:row>90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EBD75-DCF0-412F-9F5C-5EB2D26A1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290513</xdr:colOff>
      <xdr:row>102</xdr:row>
      <xdr:rowOff>47625</xdr:rowOff>
    </xdr:from>
    <xdr:to>
      <xdr:col>11</xdr:col>
      <xdr:colOff>0</xdr:colOff>
      <xdr:row>117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AE81CD-B5D8-435A-B61B-B8A10D4CB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48</xdr:row>
      <xdr:rowOff>180974</xdr:rowOff>
    </xdr:from>
    <xdr:to>
      <xdr:col>10</xdr:col>
      <xdr:colOff>519113</xdr:colOff>
      <xdr:row>64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650F6-0714-4B72-87D7-7E843093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23</xdr:row>
      <xdr:rowOff>47624</xdr:rowOff>
    </xdr:from>
    <xdr:to>
      <xdr:col>10</xdr:col>
      <xdr:colOff>576263</xdr:colOff>
      <xdr:row>36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7E175-C7C1-41F5-AB06-2D4AD3AA6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214313</xdr:colOff>
      <xdr:row>76</xdr:row>
      <xdr:rowOff>180975</xdr:rowOff>
    </xdr:from>
    <xdr:to>
      <xdr:col>10</xdr:col>
      <xdr:colOff>585788</xdr:colOff>
      <xdr:row>91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DB707-C4BE-4012-9AEC-F2E7D58E7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252413</xdr:colOff>
      <xdr:row>105</xdr:row>
      <xdr:rowOff>9525</xdr:rowOff>
    </xdr:from>
    <xdr:to>
      <xdr:col>11</xdr:col>
      <xdr:colOff>0</xdr:colOff>
      <xdr:row>119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19D84A-6102-44EB-9A38-0355C548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DD04-4360-4E25-B5F3-3EC28CC5ACA3}">
  <dimension ref="B1:O48"/>
  <sheetViews>
    <sheetView showGridLines="0" tabSelected="1" zoomScaleNormal="100" workbookViewId="0"/>
  </sheetViews>
  <sheetFormatPr defaultColWidth="9.08984375" defaultRowHeight="14" x14ac:dyDescent="0.3"/>
  <cols>
    <col min="1" max="2" width="11" style="128" customWidth="1"/>
    <col min="3" max="3" width="33.08984375" style="128" customWidth="1"/>
    <col min="4" max="22" width="11" style="128" customWidth="1"/>
    <col min="23" max="25" width="9.08984375" style="128"/>
    <col min="26" max="26" width="9.08984375" style="128" customWidth="1"/>
    <col min="27" max="16384" width="9.08984375" style="128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4" spans="2:15" ht="19.5" customHeight="1" x14ac:dyDescent="0.3"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</row>
    <row r="5" spans="2:15" ht="19.5" customHeight="1" x14ac:dyDescent="0.3"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2:15" ht="19.5" customHeight="1" x14ac:dyDescent="0.3"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</row>
    <row r="7" spans="2:15" ht="19.5" customHeight="1" x14ac:dyDescent="0.3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</row>
    <row r="8" spans="2:15" ht="19.5" customHeight="1" x14ac:dyDescent="0.3"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</row>
    <row r="9" spans="2:15" ht="19.5" customHeight="1" x14ac:dyDescent="0.3"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</row>
    <row r="10" spans="2:15" ht="19.5" customHeight="1" x14ac:dyDescent="0.3"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2:15" ht="19.5" customHeight="1" x14ac:dyDescent="0.3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</row>
    <row r="12" spans="2:15" ht="27" x14ac:dyDescent="0.5">
      <c r="B12" s="129"/>
      <c r="C12" s="130" t="s">
        <v>59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31" t="s">
        <v>145</v>
      </c>
      <c r="O12" s="129"/>
    </row>
    <row r="13" spans="2:15" ht="19.5" customHeight="1" x14ac:dyDescent="0.3">
      <c r="B13" s="129"/>
      <c r="C13" s="13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</row>
    <row r="14" spans="2:15" ht="19.5" customHeight="1" x14ac:dyDescent="0.3">
      <c r="B14" s="129"/>
      <c r="C14" s="133" t="s">
        <v>146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2:15" ht="19.5" customHeight="1" x14ac:dyDescent="0.3">
      <c r="B15" s="129"/>
      <c r="C15" s="141" t="str">
        <f ca="1">RIGHT(CELL("filename",'Financial Statements'!A1),LEN(CELL("filename",'Financial Statements'!A1))-FIND("]",CELL("filename",'Financial Statements'!A1)))</f>
        <v>Financial Statements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</row>
    <row r="16" spans="2:15" ht="19.5" customHeight="1" x14ac:dyDescent="0.3">
      <c r="B16" s="129"/>
      <c r="C16" s="142" t="str">
        <f ca="1">RIGHT(CELL("filename",'Strategic Alternatives'!A1),LEN(CELL("filename",'Strategic Alternatives'!A1))-FIND("]",CELL("filename",'Strategic Alternatives'!A1)))</f>
        <v>Strategic Alternatives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2:15" ht="19.5" customHeight="1" x14ac:dyDescent="0.3">
      <c r="B17" s="129"/>
      <c r="C17" s="142" t="str">
        <f ca="1">RIGHT(CELL("filename",'DCF Model'!A1),LEN(CELL("filename",'DCF Model'!A1))-FIND("]",CELL("filename",'DCF Model'!A1)))</f>
        <v>DCF Model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2:15" ht="19.5" customHeight="1" x14ac:dyDescent="0.3">
      <c r="B18" s="129"/>
      <c r="C18" s="142" t="str">
        <f ca="1">RIGHT(CELL("filename",'Forecast Scenarios'!A1),LEN(CELL("filename",'Forecast Scenarios'!A1))-FIND("]",CELL("filename",'Forecast Scenarios'!A1)))</f>
        <v>Forecast Scenarios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</row>
    <row r="19" spans="2:15" ht="19.5" customHeight="1" x14ac:dyDescent="0.3">
      <c r="B19" s="129"/>
      <c r="C19" s="142" t="str">
        <f ca="1">RIGHT(CELL("filename",'DCF Model - Scenarios'!A1),LEN(CELL("filename",'DCF Model - Scenarios'!A1))-FIND("]",CELL("filename",'DCF Model - Scenarios'!A1)))</f>
        <v>DCF Model - Scenarios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</row>
    <row r="20" spans="2:15" ht="19.5" customHeight="1" x14ac:dyDescent="0.3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2:15" ht="19.5" customHeight="1" x14ac:dyDescent="0.3">
      <c r="B21" s="129"/>
      <c r="C21" s="129" t="s">
        <v>147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</row>
    <row r="22" spans="2:15" ht="19.5" customHeight="1" x14ac:dyDescent="0.3">
      <c r="B22" s="129"/>
      <c r="C22" s="134" t="s">
        <v>148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29"/>
    </row>
    <row r="23" spans="2:15" ht="19.5" customHeight="1" x14ac:dyDescent="0.3">
      <c r="B23" s="129"/>
      <c r="C23" s="129" t="s">
        <v>149</v>
      </c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</row>
    <row r="24" spans="2:15" ht="19.5" customHeight="1" x14ac:dyDescent="0.3">
      <c r="B24" s="129"/>
      <c r="C24" s="135" t="s">
        <v>150</v>
      </c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</row>
    <row r="25" spans="2:15" ht="19.5" customHeight="1" x14ac:dyDescent="0.3">
      <c r="B25" s="129"/>
      <c r="C25" s="135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2:15" ht="19.5" customHeight="1" x14ac:dyDescent="0.3">
      <c r="B26" s="129"/>
      <c r="C26" s="136" t="s">
        <v>151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29"/>
    </row>
    <row r="27" spans="2:15" ht="19.5" customHeight="1" x14ac:dyDescent="0.3">
      <c r="B27" s="138"/>
      <c r="C27" s="139" t="s">
        <v>152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8"/>
    </row>
    <row r="28" spans="2:15" ht="19.5" customHeight="1" x14ac:dyDescent="0.3">
      <c r="B28" s="138"/>
      <c r="C28" s="139" t="s">
        <v>153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8"/>
    </row>
    <row r="29" spans="2:15" ht="19.5" customHeight="1" x14ac:dyDescent="0.3">
      <c r="B29" s="138"/>
      <c r="C29" s="139" t="s">
        <v>154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8"/>
    </row>
    <row r="30" spans="2:15" ht="19.5" customHeight="1" x14ac:dyDescent="0.3">
      <c r="B30" s="138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8"/>
    </row>
    <row r="31" spans="2:15" ht="19.5" customHeight="1" x14ac:dyDescent="0.3"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</row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</sheetData>
  <hyperlinks>
    <hyperlink ref="C15" location="'Financial Statements'!A1" display="'Financial Statements'!A1" xr:uid="{69D2041A-4E26-4D23-8690-A4DB1EB2869F}"/>
    <hyperlink ref="C24" r:id="rId1" xr:uid="{92E77BB5-B01B-4226-8AA9-D498541A3D4F}"/>
    <hyperlink ref="C16" location="'Strategic Alternatives'!A1" display="'Strategic Alternatives'!A1" xr:uid="{61103B2B-032D-47FE-A54F-6CD665E59ECA}"/>
    <hyperlink ref="C17" location="'DCF Model'!A1" display="'DCF Model'!A1" xr:uid="{008C961C-B953-4D69-9662-01932CA414AE}"/>
    <hyperlink ref="C18" location="'Forecast Scenarios'!A1" display="'Forecast Scenarios'!A1" xr:uid="{3BD83200-6A96-4995-A06B-6CF4DC3FCB31}"/>
    <hyperlink ref="C19" location="'DCF Model - Scenarios'!A1" display="'DCF Model - Scenarios'!A1" xr:uid="{FB6DC3E5-B321-49E4-9E1C-C0F100EED75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6.5" outlineLevelRow="1" x14ac:dyDescent="0.45"/>
  <cols>
    <col min="1" max="1" width="6.54296875" style="9" customWidth="1"/>
    <col min="2" max="2" width="34.6328125" style="9" customWidth="1"/>
    <col min="3" max="3" width="6.36328125" style="9" customWidth="1"/>
    <col min="4" max="7" width="9.08984375" style="9"/>
    <col min="8" max="8" width="11.08984375" style="9" customWidth="1"/>
    <col min="9" max="13" width="9.08984375" style="9"/>
    <col min="14" max="14" width="20.6328125" style="9" bestFit="1" customWidth="1"/>
    <col min="15" max="17" width="21.90625" style="9" customWidth="1"/>
    <col min="18" max="16384" width="9.08984375" style="9"/>
  </cols>
  <sheetData>
    <row r="1" spans="1:12" ht="18" x14ac:dyDescent="0.5">
      <c r="A1" s="1" t="s">
        <v>58</v>
      </c>
      <c r="B1" s="2"/>
      <c r="C1" s="2"/>
      <c r="D1" s="2"/>
      <c r="E1" s="2"/>
      <c r="F1" s="3"/>
      <c r="G1" s="3"/>
      <c r="H1" s="3"/>
      <c r="I1"/>
      <c r="J1"/>
      <c r="K1"/>
      <c r="L1"/>
    </row>
    <row r="2" spans="1:12" ht="18" x14ac:dyDescent="0.5">
      <c r="A2" s="2"/>
      <c r="B2" s="25" t="s">
        <v>59</v>
      </c>
      <c r="C2" s="25"/>
      <c r="D2" s="4">
        <v>2015</v>
      </c>
      <c r="E2" s="4">
        <v>2016</v>
      </c>
      <c r="F2" s="4">
        <v>2017</v>
      </c>
      <c r="G2" s="5"/>
      <c r="H2" s="5"/>
      <c r="I2"/>
      <c r="J2"/>
      <c r="K2"/>
      <c r="L2"/>
    </row>
    <row r="3" spans="1:12" x14ac:dyDescent="0.45">
      <c r="B3" s="6"/>
      <c r="C3" s="6"/>
      <c r="D3" s="7"/>
      <c r="E3" s="8"/>
      <c r="F3" s="8"/>
      <c r="G3" s="8"/>
      <c r="H3" s="8"/>
      <c r="I3"/>
      <c r="J3"/>
      <c r="K3"/>
      <c r="L3"/>
    </row>
    <row r="4" spans="1:12" x14ac:dyDescent="0.45">
      <c r="A4" s="10"/>
      <c r="B4" s="16" t="s">
        <v>57</v>
      </c>
      <c r="C4" s="16"/>
      <c r="D4" s="16"/>
      <c r="E4" s="16"/>
      <c r="F4" s="16"/>
      <c r="G4" s="10"/>
      <c r="H4" s="10"/>
      <c r="I4"/>
      <c r="J4"/>
      <c r="K4"/>
      <c r="L4"/>
    </row>
    <row r="5" spans="1:12" ht="16.5" hidden="1" customHeight="1" outlineLevel="1" x14ac:dyDescent="0.45">
      <c r="B5" s="21" t="s">
        <v>60</v>
      </c>
      <c r="C5" s="21"/>
      <c r="D5" s="18"/>
      <c r="E5" s="18"/>
      <c r="F5" s="18"/>
      <c r="G5" s="19"/>
      <c r="H5" s="19"/>
      <c r="I5" s="19"/>
      <c r="J5" s="19"/>
      <c r="K5" s="19"/>
      <c r="L5" s="20"/>
    </row>
    <row r="6" spans="1:12" ht="16.5" hidden="1" customHeight="1" outlineLevel="1" x14ac:dyDescent="0.45">
      <c r="B6" s="17" t="s">
        <v>0</v>
      </c>
      <c r="C6" s="17"/>
      <c r="D6" s="11"/>
      <c r="E6" s="11"/>
      <c r="F6" s="11"/>
      <c r="G6" s="11"/>
      <c r="H6" s="11"/>
    </row>
    <row r="7" spans="1:12" ht="16.5" hidden="1" customHeight="1" outlineLevel="1" x14ac:dyDescent="0.45">
      <c r="B7" s="17" t="s">
        <v>1</v>
      </c>
      <c r="C7" s="17"/>
      <c r="D7" s="11"/>
      <c r="E7" s="11"/>
      <c r="F7" s="11"/>
      <c r="G7" s="11"/>
      <c r="H7" s="11"/>
    </row>
    <row r="8" spans="1:12" ht="16.5" hidden="1" customHeight="1" outlineLevel="1" x14ac:dyDescent="0.45">
      <c r="B8" s="11" t="s">
        <v>2</v>
      </c>
      <c r="C8" s="11"/>
      <c r="D8" s="55">
        <v>7438</v>
      </c>
      <c r="E8" s="55">
        <v>15402</v>
      </c>
      <c r="F8" s="55">
        <v>31460</v>
      </c>
      <c r="G8" s="11"/>
      <c r="H8" s="11"/>
    </row>
    <row r="9" spans="1:12" ht="16.5" hidden="1" customHeight="1" outlineLevel="1" x14ac:dyDescent="0.45">
      <c r="B9" s="11" t="s">
        <v>3</v>
      </c>
      <c r="C9" s="11"/>
      <c r="D9" s="55">
        <v>940</v>
      </c>
      <c r="E9" s="55">
        <v>5600</v>
      </c>
      <c r="F9" s="55">
        <v>14790</v>
      </c>
      <c r="G9" s="11"/>
      <c r="H9" s="11"/>
    </row>
    <row r="10" spans="1:12" ht="16.5" hidden="1" customHeight="1" outlineLevel="1" x14ac:dyDescent="0.45">
      <c r="B10" s="23" t="s">
        <v>4</v>
      </c>
      <c r="C10" s="23"/>
      <c r="D10" s="61">
        <v>1300</v>
      </c>
      <c r="E10" s="61">
        <v>1559</v>
      </c>
      <c r="F10" s="61">
        <v>1998</v>
      </c>
      <c r="G10" s="11"/>
      <c r="H10" s="11"/>
    </row>
    <row r="11" spans="1:12" ht="16.5" hidden="1" customHeight="1" outlineLevel="1" x14ac:dyDescent="0.45">
      <c r="B11" s="17" t="s">
        <v>5</v>
      </c>
      <c r="C11" s="17"/>
      <c r="D11" s="28">
        <f>SUM(D8:D10)</f>
        <v>9678</v>
      </c>
      <c r="E11" s="28">
        <f t="shared" ref="E11:F11" si="0">SUM(E8:E10)</f>
        <v>22561</v>
      </c>
      <c r="F11" s="28">
        <f t="shared" si="0"/>
        <v>48248</v>
      </c>
      <c r="G11" s="11"/>
      <c r="H11" s="11"/>
    </row>
    <row r="12" spans="1:12" ht="16.5" hidden="1" customHeight="1" outlineLevel="1" x14ac:dyDescent="0.45">
      <c r="B12" s="11"/>
      <c r="C12" s="11"/>
      <c r="D12" s="26"/>
      <c r="E12" s="26"/>
      <c r="F12" s="26"/>
      <c r="G12" s="11"/>
      <c r="H12" s="11"/>
    </row>
    <row r="13" spans="1:12" ht="16.5" hidden="1" customHeight="1" outlineLevel="1" x14ac:dyDescent="0.45">
      <c r="B13" s="17" t="s">
        <v>6</v>
      </c>
      <c r="C13" s="17"/>
      <c r="D13" s="26"/>
      <c r="E13" s="26"/>
      <c r="F13" s="26"/>
      <c r="G13" s="11"/>
      <c r="H13" s="11"/>
    </row>
    <row r="14" spans="1:12" ht="16.5" hidden="1" customHeight="1" outlineLevel="1" x14ac:dyDescent="0.45">
      <c r="B14" s="11" t="s">
        <v>7</v>
      </c>
      <c r="C14" s="11"/>
      <c r="D14" s="55">
        <v>10500</v>
      </c>
      <c r="E14" s="55">
        <v>9650</v>
      </c>
      <c r="F14" s="55">
        <v>12305</v>
      </c>
      <c r="G14" s="11"/>
      <c r="H14" s="11"/>
    </row>
    <row r="15" spans="1:12" ht="16.5" hidden="1" customHeight="1" outlineLevel="1" x14ac:dyDescent="0.45">
      <c r="B15" s="23" t="s">
        <v>8</v>
      </c>
      <c r="C15" s="23"/>
      <c r="D15" s="61">
        <v>19722</v>
      </c>
      <c r="E15" s="61">
        <v>28993</v>
      </c>
      <c r="F15" s="61">
        <v>27112</v>
      </c>
      <c r="G15" s="11"/>
      <c r="H15" s="11"/>
    </row>
    <row r="16" spans="1:12" ht="16.5" hidden="1" customHeight="1" outlineLevel="1" x14ac:dyDescent="0.45">
      <c r="B16" s="24" t="s">
        <v>9</v>
      </c>
      <c r="C16" s="24"/>
      <c r="D16" s="29">
        <f>SUM(D14:D15)</f>
        <v>30222</v>
      </c>
      <c r="E16" s="29">
        <f t="shared" ref="E16:F16" si="1">SUM(E14:E15)</f>
        <v>38643</v>
      </c>
      <c r="F16" s="29">
        <f t="shared" si="1"/>
        <v>39417</v>
      </c>
      <c r="G16" s="11"/>
      <c r="H16" s="11"/>
    </row>
    <row r="17" spans="2:11" ht="16.5" hidden="1" customHeight="1" outlineLevel="1" thickBot="1" x14ac:dyDescent="0.5">
      <c r="B17" s="45" t="s">
        <v>10</v>
      </c>
      <c r="C17" s="45"/>
      <c r="D17" s="46">
        <f>D11+D16</f>
        <v>39900</v>
      </c>
      <c r="E17" s="46">
        <f t="shared" ref="E17:F17" si="2">E11+E16</f>
        <v>61204</v>
      </c>
      <c r="F17" s="46">
        <f t="shared" si="2"/>
        <v>87665</v>
      </c>
      <c r="G17" s="11"/>
      <c r="H17" s="11"/>
    </row>
    <row r="18" spans="2:11" ht="16.5" hidden="1" customHeight="1" outlineLevel="1" thickTop="1" x14ac:dyDescent="0.45">
      <c r="B18" s="11"/>
      <c r="C18" s="11"/>
      <c r="D18" s="26"/>
      <c r="E18" s="26"/>
      <c r="F18" s="26"/>
      <c r="G18" s="11"/>
      <c r="H18" s="11"/>
      <c r="I18" s="11"/>
      <c r="J18" s="11"/>
      <c r="K18" s="11"/>
    </row>
    <row r="19" spans="2:11" ht="16.5" hidden="1" customHeight="1" outlineLevel="1" x14ac:dyDescent="0.45">
      <c r="B19" s="17" t="s">
        <v>11</v>
      </c>
      <c r="C19" s="17"/>
      <c r="D19" s="26"/>
      <c r="E19" s="26"/>
      <c r="F19" s="26"/>
      <c r="G19" s="11"/>
      <c r="H19" s="11"/>
      <c r="I19" s="11"/>
      <c r="J19" s="11"/>
      <c r="K19" s="11"/>
    </row>
    <row r="20" spans="2:11" ht="16.5" hidden="1" customHeight="1" outlineLevel="1" x14ac:dyDescent="0.45">
      <c r="B20" s="17" t="s">
        <v>12</v>
      </c>
      <c r="C20" s="17"/>
      <c r="D20" s="26"/>
      <c r="E20" s="26"/>
      <c r="F20" s="26"/>
      <c r="G20" s="11"/>
      <c r="H20" s="11"/>
      <c r="I20" s="11"/>
      <c r="J20" s="11"/>
      <c r="K20" s="11"/>
    </row>
    <row r="21" spans="2:11" ht="16.5" hidden="1" customHeight="1" outlineLevel="1" x14ac:dyDescent="0.45">
      <c r="B21" s="11" t="s">
        <v>13</v>
      </c>
      <c r="C21" s="11"/>
      <c r="D21" s="55">
        <v>2205</v>
      </c>
      <c r="E21" s="55">
        <v>4190</v>
      </c>
      <c r="F21" s="55">
        <v>6960</v>
      </c>
      <c r="G21" s="11"/>
      <c r="H21" s="11"/>
      <c r="I21" s="11"/>
      <c r="J21" s="11"/>
      <c r="K21" s="11"/>
    </row>
    <row r="22" spans="2:11" ht="16.5" hidden="1" customHeight="1" outlineLevel="1" x14ac:dyDescent="0.45">
      <c r="B22" s="11" t="s">
        <v>14</v>
      </c>
      <c r="C22" s="11"/>
      <c r="D22" s="55">
        <v>638</v>
      </c>
      <c r="E22" s="55">
        <v>1688</v>
      </c>
      <c r="F22" s="55">
        <v>3883</v>
      </c>
      <c r="G22" s="11"/>
      <c r="H22" s="11"/>
      <c r="I22" s="11"/>
      <c r="J22" s="11"/>
      <c r="K22" s="11"/>
    </row>
    <row r="23" spans="2:11" ht="16.5" hidden="1" customHeight="1" outlineLevel="1" x14ac:dyDescent="0.45">
      <c r="B23" s="23" t="s">
        <v>15</v>
      </c>
      <c r="C23" s="23"/>
      <c r="D23" s="61">
        <v>560</v>
      </c>
      <c r="E23" s="61">
        <v>1070</v>
      </c>
      <c r="F23" s="61">
        <v>3395</v>
      </c>
      <c r="G23" s="11"/>
      <c r="H23" s="11"/>
      <c r="I23"/>
      <c r="J23"/>
      <c r="K23" s="11"/>
    </row>
    <row r="24" spans="2:11" ht="16.5" hidden="1" customHeight="1" outlineLevel="1" x14ac:dyDescent="0.45">
      <c r="B24" s="17" t="s">
        <v>16</v>
      </c>
      <c r="C24" s="17"/>
      <c r="D24" s="28">
        <f>SUM(D21:D23)</f>
        <v>3403</v>
      </c>
      <c r="E24" s="28">
        <f t="shared" ref="E24:F24" si="3">SUM(E21:E23)</f>
        <v>6948</v>
      </c>
      <c r="F24" s="28">
        <f t="shared" si="3"/>
        <v>14238</v>
      </c>
      <c r="G24" s="11"/>
      <c r="H24" s="11"/>
      <c r="I24" s="11"/>
      <c r="J24" s="11"/>
      <c r="K24" s="11"/>
    </row>
    <row r="25" spans="2:11" ht="16.5" hidden="1" customHeight="1" outlineLevel="1" x14ac:dyDescent="0.45">
      <c r="B25" s="23" t="s">
        <v>17</v>
      </c>
      <c r="C25" s="23"/>
      <c r="D25" s="61">
        <v>10256</v>
      </c>
      <c r="E25" s="61">
        <v>22356</v>
      </c>
      <c r="F25" s="61">
        <v>29100</v>
      </c>
      <c r="G25" s="11"/>
      <c r="H25" s="11"/>
      <c r="I25" s="11"/>
      <c r="J25" s="11"/>
      <c r="K25" s="11"/>
    </row>
    <row r="26" spans="2:11" ht="16.5" hidden="1" customHeight="1" outlineLevel="1" x14ac:dyDescent="0.45">
      <c r="B26" s="17" t="s">
        <v>18</v>
      </c>
      <c r="C26" s="17"/>
      <c r="D26" s="28">
        <f>D24+D25</f>
        <v>13659</v>
      </c>
      <c r="E26" s="28">
        <f t="shared" ref="E26:F26" si="4">E24+E25</f>
        <v>29304</v>
      </c>
      <c r="F26" s="28">
        <f t="shared" si="4"/>
        <v>43338</v>
      </c>
      <c r="G26" s="11"/>
      <c r="H26" s="11"/>
      <c r="I26" s="11"/>
      <c r="J26" s="11"/>
      <c r="K26" s="11"/>
    </row>
    <row r="27" spans="2:11" ht="16.5" hidden="1" customHeight="1" outlineLevel="1" x14ac:dyDescent="0.45">
      <c r="B27" s="11"/>
      <c r="C27" s="11"/>
      <c r="D27" s="26"/>
      <c r="E27" s="26"/>
      <c r="F27" s="26"/>
      <c r="G27" s="11"/>
      <c r="H27" s="11"/>
      <c r="I27" s="11"/>
      <c r="J27" s="11"/>
      <c r="K27" s="11"/>
    </row>
    <row r="28" spans="2:11" ht="16.5" hidden="1" customHeight="1" outlineLevel="1" x14ac:dyDescent="0.45">
      <c r="B28" s="17" t="s">
        <v>19</v>
      </c>
      <c r="C28" s="17"/>
      <c r="D28" s="26"/>
      <c r="E28" s="26"/>
      <c r="F28" s="26"/>
      <c r="G28" s="11"/>
      <c r="H28" s="11"/>
      <c r="I28" s="11"/>
      <c r="J28" s="11"/>
      <c r="K28" s="11"/>
    </row>
    <row r="29" spans="2:11" ht="16.5" hidden="1" customHeight="1" outlineLevel="1" x14ac:dyDescent="0.45">
      <c r="B29" s="23" t="s">
        <v>20</v>
      </c>
      <c r="C29" s="23"/>
      <c r="D29" s="61">
        <v>26241</v>
      </c>
      <c r="E29" s="61">
        <v>31900</v>
      </c>
      <c r="F29" s="61">
        <v>44327</v>
      </c>
      <c r="G29" s="11"/>
      <c r="H29" s="11"/>
      <c r="I29" s="11"/>
      <c r="J29" s="11"/>
      <c r="K29" s="11"/>
    </row>
    <row r="30" spans="2:11" ht="16.5" hidden="1" customHeight="1" outlineLevel="1" thickBot="1" x14ac:dyDescent="0.5">
      <c r="B30" s="45" t="s">
        <v>21</v>
      </c>
      <c r="C30" s="45"/>
      <c r="D30" s="46">
        <f>D26+D29</f>
        <v>39900</v>
      </c>
      <c r="E30" s="46">
        <f t="shared" ref="E30:F30" si="5">E26+E29</f>
        <v>61204</v>
      </c>
      <c r="F30" s="46">
        <f t="shared" si="5"/>
        <v>87665</v>
      </c>
      <c r="G30" s="11"/>
      <c r="H30" s="11"/>
      <c r="I30" s="11"/>
      <c r="J30" s="11"/>
      <c r="K30" s="11"/>
    </row>
    <row r="31" spans="2:11" ht="16.5" hidden="1" customHeight="1" outlineLevel="1" thickTop="1" x14ac:dyDescent="0.45">
      <c r="B31" s="17"/>
      <c r="C31" s="17"/>
      <c r="D31" s="28"/>
      <c r="E31" s="28"/>
      <c r="F31" s="28"/>
      <c r="G31" s="11"/>
      <c r="H31" s="11"/>
      <c r="I31" s="11"/>
      <c r="J31" s="11"/>
      <c r="K31" s="11"/>
    </row>
    <row r="32" spans="2:11" collapsed="1" x14ac:dyDescent="0.45">
      <c r="B32" s="17"/>
      <c r="C32" s="17"/>
      <c r="D32" s="22"/>
      <c r="E32" s="22"/>
      <c r="F32" s="22"/>
      <c r="G32" s="11"/>
      <c r="H32" s="11"/>
      <c r="I32" s="11"/>
      <c r="J32" s="11"/>
      <c r="K32" s="11"/>
    </row>
    <row r="33" spans="1:17" x14ac:dyDescent="0.45">
      <c r="A33" s="10"/>
      <c r="B33" s="16" t="s">
        <v>61</v>
      </c>
      <c r="C33" s="16"/>
      <c r="D33" s="16"/>
      <c r="E33" s="16"/>
      <c r="F33" s="16"/>
      <c r="G33" s="10"/>
      <c r="H33" s="10"/>
      <c r="I33" s="11"/>
      <c r="J33" s="11"/>
      <c r="K33" s="11"/>
    </row>
    <row r="34" spans="1:17" ht="16.5" hidden="1" customHeight="1" outlineLevel="1" x14ac:dyDescent="0.45">
      <c r="B34" s="21" t="s">
        <v>60</v>
      </c>
      <c r="C34" s="21"/>
      <c r="D34" s="18"/>
      <c r="E34" s="18"/>
      <c r="F34" s="18"/>
      <c r="G34" s="19"/>
      <c r="H34" s="19"/>
      <c r="I34" s="11"/>
      <c r="J34" s="11"/>
      <c r="K34" s="11"/>
    </row>
    <row r="35" spans="1:17" ht="16.5" hidden="1" customHeight="1" outlineLevel="1" x14ac:dyDescent="0.45">
      <c r="B35" s="11" t="s">
        <v>22</v>
      </c>
      <c r="C35" s="11"/>
      <c r="D35" s="55">
        <v>5600</v>
      </c>
      <c r="E35" s="55">
        <v>18680</v>
      </c>
      <c r="F35" s="55">
        <v>33356</v>
      </c>
      <c r="G35" s="11"/>
      <c r="H35" s="11"/>
      <c r="N35" s="11"/>
      <c r="O35" s="12"/>
      <c r="P35" s="12"/>
      <c r="Q35" s="12"/>
    </row>
    <row r="36" spans="1:17" ht="16.5" hidden="1" customHeight="1" outlineLevel="1" x14ac:dyDescent="0.45">
      <c r="B36" s="23" t="s">
        <v>23</v>
      </c>
      <c r="C36" s="23"/>
      <c r="D36" s="61">
        <v>-2850</v>
      </c>
      <c r="E36" s="61">
        <v>-6775</v>
      </c>
      <c r="F36" s="61">
        <v>-11710</v>
      </c>
      <c r="G36" s="11"/>
      <c r="H36" s="11"/>
      <c r="N36" s="11"/>
      <c r="O36" s="12"/>
      <c r="P36" s="12"/>
      <c r="Q36" s="12"/>
    </row>
    <row r="37" spans="1:17" ht="16.5" hidden="1" customHeight="1" outlineLevel="1" x14ac:dyDescent="0.45">
      <c r="B37" s="17" t="s">
        <v>62</v>
      </c>
      <c r="C37" s="17"/>
      <c r="D37" s="28">
        <f>D35+D36</f>
        <v>2750</v>
      </c>
      <c r="E37" s="28">
        <f t="shared" ref="E37:F37" si="6">E35+E36</f>
        <v>11905</v>
      </c>
      <c r="F37" s="28">
        <f t="shared" si="6"/>
        <v>21646</v>
      </c>
      <c r="G37" s="11"/>
      <c r="H37" s="11"/>
      <c r="N37" s="11"/>
      <c r="O37" s="12"/>
      <c r="P37" s="12"/>
      <c r="Q37" s="12"/>
    </row>
    <row r="38" spans="1:17" ht="16.5" hidden="1" customHeight="1" outlineLevel="1" x14ac:dyDescent="0.45">
      <c r="B38" s="11" t="s">
        <v>63</v>
      </c>
      <c r="C38" s="11"/>
      <c r="D38" s="30">
        <f>D37/D35</f>
        <v>0.49107142857142855</v>
      </c>
      <c r="E38" s="30">
        <f t="shared" ref="E38:F38" si="7">E37/E35</f>
        <v>0.63731263383297643</v>
      </c>
      <c r="F38" s="30">
        <f t="shared" si="7"/>
        <v>0.64893872166926492</v>
      </c>
      <c r="G38" s="11"/>
      <c r="H38" s="11"/>
      <c r="I38" s="11"/>
      <c r="J38" s="11"/>
      <c r="K38" s="11"/>
      <c r="N38" s="11"/>
      <c r="O38" s="11"/>
      <c r="P38" s="11"/>
      <c r="Q38" s="11"/>
    </row>
    <row r="39" spans="1:17" ht="16.5" hidden="1" customHeight="1" outlineLevel="1" x14ac:dyDescent="0.45">
      <c r="B39" s="11"/>
      <c r="C39" s="11"/>
      <c r="D39" s="11"/>
      <c r="E39" s="11"/>
      <c r="F39" s="11"/>
      <c r="G39" s="11"/>
      <c r="H39" s="11"/>
      <c r="I39" s="11"/>
      <c r="J39" s="11"/>
      <c r="K39" s="11"/>
      <c r="N39" s="11"/>
      <c r="O39" s="11"/>
      <c r="P39" s="11"/>
      <c r="Q39" s="11"/>
    </row>
    <row r="40" spans="1:17" ht="16.5" hidden="1" customHeight="1" outlineLevel="1" x14ac:dyDescent="0.45">
      <c r="B40" s="11" t="s">
        <v>64</v>
      </c>
      <c r="C40" s="11"/>
      <c r="D40" s="55">
        <v>-1067</v>
      </c>
      <c r="E40" s="55">
        <v>-2425</v>
      </c>
      <c r="F40" s="55">
        <v>-3060</v>
      </c>
      <c r="G40" s="11"/>
      <c r="H40" s="11"/>
    </row>
    <row r="41" spans="1:17" ht="16.5" hidden="1" customHeight="1" outlineLevel="1" x14ac:dyDescent="0.45">
      <c r="B41" s="11" t="s">
        <v>112</v>
      </c>
      <c r="C41" s="11"/>
      <c r="D41" s="55">
        <v>0</v>
      </c>
      <c r="E41" s="55">
        <v>-369</v>
      </c>
      <c r="F41" s="55">
        <v>-408</v>
      </c>
      <c r="G41" s="11"/>
      <c r="H41" s="11"/>
    </row>
    <row r="42" spans="1:17" ht="16.5" hidden="1" customHeight="1" outlineLevel="1" x14ac:dyDescent="0.45">
      <c r="B42" s="23" t="s">
        <v>65</v>
      </c>
      <c r="C42" s="23"/>
      <c r="D42" s="61">
        <v>-1050</v>
      </c>
      <c r="E42" s="61">
        <v>-1050</v>
      </c>
      <c r="F42" s="61">
        <v>-1903</v>
      </c>
      <c r="G42" s="11"/>
      <c r="H42" s="11"/>
    </row>
    <row r="43" spans="1:17" ht="16.5" hidden="1" customHeight="1" outlineLevel="1" x14ac:dyDescent="0.45">
      <c r="B43" s="17" t="s">
        <v>52</v>
      </c>
      <c r="C43" s="17"/>
      <c r="D43" s="28">
        <f>D37+D40+D41+D42</f>
        <v>633</v>
      </c>
      <c r="E43" s="28">
        <f t="shared" ref="E43:F43" si="8">E37+E40+E41+E42</f>
        <v>8061</v>
      </c>
      <c r="F43" s="28">
        <f t="shared" si="8"/>
        <v>16275</v>
      </c>
      <c r="G43" s="11"/>
      <c r="H43" s="11"/>
    </row>
    <row r="44" spans="1:17" ht="16.5" hidden="1" customHeight="1" outlineLevel="1" x14ac:dyDescent="0.45">
      <c r="B44" s="11" t="s">
        <v>53</v>
      </c>
      <c r="C44" s="11"/>
      <c r="D44" s="30">
        <f>D43/D35</f>
        <v>0.11303571428571428</v>
      </c>
      <c r="E44" s="30">
        <f t="shared" ref="E44:F44" si="9">E43/E35</f>
        <v>0.43153104925053531</v>
      </c>
      <c r="F44" s="30">
        <f t="shared" si="9"/>
        <v>0.48791821561338289</v>
      </c>
      <c r="G44" s="11"/>
      <c r="H44" s="11"/>
    </row>
    <row r="45" spans="1:17" ht="16.5" hidden="1" customHeight="1" outlineLevel="1" x14ac:dyDescent="0.45">
      <c r="B45" s="11"/>
      <c r="C45" s="11"/>
      <c r="D45" s="11"/>
      <c r="E45" s="11"/>
      <c r="F45" s="11"/>
      <c r="G45" s="11"/>
      <c r="H45" s="11"/>
    </row>
    <row r="46" spans="1:17" ht="16.5" hidden="1" customHeight="1" outlineLevel="1" x14ac:dyDescent="0.45">
      <c r="B46" s="23" t="s">
        <v>66</v>
      </c>
      <c r="C46" s="23"/>
      <c r="D46" s="61">
        <v>-896</v>
      </c>
      <c r="E46" s="61">
        <v>-1098</v>
      </c>
      <c r="F46" s="61">
        <v>-1655</v>
      </c>
      <c r="G46" s="14"/>
      <c r="H46" s="14"/>
      <c r="I46" s="14"/>
    </row>
    <row r="47" spans="1:17" ht="16.5" hidden="1" customHeight="1" outlineLevel="1" x14ac:dyDescent="0.45">
      <c r="B47" s="17" t="s">
        <v>67</v>
      </c>
      <c r="C47" s="17"/>
      <c r="D47" s="28">
        <f>D43+D46</f>
        <v>-263</v>
      </c>
      <c r="E47" s="28">
        <f t="shared" ref="E47:F47" si="10">E43+E46</f>
        <v>6963</v>
      </c>
      <c r="F47" s="28">
        <f t="shared" si="10"/>
        <v>14620</v>
      </c>
    </row>
    <row r="48" spans="1:17" ht="16.5" hidden="1" customHeight="1" outlineLevel="1" x14ac:dyDescent="0.45">
      <c r="B48" s="11"/>
      <c r="C48" s="11"/>
      <c r="D48" s="26"/>
      <c r="E48" s="26"/>
      <c r="F48" s="26"/>
    </row>
    <row r="49" spans="1:11" ht="16.5" hidden="1" customHeight="1" outlineLevel="1" x14ac:dyDescent="0.45">
      <c r="B49" s="23" t="s">
        <v>68</v>
      </c>
      <c r="C49" s="23"/>
      <c r="D49" s="61">
        <v>0</v>
      </c>
      <c r="E49" s="62">
        <f>-E47*0.15</f>
        <v>-1044.45</v>
      </c>
      <c r="F49" s="62">
        <f>-F47*0.15</f>
        <v>-2193</v>
      </c>
    </row>
    <row r="50" spans="1:11" ht="16.5" hidden="1" customHeight="1" outlineLevel="1" thickBot="1" x14ac:dyDescent="0.5">
      <c r="B50" s="45" t="s">
        <v>24</v>
      </c>
      <c r="C50" s="45"/>
      <c r="D50" s="46">
        <f>D47+D49</f>
        <v>-263</v>
      </c>
      <c r="E50" s="46">
        <f t="shared" ref="E50:F50" si="11">E47+E49</f>
        <v>5918.55</v>
      </c>
      <c r="F50" s="46">
        <f t="shared" si="11"/>
        <v>12427</v>
      </c>
    </row>
    <row r="51" spans="1:11" ht="16.5" hidden="1" customHeight="1" outlineLevel="1" thickTop="1" x14ac:dyDescent="0.45"/>
    <row r="52" spans="1:11" collapsed="1" x14ac:dyDescent="0.45">
      <c r="B52" s="11"/>
      <c r="C52" s="11"/>
      <c r="D52" s="11"/>
      <c r="E52" s="11"/>
      <c r="F52" s="11"/>
    </row>
    <row r="53" spans="1:11" x14ac:dyDescent="0.45">
      <c r="A53" s="10"/>
      <c r="B53" s="16" t="s">
        <v>69</v>
      </c>
      <c r="C53" s="16"/>
      <c r="D53" s="16"/>
      <c r="E53" s="16"/>
      <c r="F53" s="16"/>
      <c r="G53" s="10"/>
      <c r="H53" s="10"/>
    </row>
    <row r="54" spans="1:11" ht="16.5" hidden="1" customHeight="1" outlineLevel="1" x14ac:dyDescent="0.45">
      <c r="B54" s="21" t="s">
        <v>60</v>
      </c>
      <c r="C54" s="21"/>
      <c r="D54" s="11"/>
      <c r="E54" s="11"/>
      <c r="F54" s="11"/>
    </row>
    <row r="55" spans="1:11" ht="16.5" hidden="1" customHeight="1" outlineLevel="1" x14ac:dyDescent="0.45">
      <c r="B55" s="17" t="s">
        <v>70</v>
      </c>
      <c r="C55" s="17"/>
      <c r="D55" s="11"/>
      <c r="E55" s="11"/>
      <c r="F55" s="11"/>
    </row>
    <row r="56" spans="1:11" ht="16.5" hidden="1" customHeight="1" outlineLevel="1" x14ac:dyDescent="0.45">
      <c r="B56" s="11" t="s">
        <v>71</v>
      </c>
      <c r="C56" s="11"/>
      <c r="D56" s="26">
        <f>D50</f>
        <v>-263</v>
      </c>
      <c r="E56" s="26">
        <f t="shared" ref="E56:F56" si="12">E50</f>
        <v>5918.55</v>
      </c>
      <c r="F56" s="26">
        <f t="shared" si="12"/>
        <v>12427</v>
      </c>
    </row>
    <row r="57" spans="1:11" ht="16.5" hidden="1" customHeight="1" outlineLevel="1" x14ac:dyDescent="0.45">
      <c r="B57" s="11" t="s">
        <v>72</v>
      </c>
      <c r="C57" s="11"/>
      <c r="D57" s="26">
        <f>-D42</f>
        <v>1050</v>
      </c>
      <c r="E57" s="26">
        <f t="shared" ref="E57:F57" si="13">-E42</f>
        <v>1050</v>
      </c>
      <c r="F57" s="26">
        <f t="shared" si="13"/>
        <v>1903</v>
      </c>
    </row>
    <row r="58" spans="1:11" ht="16.5" hidden="1" customHeight="1" outlineLevel="1" x14ac:dyDescent="0.45">
      <c r="B58" s="23" t="s">
        <v>73</v>
      </c>
      <c r="C58" s="23"/>
      <c r="D58" s="27">
        <f>(D9+D10-D21-D22-D23)-(C9+C10-C21-C22-C23)</f>
        <v>-1163</v>
      </c>
      <c r="E58" s="27">
        <f>(E9+E10-E21-E22-E23)-(D9+D10-D21-D22-D23)</f>
        <v>1374</v>
      </c>
      <c r="F58" s="27">
        <f>(F9+F10-F21-F22-F23)-(E9+E10-E21-E22-E23)</f>
        <v>2339</v>
      </c>
      <c r="K58" s="11"/>
    </row>
    <row r="59" spans="1:11" ht="16.5" hidden="1" customHeight="1" outlineLevel="1" x14ac:dyDescent="0.45">
      <c r="B59" s="17" t="s">
        <v>74</v>
      </c>
      <c r="C59" s="17"/>
      <c r="D59" s="28">
        <f>D56+D57-D58</f>
        <v>1950</v>
      </c>
      <c r="E59" s="28">
        <f t="shared" ref="E59:F59" si="14">E56+E57-E58</f>
        <v>5594.55</v>
      </c>
      <c r="F59" s="28">
        <f t="shared" si="14"/>
        <v>11991</v>
      </c>
      <c r="G59" s="11"/>
      <c r="H59" s="11"/>
      <c r="I59" s="11"/>
      <c r="J59" s="11"/>
      <c r="K59" s="11"/>
    </row>
    <row r="60" spans="1:11" ht="16.5" hidden="1" customHeight="1" outlineLevel="1" x14ac:dyDescent="0.45">
      <c r="B60" s="11"/>
      <c r="C60" s="11"/>
      <c r="D60" s="26"/>
      <c r="E60" s="26"/>
      <c r="F60" s="26"/>
      <c r="G60" s="11"/>
      <c r="H60" s="11"/>
      <c r="I60" s="11"/>
      <c r="J60" s="11"/>
      <c r="K60" s="11"/>
    </row>
    <row r="61" spans="1:11" ht="16.5" hidden="1" customHeight="1" outlineLevel="1" x14ac:dyDescent="0.45">
      <c r="B61" s="17" t="s">
        <v>75</v>
      </c>
      <c r="C61" s="17"/>
      <c r="D61" s="26"/>
      <c r="E61" s="26"/>
      <c r="F61" s="26"/>
      <c r="G61" s="11"/>
      <c r="H61" s="11"/>
      <c r="I61" s="11"/>
      <c r="J61" s="11"/>
      <c r="K61" s="11"/>
    </row>
    <row r="62" spans="1:11" ht="16.5" hidden="1" customHeight="1" outlineLevel="1" x14ac:dyDescent="0.45">
      <c r="B62" s="23" t="s">
        <v>76</v>
      </c>
      <c r="C62" s="23"/>
      <c r="D62" s="61">
        <v>-31012</v>
      </c>
      <c r="E62" s="61">
        <v>-353</v>
      </c>
      <c r="F62" s="61">
        <v>-2855</v>
      </c>
      <c r="G62" s="11"/>
      <c r="H62" s="11"/>
      <c r="I62" s="11"/>
      <c r="J62" s="11"/>
      <c r="K62" s="11"/>
    </row>
    <row r="63" spans="1:11" ht="16.5" hidden="1" customHeight="1" outlineLevel="1" x14ac:dyDescent="0.45">
      <c r="B63" s="17" t="s">
        <v>77</v>
      </c>
      <c r="C63" s="17"/>
      <c r="D63" s="28">
        <f>SUM(D62)</f>
        <v>-31012</v>
      </c>
      <c r="E63" s="28">
        <f t="shared" ref="E63:F63" si="15">SUM(E62)</f>
        <v>-353</v>
      </c>
      <c r="F63" s="28">
        <f t="shared" si="15"/>
        <v>-2855</v>
      </c>
      <c r="G63" s="11"/>
      <c r="H63" s="11"/>
      <c r="I63" s="11"/>
      <c r="J63" s="11"/>
      <c r="K63" s="11"/>
    </row>
    <row r="64" spans="1:11" ht="16.5" hidden="1" customHeight="1" outlineLevel="1" x14ac:dyDescent="0.45">
      <c r="B64" s="11"/>
      <c r="C64" s="11"/>
      <c r="D64" s="26"/>
      <c r="E64" s="26"/>
      <c r="F64" s="26"/>
      <c r="G64" s="11"/>
      <c r="H64" s="11"/>
      <c r="I64" s="11"/>
      <c r="J64" s="11"/>
      <c r="K64" s="11"/>
    </row>
    <row r="65" spans="1:11" ht="16.5" hidden="1" customHeight="1" outlineLevel="1" x14ac:dyDescent="0.45">
      <c r="B65" s="17" t="s">
        <v>78</v>
      </c>
      <c r="C65" s="17"/>
      <c r="D65" s="26"/>
      <c r="E65" s="26"/>
      <c r="F65" s="26"/>
      <c r="G65" s="11"/>
      <c r="H65" s="11"/>
      <c r="I65" s="11"/>
      <c r="J65" s="26"/>
      <c r="K65" s="11"/>
    </row>
    <row r="66" spans="1:11" ht="16.5" hidden="1" customHeight="1" outlineLevel="1" x14ac:dyDescent="0.45">
      <c r="B66" s="11" t="s">
        <v>79</v>
      </c>
      <c r="C66" s="11"/>
      <c r="D66" s="26">
        <f>D29</f>
        <v>26241</v>
      </c>
      <c r="E66" s="26">
        <f>E29-D29</f>
        <v>5659</v>
      </c>
      <c r="F66" s="26">
        <f>F29-E29</f>
        <v>12427</v>
      </c>
      <c r="G66" s="11"/>
      <c r="H66" s="11"/>
      <c r="I66" s="11"/>
      <c r="J66" s="26"/>
      <c r="K66" s="11"/>
    </row>
    <row r="67" spans="1:11" ht="16.5" hidden="1" customHeight="1" outlineLevel="1" x14ac:dyDescent="0.45">
      <c r="B67" s="23" t="s">
        <v>80</v>
      </c>
      <c r="C67" s="23"/>
      <c r="D67" s="61">
        <v>10259</v>
      </c>
      <c r="E67" s="61">
        <v>-2937</v>
      </c>
      <c r="F67" s="61">
        <v>-5505</v>
      </c>
      <c r="G67" s="11"/>
      <c r="H67" s="11"/>
      <c r="I67" s="11"/>
      <c r="J67" s="11"/>
      <c r="K67" s="11"/>
    </row>
    <row r="68" spans="1:11" ht="16.5" hidden="1" customHeight="1" outlineLevel="1" x14ac:dyDescent="0.45">
      <c r="B68" s="17" t="s">
        <v>81</v>
      </c>
      <c r="C68" s="17"/>
      <c r="D68" s="28">
        <f>SUM(D66:D67)</f>
        <v>36500</v>
      </c>
      <c r="E68" s="28">
        <f t="shared" ref="E68:F68" si="16">SUM(E66:E67)</f>
        <v>2722</v>
      </c>
      <c r="F68" s="28">
        <f t="shared" si="16"/>
        <v>6922</v>
      </c>
      <c r="G68" s="11"/>
      <c r="H68" s="11"/>
      <c r="I68" s="11"/>
      <c r="J68" s="11"/>
      <c r="K68" s="11"/>
    </row>
    <row r="69" spans="1:11" ht="16.5" hidden="1" customHeight="1" outlineLevel="1" x14ac:dyDescent="0.45">
      <c r="B69" s="11"/>
      <c r="C69" s="11"/>
      <c r="D69" s="26"/>
      <c r="E69" s="26"/>
      <c r="F69" s="26"/>
      <c r="G69" s="11"/>
      <c r="H69" s="11"/>
      <c r="I69" s="11"/>
      <c r="J69" s="11"/>
      <c r="K69" s="11"/>
    </row>
    <row r="70" spans="1:11" ht="16.5" hidden="1" customHeight="1" outlineLevel="1" x14ac:dyDescent="0.45">
      <c r="B70" s="11" t="s">
        <v>82</v>
      </c>
      <c r="C70" s="11"/>
      <c r="D70" s="26">
        <f>D59+D63+D68</f>
        <v>7438</v>
      </c>
      <c r="E70" s="26">
        <f t="shared" ref="E70:F70" si="17">E59+E63+E68</f>
        <v>7963.55</v>
      </c>
      <c r="F70" s="26">
        <f t="shared" si="17"/>
        <v>16058</v>
      </c>
      <c r="G70" s="11"/>
      <c r="H70" s="11"/>
      <c r="I70" s="11"/>
      <c r="J70" s="11"/>
      <c r="K70" s="11"/>
    </row>
    <row r="71" spans="1:11" ht="16.5" hidden="1" customHeight="1" outlineLevel="1" x14ac:dyDescent="0.45">
      <c r="B71" s="23" t="s">
        <v>83</v>
      </c>
      <c r="C71" s="23"/>
      <c r="D71" s="61">
        <v>0</v>
      </c>
      <c r="E71" s="62">
        <f>D72</f>
        <v>7438</v>
      </c>
      <c r="F71" s="62">
        <f>E72</f>
        <v>15401.55</v>
      </c>
      <c r="G71" s="11"/>
      <c r="H71" s="11"/>
      <c r="I71" s="11"/>
      <c r="J71" s="11"/>
      <c r="K71" s="11"/>
    </row>
    <row r="72" spans="1:11" ht="16.5" hidden="1" customHeight="1" outlineLevel="1" x14ac:dyDescent="0.45">
      <c r="B72" s="17" t="s">
        <v>84</v>
      </c>
      <c r="C72" s="17"/>
      <c r="D72" s="28">
        <f>SUM(D70:D71)</f>
        <v>7438</v>
      </c>
      <c r="E72" s="28">
        <f t="shared" ref="E72:F72" si="18">SUM(E70:E71)</f>
        <v>15401.55</v>
      </c>
      <c r="F72" s="28">
        <f t="shared" si="18"/>
        <v>31459.55</v>
      </c>
      <c r="G72" s="11"/>
      <c r="H72" s="11"/>
      <c r="I72" s="11"/>
      <c r="J72" s="11"/>
      <c r="K72" s="11"/>
    </row>
    <row r="73" spans="1:11" ht="16.5" hidden="1" customHeight="1" outlineLevel="1" x14ac:dyDescent="0.45">
      <c r="B73" s="11"/>
      <c r="C73" s="11"/>
      <c r="D73" s="11"/>
      <c r="E73" s="11"/>
      <c r="F73" s="11"/>
      <c r="G73" s="11"/>
      <c r="H73" s="11"/>
    </row>
    <row r="74" spans="1:11" collapsed="1" x14ac:dyDescent="0.45">
      <c r="B74" s="11"/>
      <c r="C74" s="11"/>
      <c r="D74" s="11"/>
      <c r="E74" s="11"/>
      <c r="F74" s="11"/>
      <c r="G74" s="11"/>
      <c r="H74" s="11"/>
    </row>
    <row r="75" spans="1:11" x14ac:dyDescent="0.45">
      <c r="A75" s="10"/>
      <c r="B75" s="16" t="s">
        <v>85</v>
      </c>
      <c r="C75" s="16"/>
      <c r="D75" s="16"/>
      <c r="E75" s="16"/>
      <c r="F75" s="16"/>
      <c r="G75" s="10"/>
      <c r="H75" s="10"/>
    </row>
    <row r="76" spans="1:11" ht="16.5" hidden="1" customHeight="1" outlineLevel="1" x14ac:dyDescent="0.45">
      <c r="B76" s="11" t="s">
        <v>86</v>
      </c>
      <c r="C76" s="11"/>
      <c r="D76" s="11"/>
      <c r="E76" s="11"/>
      <c r="F76" s="11"/>
      <c r="G76" s="11"/>
      <c r="H76" s="11"/>
    </row>
    <row r="77" spans="1:11" ht="16.5" hidden="1" customHeight="1" outlineLevel="1" x14ac:dyDescent="0.45">
      <c r="B77" s="11" t="s">
        <v>87</v>
      </c>
      <c r="C77" s="11"/>
      <c r="D77" s="63">
        <v>102</v>
      </c>
      <c r="E77" s="63">
        <v>460</v>
      </c>
      <c r="F77" s="63">
        <v>782</v>
      </c>
      <c r="G77" s="11"/>
      <c r="H77" s="11"/>
    </row>
    <row r="78" spans="1:11" ht="16.5" hidden="1" customHeight="1" outlineLevel="1" x14ac:dyDescent="0.45">
      <c r="B78" s="11" t="s">
        <v>88</v>
      </c>
      <c r="C78" s="11"/>
      <c r="D78" s="64">
        <v>38.6</v>
      </c>
      <c r="E78" s="64">
        <v>40.6</v>
      </c>
      <c r="F78" s="64">
        <v>42.7</v>
      </c>
      <c r="G78" s="11"/>
      <c r="H78" s="11"/>
    </row>
    <row r="79" spans="1:11" ht="16.5" hidden="1" customHeight="1" outlineLevel="1" x14ac:dyDescent="0.45">
      <c r="B79" s="11"/>
      <c r="C79" s="11"/>
      <c r="D79" s="11"/>
      <c r="E79" s="11"/>
      <c r="F79" s="11"/>
      <c r="G79" s="11"/>
      <c r="H79" s="11"/>
    </row>
    <row r="80" spans="1:11" ht="16.5" hidden="1" customHeight="1" outlineLevel="1" x14ac:dyDescent="0.45">
      <c r="B80" s="11" t="s">
        <v>37</v>
      </c>
      <c r="C80" s="11"/>
      <c r="D80" s="65">
        <v>890</v>
      </c>
      <c r="E80" s="65">
        <v>1959</v>
      </c>
      <c r="F80" s="65">
        <v>3206</v>
      </c>
      <c r="G80" s="11"/>
      <c r="H80" s="11"/>
    </row>
    <row r="81" spans="1:11" ht="16.5" hidden="1" customHeight="1" outlineLevel="1" x14ac:dyDescent="0.45">
      <c r="B81" s="11" t="s">
        <v>38</v>
      </c>
      <c r="C81" s="11"/>
      <c r="D81" s="65">
        <v>1670</v>
      </c>
      <c r="E81" s="65">
        <v>4040</v>
      </c>
      <c r="F81" s="65">
        <v>6538</v>
      </c>
      <c r="G81" s="11"/>
      <c r="H81" s="11"/>
    </row>
    <row r="82" spans="1:11" ht="16.5" hidden="1" customHeight="1" outlineLevel="1" x14ac:dyDescent="0.45">
      <c r="B82" s="23" t="s">
        <v>39</v>
      </c>
      <c r="C82" s="23"/>
      <c r="D82" s="66">
        <v>290</v>
      </c>
      <c r="E82" s="66">
        <v>776</v>
      </c>
      <c r="F82" s="66">
        <v>1966</v>
      </c>
      <c r="G82" s="11"/>
      <c r="H82" s="11"/>
    </row>
    <row r="83" spans="1:11" ht="16.5" hidden="1" customHeight="1" outlineLevel="1" x14ac:dyDescent="0.45">
      <c r="B83" s="17" t="s">
        <v>47</v>
      </c>
      <c r="C83" s="17"/>
      <c r="D83" s="31">
        <f>SUM(D80:D82)</f>
        <v>2850</v>
      </c>
      <c r="E83" s="31">
        <f t="shared" ref="E83:F83" si="19">SUM(E80:E82)</f>
        <v>6775</v>
      </c>
      <c r="F83" s="31">
        <f t="shared" si="19"/>
        <v>11710</v>
      </c>
      <c r="G83" s="11"/>
      <c r="H83" s="11"/>
    </row>
    <row r="84" spans="1:11" ht="16.5" hidden="1" customHeight="1" outlineLevel="1" x14ac:dyDescent="0.45">
      <c r="B84" s="11" t="s">
        <v>43</v>
      </c>
      <c r="C84" s="11"/>
      <c r="D84" s="32">
        <f>D80/D$77</f>
        <v>8.7254901960784306</v>
      </c>
      <c r="E84" s="32">
        <f t="shared" ref="E84:F84" si="20">E80/E$77</f>
        <v>4.2586956521739134</v>
      </c>
      <c r="F84" s="32">
        <f t="shared" si="20"/>
        <v>4.0997442455242963</v>
      </c>
      <c r="G84" s="11"/>
      <c r="H84" s="11"/>
    </row>
    <row r="85" spans="1:11" ht="16.5" hidden="1" customHeight="1" outlineLevel="1" x14ac:dyDescent="0.45">
      <c r="B85" s="11" t="s">
        <v>44</v>
      </c>
      <c r="C85" s="11"/>
      <c r="D85" s="32">
        <f t="shared" ref="D85:F85" si="21">D81/D$77</f>
        <v>16.372549019607842</v>
      </c>
      <c r="E85" s="32">
        <f t="shared" si="21"/>
        <v>8.7826086956521738</v>
      </c>
      <c r="F85" s="32">
        <f t="shared" si="21"/>
        <v>8.3606138107416879</v>
      </c>
      <c r="G85" s="11"/>
      <c r="H85" s="11"/>
      <c r="I85" s="11"/>
      <c r="J85" s="11"/>
      <c r="K85" s="11"/>
    </row>
    <row r="86" spans="1:11" ht="16.5" hidden="1" customHeight="1" outlineLevel="1" x14ac:dyDescent="0.45">
      <c r="B86" s="23" t="s">
        <v>45</v>
      </c>
      <c r="C86" s="23"/>
      <c r="D86" s="33">
        <f t="shared" ref="D86:F87" si="22">D82/D$77</f>
        <v>2.8431372549019609</v>
      </c>
      <c r="E86" s="33">
        <f t="shared" si="22"/>
        <v>1.6869565217391305</v>
      </c>
      <c r="F86" s="33">
        <f t="shared" si="22"/>
        <v>2.5140664961636827</v>
      </c>
      <c r="G86" s="11"/>
      <c r="H86" s="11"/>
      <c r="I86" s="11"/>
      <c r="J86" s="11"/>
      <c r="K86" s="11"/>
    </row>
    <row r="87" spans="1:11" ht="16.5" hidden="1" customHeight="1" outlineLevel="1" x14ac:dyDescent="0.45">
      <c r="B87" s="17" t="s">
        <v>46</v>
      </c>
      <c r="C87" s="17"/>
      <c r="D87" s="34">
        <f t="shared" si="22"/>
        <v>27.941176470588236</v>
      </c>
      <c r="E87" s="34">
        <f t="shared" si="22"/>
        <v>14.728260869565217</v>
      </c>
      <c r="F87" s="34">
        <f t="shared" si="22"/>
        <v>14.974424552429667</v>
      </c>
      <c r="G87" s="11"/>
      <c r="H87" s="11"/>
      <c r="I87" s="11"/>
      <c r="J87" s="11"/>
      <c r="K87" s="11"/>
    </row>
    <row r="88" spans="1:11" ht="16.5" hidden="1" customHeight="1" outlineLevel="1" x14ac:dyDescent="0.45"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6.5" hidden="1" customHeight="1" outlineLevel="1" x14ac:dyDescent="0.45">
      <c r="B89" s="11" t="s">
        <v>89</v>
      </c>
      <c r="C89" s="11"/>
      <c r="D89" s="65">
        <v>400</v>
      </c>
      <c r="E89" s="65">
        <v>400</v>
      </c>
      <c r="F89" s="65">
        <v>460</v>
      </c>
      <c r="G89" s="11"/>
      <c r="H89" s="11"/>
      <c r="I89" s="11"/>
      <c r="J89" s="11"/>
      <c r="K89" s="11"/>
    </row>
    <row r="90" spans="1:11" ht="16.5" hidden="1" customHeight="1" outlineLevel="1" x14ac:dyDescent="0.45">
      <c r="B90" s="11" t="s">
        <v>50</v>
      </c>
      <c r="C90" s="11"/>
      <c r="D90" s="65">
        <v>667</v>
      </c>
      <c r="E90" s="65">
        <v>2025</v>
      </c>
      <c r="F90" s="65">
        <v>2600</v>
      </c>
      <c r="G90" s="11"/>
      <c r="H90" s="11"/>
      <c r="I90" s="11"/>
      <c r="J90" s="11"/>
      <c r="K90" s="11"/>
    </row>
    <row r="91" spans="1:11" ht="16.5" hidden="1" customHeight="1" outlineLevel="1" x14ac:dyDescent="0.45">
      <c r="B91" s="23" t="s">
        <v>112</v>
      </c>
      <c r="C91" s="23"/>
      <c r="D91" s="67">
        <v>0</v>
      </c>
      <c r="E91" s="66">
        <v>369</v>
      </c>
      <c r="F91" s="66">
        <v>408</v>
      </c>
      <c r="G91" s="11"/>
      <c r="H91" s="11"/>
      <c r="I91" s="11"/>
      <c r="J91" s="11"/>
      <c r="K91" s="11"/>
    </row>
    <row r="92" spans="1:11" ht="16.5" hidden="1" customHeight="1" outlineLevel="1" x14ac:dyDescent="0.45">
      <c r="B92" s="17" t="s">
        <v>51</v>
      </c>
      <c r="C92" s="17"/>
      <c r="D92" s="31">
        <f>SUM(D89:D91)</f>
        <v>1067</v>
      </c>
      <c r="E92" s="31">
        <f t="shared" ref="E92:F92" si="23">SUM(E89:E91)</f>
        <v>2794</v>
      </c>
      <c r="F92" s="31">
        <f t="shared" si="23"/>
        <v>3468</v>
      </c>
      <c r="G92" s="11"/>
      <c r="H92" s="11"/>
      <c r="I92" s="11"/>
      <c r="J92" s="11"/>
      <c r="K92" s="11"/>
    </row>
    <row r="93" spans="1:11" ht="16.5" hidden="1" customHeight="1" outlineLevel="1" x14ac:dyDescent="0.45"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collapsed="1" x14ac:dyDescent="0.45"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45">
      <c r="A95" s="10"/>
      <c r="B95" s="16" t="s">
        <v>90</v>
      </c>
      <c r="C95" s="16"/>
      <c r="D95" s="16"/>
      <c r="E95" s="16"/>
      <c r="F95" s="16"/>
      <c r="G95" s="10"/>
      <c r="H95" s="10"/>
      <c r="I95" s="11"/>
      <c r="J95" s="11"/>
      <c r="K95" s="11"/>
    </row>
    <row r="96" spans="1:11" ht="16.5" hidden="1" customHeight="1" outlineLevel="1" x14ac:dyDescent="0.45">
      <c r="A96" s="19"/>
      <c r="B96" s="18"/>
      <c r="C96" s="18"/>
      <c r="D96" s="18"/>
      <c r="E96" s="18"/>
      <c r="F96" s="18"/>
      <c r="G96" s="19"/>
      <c r="H96" s="11"/>
      <c r="I96" s="11"/>
      <c r="J96" s="11"/>
      <c r="K96" s="11"/>
    </row>
    <row r="97" spans="1:11" ht="16.5" hidden="1" customHeight="1" outlineLevel="1" x14ac:dyDescent="0.45">
      <c r="A97" s="35"/>
      <c r="B97" s="36" t="s">
        <v>91</v>
      </c>
      <c r="C97" s="36"/>
      <c r="D97" s="37"/>
      <c r="E97" s="37"/>
      <c r="F97" s="37"/>
      <c r="G97" s="37"/>
      <c r="H97" s="11"/>
      <c r="I97" s="11"/>
      <c r="J97" s="11"/>
      <c r="K97" s="11"/>
    </row>
    <row r="98" spans="1:11" ht="16.5" hidden="1" customHeight="1" outlineLevel="1" x14ac:dyDescent="0.45">
      <c r="B98" s="11" t="s">
        <v>25</v>
      </c>
      <c r="C98" s="11"/>
      <c r="D98" s="13">
        <f>D11/D24</f>
        <v>2.8439612106964445</v>
      </c>
      <c r="E98" s="13">
        <f>E11/E24</f>
        <v>3.2471214738054117</v>
      </c>
      <c r="F98" s="13">
        <f>F11/F24</f>
        <v>3.3886781851383621</v>
      </c>
    </row>
    <row r="99" spans="1:11" ht="16.5" hidden="1" customHeight="1" outlineLevel="1" x14ac:dyDescent="0.45">
      <c r="B99" s="11" t="s">
        <v>26</v>
      </c>
      <c r="C99" s="11"/>
      <c r="D99" s="13">
        <f>(D11-D10)/D24</f>
        <v>2.4619453423449897</v>
      </c>
      <c r="E99" s="13">
        <f>(E11-E10)/E24</f>
        <v>3.022740356937248</v>
      </c>
      <c r="F99" s="13">
        <f>(F11-F10)/F24</f>
        <v>3.2483494872875402</v>
      </c>
    </row>
    <row r="100" spans="1:11" ht="16.5" hidden="1" customHeight="1" outlineLevel="1" x14ac:dyDescent="0.45">
      <c r="B100" s="11"/>
      <c r="C100" s="11"/>
      <c r="D100" s="13"/>
      <c r="E100" s="13"/>
      <c r="F100" s="13"/>
    </row>
    <row r="101" spans="1:11" ht="16.5" hidden="1" customHeight="1" outlineLevel="1" x14ac:dyDescent="0.45">
      <c r="A101" s="35"/>
      <c r="B101" s="36" t="s">
        <v>92</v>
      </c>
      <c r="C101" s="36"/>
      <c r="D101" s="37"/>
      <c r="E101" s="37"/>
      <c r="F101" s="37"/>
      <c r="G101" s="37"/>
    </row>
    <row r="102" spans="1:11" ht="16.5" hidden="1" customHeight="1" outlineLevel="1" x14ac:dyDescent="0.45">
      <c r="B102" s="11" t="s">
        <v>27</v>
      </c>
      <c r="C102" s="11"/>
      <c r="D102" s="14">
        <f>D26/D17</f>
        <v>0.34233082706766915</v>
      </c>
      <c r="E102" s="14">
        <f>E26/E17</f>
        <v>0.47879223580158159</v>
      </c>
      <c r="F102" s="14">
        <f>F26/F17</f>
        <v>0.4943592083499686</v>
      </c>
    </row>
    <row r="103" spans="1:11" ht="16.5" hidden="1" customHeight="1" outlineLevel="1" x14ac:dyDescent="0.45">
      <c r="B103" s="11" t="s">
        <v>28</v>
      </c>
      <c r="C103" s="11"/>
      <c r="D103" s="14">
        <f>D26/D29</f>
        <v>0.52052132159597575</v>
      </c>
      <c r="E103" s="14">
        <f>E26/E29</f>
        <v>0.91862068965517241</v>
      </c>
      <c r="F103" s="14">
        <f>F26/F29</f>
        <v>0.97768854197216148</v>
      </c>
    </row>
    <row r="104" spans="1:11" ht="16.5" hidden="1" customHeight="1" outlineLevel="1" x14ac:dyDescent="0.45">
      <c r="B104" s="11"/>
      <c r="C104" s="11"/>
      <c r="D104" s="14"/>
      <c r="E104" s="14"/>
      <c r="F104" s="14"/>
    </row>
    <row r="105" spans="1:11" ht="16.5" hidden="1" customHeight="1" outlineLevel="1" x14ac:dyDescent="0.45">
      <c r="A105" s="35"/>
      <c r="B105" s="36" t="s">
        <v>93</v>
      </c>
      <c r="C105" s="36"/>
      <c r="D105" s="37"/>
      <c r="E105" s="37"/>
      <c r="F105" s="37"/>
      <c r="G105" s="37"/>
    </row>
    <row r="106" spans="1:11" ht="16.5" hidden="1" customHeight="1" outlineLevel="1" x14ac:dyDescent="0.45">
      <c r="B106" s="11" t="s">
        <v>29</v>
      </c>
      <c r="C106" s="11"/>
      <c r="D106" s="13">
        <f>D35/D17</f>
        <v>0.14035087719298245</v>
      </c>
      <c r="E106" s="13">
        <f>E35/E17</f>
        <v>0.30520880988170707</v>
      </c>
      <c r="F106" s="13">
        <f>F35/F17</f>
        <v>0.3804939257400331</v>
      </c>
    </row>
    <row r="107" spans="1:11" ht="16.5" hidden="1" customHeight="1" outlineLevel="1" x14ac:dyDescent="0.45">
      <c r="B107" s="11" t="s">
        <v>30</v>
      </c>
      <c r="C107" s="11"/>
      <c r="D107" s="13">
        <f>-D36/D10</f>
        <v>2.1923076923076925</v>
      </c>
      <c r="E107" s="13">
        <f>-E36/E10</f>
        <v>4.3457344451571522</v>
      </c>
      <c r="F107" s="13">
        <f>-F36/F10</f>
        <v>5.8608608608608606</v>
      </c>
    </row>
    <row r="108" spans="1:11" ht="16.5" hidden="1" customHeight="1" outlineLevel="1" x14ac:dyDescent="0.45">
      <c r="B108" s="11" t="s">
        <v>31</v>
      </c>
      <c r="C108" s="11"/>
      <c r="D108" s="13">
        <f>D35*0.88/D9</f>
        <v>5.2425531914893613</v>
      </c>
      <c r="E108" s="13">
        <f>E35*0.88/E9</f>
        <v>2.9354285714285715</v>
      </c>
      <c r="F108" s="13">
        <f>F35*0.88/F9</f>
        <v>1.9846707234617984</v>
      </c>
    </row>
    <row r="109" spans="1:11" ht="16.5" hidden="1" customHeight="1" outlineLevel="1" x14ac:dyDescent="0.45">
      <c r="B109" s="11" t="s">
        <v>32</v>
      </c>
      <c r="C109" s="11"/>
      <c r="D109" s="15">
        <f>365/D107</f>
        <v>166.49122807017542</v>
      </c>
      <c r="E109" s="15">
        <f t="shared" ref="E109:F109" si="24">365/E107</f>
        <v>83.990405904059031</v>
      </c>
      <c r="F109" s="15">
        <f t="shared" si="24"/>
        <v>62.277540563620839</v>
      </c>
    </row>
    <row r="110" spans="1:11" ht="16.5" hidden="1" customHeight="1" outlineLevel="1" x14ac:dyDescent="0.45">
      <c r="B110" s="11"/>
      <c r="C110" s="11"/>
      <c r="D110" s="15"/>
      <c r="E110" s="15"/>
      <c r="F110" s="15"/>
    </row>
    <row r="111" spans="1:11" ht="16.5" hidden="1" customHeight="1" outlineLevel="1" x14ac:dyDescent="0.45">
      <c r="A111" s="35"/>
      <c r="B111" s="36" t="s">
        <v>94</v>
      </c>
      <c r="C111" s="36"/>
      <c r="D111" s="37"/>
      <c r="E111" s="37"/>
      <c r="F111" s="37"/>
      <c r="G111" s="37"/>
    </row>
    <row r="112" spans="1:11" ht="16.5" hidden="1" customHeight="1" outlineLevel="1" x14ac:dyDescent="0.45">
      <c r="B112" s="11" t="s">
        <v>33</v>
      </c>
      <c r="C112" s="11"/>
      <c r="D112" s="14">
        <f>D50/D17</f>
        <v>-6.5914786967418548E-3</v>
      </c>
      <c r="E112" s="14">
        <f>E50/E17</f>
        <v>9.6702012940330706E-2</v>
      </c>
      <c r="F112" s="14">
        <f>F50/F17</f>
        <v>0.14175554668339702</v>
      </c>
    </row>
    <row r="113" spans="2:6" ht="16.5" hidden="1" customHeight="1" outlineLevel="1" x14ac:dyDescent="0.45">
      <c r="B113" s="11" t="s">
        <v>34</v>
      </c>
      <c r="C113" s="11"/>
      <c r="D113" s="14">
        <f>D50/D29</f>
        <v>-1.0022483899241645E-2</v>
      </c>
      <c r="E113" s="14">
        <f>E50/E29</f>
        <v>0.18553448275862069</v>
      </c>
      <c r="F113" s="14">
        <f>F50/F29</f>
        <v>0.28034832043675412</v>
      </c>
    </row>
    <row r="114" spans="2:6" ht="16.5" hidden="1" customHeight="1" outlineLevel="1" x14ac:dyDescent="0.45">
      <c r="B114" s="11" t="s">
        <v>35</v>
      </c>
      <c r="C114" s="11"/>
      <c r="D114" s="14">
        <f>D81/D35</f>
        <v>0.29821428571428571</v>
      </c>
      <c r="E114" s="14">
        <f t="shared" ref="E114:F114" si="25">E81/E35</f>
        <v>0.21627408993576017</v>
      </c>
      <c r="F114" s="14">
        <f t="shared" si="25"/>
        <v>0.19600671543350523</v>
      </c>
    </row>
    <row r="115" spans="2:6" ht="16.5" hidden="1" customHeight="1" outlineLevel="1" x14ac:dyDescent="0.45">
      <c r="B115" s="11" t="s">
        <v>36</v>
      </c>
      <c r="C115" s="11"/>
      <c r="D115" s="14">
        <f>D80/D35</f>
        <v>0.15892857142857142</v>
      </c>
      <c r="E115" s="14">
        <f t="shared" ref="E115:F115" si="26">E80/E35</f>
        <v>0.10487152034261242</v>
      </c>
      <c r="F115" s="14">
        <f t="shared" si="26"/>
        <v>9.6114642043410484E-2</v>
      </c>
    </row>
    <row r="116" spans="2:6" ht="16.5" hidden="1" customHeight="1" outlineLevel="1" x14ac:dyDescent="0.45"/>
    <row r="117" spans="2:6" collapsed="1" x14ac:dyDescent="0.4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4.5" x14ac:dyDescent="0.4"/>
  <cols>
    <col min="1" max="1" width="5.90625" style="11" customWidth="1"/>
    <col min="2" max="2" width="24.08984375" style="11" customWidth="1"/>
    <col min="3" max="5" width="19" style="11" customWidth="1"/>
    <col min="6" max="16384" width="9.08984375" style="11"/>
  </cols>
  <sheetData>
    <row r="1" spans="1:6" ht="18" x14ac:dyDescent="0.5">
      <c r="A1" s="1" t="s">
        <v>58</v>
      </c>
      <c r="B1" s="2"/>
      <c r="C1" s="2"/>
      <c r="D1" s="2"/>
      <c r="E1" s="3"/>
      <c r="F1" s="3"/>
    </row>
    <row r="2" spans="1:6" ht="18" x14ac:dyDescent="0.5">
      <c r="A2" s="2"/>
      <c r="B2" s="25" t="s">
        <v>59</v>
      </c>
      <c r="C2" s="4"/>
      <c r="D2" s="4"/>
      <c r="E2" s="4"/>
      <c r="F2" s="5"/>
    </row>
    <row r="4" spans="1:6" ht="29" x14ac:dyDescent="0.4">
      <c r="B4" s="119" t="s">
        <v>120</v>
      </c>
      <c r="C4" s="120" t="s">
        <v>95</v>
      </c>
      <c r="D4" s="120" t="s">
        <v>96</v>
      </c>
      <c r="E4" s="120" t="s">
        <v>97</v>
      </c>
    </row>
    <row r="5" spans="1:6" x14ac:dyDescent="0.4">
      <c r="B5" s="11" t="s">
        <v>54</v>
      </c>
      <c r="C5" s="44" t="s">
        <v>55</v>
      </c>
      <c r="D5" s="44" t="s">
        <v>56</v>
      </c>
      <c r="E5" s="44" t="s">
        <v>98</v>
      </c>
    </row>
    <row r="6" spans="1:6" x14ac:dyDescent="0.4">
      <c r="B6" s="11" t="s">
        <v>99</v>
      </c>
      <c r="C6" s="68">
        <v>600</v>
      </c>
      <c r="D6" s="68">
        <v>520</v>
      </c>
      <c r="E6" s="68">
        <v>300</v>
      </c>
    </row>
    <row r="7" spans="1:6" x14ac:dyDescent="0.4">
      <c r="B7" s="11" t="s">
        <v>40</v>
      </c>
      <c r="C7" s="69">
        <v>550</v>
      </c>
      <c r="D7" s="69">
        <v>360</v>
      </c>
      <c r="E7" s="69">
        <v>320</v>
      </c>
    </row>
    <row r="8" spans="1:6" x14ac:dyDescent="0.4">
      <c r="B8" s="23" t="s">
        <v>41</v>
      </c>
      <c r="C8" s="70">
        <v>55</v>
      </c>
      <c r="D8" s="71">
        <v>30</v>
      </c>
      <c r="E8" s="71">
        <v>76</v>
      </c>
    </row>
    <row r="9" spans="1:6" x14ac:dyDescent="0.4">
      <c r="B9" s="17" t="s">
        <v>42</v>
      </c>
      <c r="C9" s="38">
        <f>C7*C8</f>
        <v>30250</v>
      </c>
      <c r="D9" s="38">
        <f>D7*D8</f>
        <v>10800</v>
      </c>
      <c r="E9" s="38">
        <f>E7*E8</f>
        <v>24320</v>
      </c>
    </row>
    <row r="10" spans="1:6" x14ac:dyDescent="0.4">
      <c r="B10" s="11" t="s">
        <v>43</v>
      </c>
      <c r="C10" s="72">
        <v>5.7</v>
      </c>
      <c r="D10" s="72">
        <v>2.4</v>
      </c>
      <c r="E10" s="73">
        <v>6.8</v>
      </c>
    </row>
    <row r="11" spans="1:6" x14ac:dyDescent="0.4">
      <c r="B11" s="11" t="s">
        <v>44</v>
      </c>
      <c r="C11" s="72">
        <v>10.199999999999999</v>
      </c>
      <c r="D11" s="72">
        <v>5.5</v>
      </c>
      <c r="E11" s="73">
        <v>12.5</v>
      </c>
    </row>
    <row r="12" spans="1:6" x14ac:dyDescent="0.4">
      <c r="B12" s="11" t="s">
        <v>45</v>
      </c>
      <c r="C12" s="72">
        <v>2.8</v>
      </c>
      <c r="D12" s="72">
        <v>1.1000000000000001</v>
      </c>
      <c r="E12" s="73">
        <v>3.1</v>
      </c>
    </row>
    <row r="13" spans="1:6" x14ac:dyDescent="0.4">
      <c r="B13" s="23" t="s">
        <v>46</v>
      </c>
      <c r="C13" s="39">
        <f>SUM(C10:C12)</f>
        <v>18.7</v>
      </c>
      <c r="D13" s="39">
        <f>SUM(D10:D12)</f>
        <v>9</v>
      </c>
      <c r="E13" s="40">
        <f>SUM(E10:E12)</f>
        <v>22.400000000000002</v>
      </c>
    </row>
    <row r="14" spans="1:6" x14ac:dyDescent="0.4">
      <c r="B14" s="17" t="s">
        <v>47</v>
      </c>
      <c r="C14" s="31">
        <f>C13*C7</f>
        <v>10285</v>
      </c>
      <c r="D14" s="31">
        <f>D13*D7</f>
        <v>3240</v>
      </c>
      <c r="E14" s="31">
        <f>E13*E7</f>
        <v>7168.0000000000009</v>
      </c>
    </row>
    <row r="15" spans="1:6" x14ac:dyDescent="0.4">
      <c r="B15" s="11" t="s">
        <v>48</v>
      </c>
      <c r="C15" s="65">
        <v>560</v>
      </c>
      <c r="D15" s="74">
        <v>180</v>
      </c>
      <c r="E15" s="74">
        <v>600</v>
      </c>
    </row>
    <row r="16" spans="1:6" x14ac:dyDescent="0.4">
      <c r="B16" s="11" t="s">
        <v>49</v>
      </c>
      <c r="C16" s="63">
        <v>2</v>
      </c>
      <c r="D16" s="63">
        <v>1</v>
      </c>
      <c r="E16" s="63">
        <v>2</v>
      </c>
    </row>
    <row r="17" spans="2:5" x14ac:dyDescent="0.4">
      <c r="B17" s="52" t="s">
        <v>50</v>
      </c>
      <c r="C17" s="53">
        <f>C16*3500</f>
        <v>7000</v>
      </c>
      <c r="D17" s="53">
        <v>3100</v>
      </c>
      <c r="E17" s="53">
        <v>8600</v>
      </c>
    </row>
    <row r="18" spans="2:5" x14ac:dyDescent="0.4">
      <c r="B18" s="23" t="s">
        <v>112</v>
      </c>
      <c r="C18" s="66">
        <v>1000</v>
      </c>
      <c r="D18" s="66">
        <v>1000</v>
      </c>
      <c r="E18" s="66">
        <v>1000</v>
      </c>
    </row>
    <row r="19" spans="2:5" x14ac:dyDescent="0.4">
      <c r="B19" s="24" t="s">
        <v>51</v>
      </c>
      <c r="C19" s="41">
        <f>C15+C17+C18</f>
        <v>8560</v>
      </c>
      <c r="D19" s="41">
        <f t="shared" ref="D19:E19" si="0">D15+D17+D18</f>
        <v>4280</v>
      </c>
      <c r="E19" s="41">
        <f t="shared" si="0"/>
        <v>10200</v>
      </c>
    </row>
    <row r="20" spans="2:5" x14ac:dyDescent="0.4">
      <c r="B20" s="17" t="s">
        <v>52</v>
      </c>
      <c r="C20" s="31">
        <f>C9-C14-C19</f>
        <v>11405</v>
      </c>
      <c r="D20" s="31">
        <f>D9-D14-D19</f>
        <v>3280</v>
      </c>
      <c r="E20" s="31">
        <f>E9-E14-E19</f>
        <v>6952</v>
      </c>
    </row>
    <row r="21" spans="2:5" x14ac:dyDescent="0.4">
      <c r="B21" s="42" t="s">
        <v>53</v>
      </c>
      <c r="C21" s="43">
        <f>C20/C9</f>
        <v>0.37702479338842976</v>
      </c>
      <c r="D21" s="43">
        <f>D20/D9</f>
        <v>0.3037037037037037</v>
      </c>
      <c r="E21" s="43">
        <f>E20/E9</f>
        <v>0.28585526315789472</v>
      </c>
    </row>
    <row r="23" spans="2:5" x14ac:dyDescent="0.4">
      <c r="B23" s="42" t="s">
        <v>35</v>
      </c>
      <c r="C23" s="43">
        <f>C11*C7/C9</f>
        <v>0.18545454545454546</v>
      </c>
      <c r="D23" s="43">
        <f>D11*D7/D9</f>
        <v>0.18333333333333332</v>
      </c>
      <c r="E23" s="43">
        <f>E11*E7/E9</f>
        <v>0.16447368421052633</v>
      </c>
    </row>
    <row r="25" spans="2:5" x14ac:dyDescent="0.4">
      <c r="B25" s="11" t="s">
        <v>127</v>
      </c>
      <c r="C25" s="65">
        <v>10000</v>
      </c>
      <c r="D25" s="65">
        <v>5000</v>
      </c>
      <c r="E25" s="65">
        <v>16000</v>
      </c>
    </row>
    <row r="27" spans="2:5" x14ac:dyDescent="0.4">
      <c r="B27" s="11" t="s">
        <v>142</v>
      </c>
      <c r="C27" s="118">
        <v>4</v>
      </c>
      <c r="D27" s="118">
        <v>3.5</v>
      </c>
      <c r="E27" s="11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4.5" outlineLevelRow="1" x14ac:dyDescent="0.4"/>
  <cols>
    <col min="1" max="1" width="5.90625" style="11" customWidth="1"/>
    <col min="2" max="2" width="36" style="11" customWidth="1"/>
    <col min="3" max="3" width="10.36328125" style="11" customWidth="1"/>
    <col min="4" max="11" width="12.453125" style="11" customWidth="1"/>
    <col min="12" max="16384" width="9.08984375" style="11"/>
  </cols>
  <sheetData>
    <row r="1" spans="1:11" x14ac:dyDescent="0.4">
      <c r="A1" s="1" t="s">
        <v>58</v>
      </c>
      <c r="B1" s="47"/>
      <c r="C1" s="47"/>
      <c r="D1" s="47"/>
      <c r="E1" s="47"/>
      <c r="F1" s="48"/>
      <c r="G1" s="48"/>
      <c r="H1" s="48"/>
      <c r="I1" s="48"/>
      <c r="J1" s="48"/>
      <c r="K1" s="48"/>
    </row>
    <row r="2" spans="1:11" ht="18" customHeight="1" x14ac:dyDescent="0.45">
      <c r="A2" s="47"/>
      <c r="B2" s="25" t="s">
        <v>59</v>
      </c>
      <c r="C2" s="25"/>
      <c r="D2" s="143">
        <v>42369</v>
      </c>
      <c r="E2" s="143">
        <v>42735</v>
      </c>
      <c r="F2" s="143">
        <v>43100</v>
      </c>
      <c r="G2" s="143">
        <v>43465</v>
      </c>
      <c r="H2" s="143">
        <v>43830</v>
      </c>
      <c r="I2" s="143">
        <v>44196</v>
      </c>
      <c r="J2" s="143">
        <v>44561</v>
      </c>
      <c r="K2" s="143">
        <v>44926</v>
      </c>
    </row>
    <row r="4" spans="1:11" x14ac:dyDescent="0.4">
      <c r="A4" s="10"/>
      <c r="B4" s="16" t="s">
        <v>102</v>
      </c>
      <c r="C4" s="16"/>
      <c r="D4" s="16"/>
      <c r="E4" s="16"/>
      <c r="F4" s="16"/>
      <c r="G4" s="16"/>
      <c r="H4" s="16"/>
      <c r="I4" s="16"/>
      <c r="J4" s="10"/>
      <c r="K4" s="10"/>
    </row>
    <row r="5" spans="1:11" x14ac:dyDescent="0.4">
      <c r="A5" s="19"/>
      <c r="B5" s="21" t="s">
        <v>129</v>
      </c>
      <c r="C5" s="18"/>
      <c r="D5" s="18"/>
      <c r="E5" s="18"/>
      <c r="F5" s="18"/>
      <c r="G5" s="114">
        <v>0.2</v>
      </c>
      <c r="H5" s="114">
        <v>0.2</v>
      </c>
      <c r="I5" s="114">
        <v>0.2</v>
      </c>
      <c r="J5" s="114">
        <v>0.2</v>
      </c>
      <c r="K5" s="114">
        <v>0.2</v>
      </c>
    </row>
    <row r="6" spans="1:11" outlineLevel="1" x14ac:dyDescent="0.4">
      <c r="B6" s="11" t="s">
        <v>133</v>
      </c>
      <c r="G6" s="51" t="s">
        <v>103</v>
      </c>
      <c r="H6" s="50">
        <v>0.15</v>
      </c>
      <c r="I6" s="50">
        <v>0.15</v>
      </c>
      <c r="J6" s="50">
        <v>0.15</v>
      </c>
      <c r="K6" s="50">
        <v>0.15</v>
      </c>
    </row>
    <row r="7" spans="1:11" outlineLevel="1" x14ac:dyDescent="0.4">
      <c r="B7" s="11" t="s">
        <v>107</v>
      </c>
      <c r="G7" s="50">
        <v>0.15</v>
      </c>
      <c r="H7" s="50">
        <v>0.15</v>
      </c>
      <c r="I7" s="50">
        <v>0.15</v>
      </c>
      <c r="J7" s="50">
        <v>0.15</v>
      </c>
      <c r="K7" s="50">
        <v>0.15</v>
      </c>
    </row>
    <row r="8" spans="1:11" outlineLevel="1" x14ac:dyDescent="0.4">
      <c r="B8" s="11" t="s">
        <v>113</v>
      </c>
      <c r="G8" s="55">
        <v>33600</v>
      </c>
      <c r="H8" s="55">
        <v>37800</v>
      </c>
      <c r="I8" s="55">
        <v>37800</v>
      </c>
      <c r="J8" s="55">
        <v>37800</v>
      </c>
      <c r="K8" s="55">
        <v>37800</v>
      </c>
    </row>
    <row r="9" spans="1:11" outlineLevel="1" x14ac:dyDescent="0.4">
      <c r="B9" s="11" t="s">
        <v>66</v>
      </c>
      <c r="G9" s="56">
        <v>0.05</v>
      </c>
      <c r="H9" s="56">
        <v>0.05</v>
      </c>
      <c r="I9" s="56">
        <v>0.05</v>
      </c>
      <c r="J9" s="56">
        <v>0.05</v>
      </c>
      <c r="K9" s="56">
        <v>0.05</v>
      </c>
    </row>
    <row r="10" spans="1:11" outlineLevel="1" x14ac:dyDescent="0.4">
      <c r="B10" s="11" t="s">
        <v>114</v>
      </c>
      <c r="G10" s="54">
        <v>1800</v>
      </c>
      <c r="H10" s="54">
        <v>1800</v>
      </c>
      <c r="I10" s="54">
        <v>1800</v>
      </c>
      <c r="J10" s="54">
        <v>1800</v>
      </c>
      <c r="K10" s="54">
        <v>1800</v>
      </c>
    </row>
    <row r="11" spans="1:11" outlineLevel="1" x14ac:dyDescent="0.4">
      <c r="B11" s="11" t="s">
        <v>135</v>
      </c>
      <c r="G11" s="57">
        <v>0.1</v>
      </c>
      <c r="H11" s="57">
        <v>0.1</v>
      </c>
      <c r="I11" s="57">
        <v>0.1</v>
      </c>
      <c r="J11" s="57">
        <v>0.1</v>
      </c>
      <c r="K11" s="57">
        <v>0.1</v>
      </c>
    </row>
    <row r="12" spans="1:11" outlineLevel="1" x14ac:dyDescent="0.4">
      <c r="B12" s="11" t="s">
        <v>134</v>
      </c>
      <c r="G12" s="117">
        <v>500</v>
      </c>
      <c r="H12" s="117">
        <f>G12*(1+10%)</f>
        <v>550</v>
      </c>
      <c r="I12" s="117">
        <f t="shared" ref="I12:K12" si="0">H12*(1+10%)</f>
        <v>605</v>
      </c>
      <c r="J12" s="117">
        <f t="shared" si="0"/>
        <v>665.5</v>
      </c>
      <c r="K12" s="117">
        <f t="shared" si="0"/>
        <v>732.05000000000007</v>
      </c>
    </row>
    <row r="13" spans="1:11" outlineLevel="1" x14ac:dyDescent="0.4">
      <c r="B13" s="11" t="s">
        <v>131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</row>
    <row r="15" spans="1:11" x14ac:dyDescent="0.4">
      <c r="A15" s="10"/>
      <c r="B15" s="16" t="s">
        <v>128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outlineLevel="1" x14ac:dyDescent="0.4">
      <c r="B16" s="17" t="s">
        <v>101</v>
      </c>
      <c r="C16" s="17"/>
      <c r="D16" s="17"/>
      <c r="E16" s="17"/>
      <c r="F16" s="17"/>
    </row>
    <row r="17" spans="2:11" outlineLevel="1" x14ac:dyDescent="0.4">
      <c r="B17" s="52" t="s">
        <v>104</v>
      </c>
      <c r="C17" s="52"/>
      <c r="D17" s="112">
        <f>'Financial Statements'!D43</f>
        <v>633</v>
      </c>
      <c r="E17" s="112">
        <f>'Financial Statements'!E43</f>
        <v>8061</v>
      </c>
      <c r="F17" s="112">
        <f>'Financial Statements'!F43</f>
        <v>16275</v>
      </c>
      <c r="G17" s="112">
        <f>F17*(1+G5)</f>
        <v>19530</v>
      </c>
      <c r="H17" s="112">
        <f t="shared" ref="H17:K17" si="1">G17*(1+H5)</f>
        <v>23436</v>
      </c>
      <c r="I17" s="112">
        <f t="shared" si="1"/>
        <v>28123.200000000001</v>
      </c>
      <c r="J17" s="112">
        <f t="shared" si="1"/>
        <v>33747.839999999997</v>
      </c>
      <c r="K17" s="112">
        <f t="shared" si="1"/>
        <v>40497.407999999996</v>
      </c>
    </row>
    <row r="18" spans="2:11" outlineLevel="1" x14ac:dyDescent="0.4">
      <c r="B18" s="11" t="s">
        <v>106</v>
      </c>
      <c r="D18" s="26">
        <f>-'Financial Statements'!D49</f>
        <v>0</v>
      </c>
      <c r="E18" s="26">
        <f>-'Financial Statements'!E49</f>
        <v>1044.45</v>
      </c>
      <c r="F18" s="26">
        <f>-'Financial Statements'!F49</f>
        <v>2193</v>
      </c>
      <c r="G18" s="26">
        <f>G17*G7</f>
        <v>2929.5</v>
      </c>
      <c r="H18" s="26">
        <f t="shared" ref="H18:K18" si="2">H17*H7</f>
        <v>3515.4</v>
      </c>
      <c r="I18" s="26">
        <f t="shared" si="2"/>
        <v>4218.4799999999996</v>
      </c>
      <c r="J18" s="26">
        <f t="shared" si="2"/>
        <v>5062.1759999999995</v>
      </c>
      <c r="K18" s="26">
        <f t="shared" si="2"/>
        <v>6074.6111999999994</v>
      </c>
    </row>
    <row r="19" spans="2:11" outlineLevel="1" x14ac:dyDescent="0.4">
      <c r="B19" s="11" t="s">
        <v>108</v>
      </c>
      <c r="D19" s="26">
        <f>-'Financial Statements'!D62</f>
        <v>31012</v>
      </c>
      <c r="E19" s="26">
        <f>-'Financial Statements'!E62</f>
        <v>353</v>
      </c>
      <c r="F19" s="26">
        <f>-'Financial Statements'!F62</f>
        <v>2855</v>
      </c>
      <c r="G19" s="116">
        <f>G13</f>
        <v>0</v>
      </c>
      <c r="H19" s="116">
        <f t="shared" ref="H19:K19" si="3">H13</f>
        <v>0</v>
      </c>
      <c r="I19" s="116">
        <f t="shared" si="3"/>
        <v>0</v>
      </c>
      <c r="J19" s="116">
        <f t="shared" si="3"/>
        <v>0</v>
      </c>
      <c r="K19" s="116">
        <f t="shared" si="3"/>
        <v>0</v>
      </c>
    </row>
    <row r="20" spans="2:11" outlineLevel="1" x14ac:dyDescent="0.4">
      <c r="B20" s="11" t="s">
        <v>109</v>
      </c>
      <c r="D20" s="26">
        <f>-'Financial Statements'!D42</f>
        <v>1050</v>
      </c>
      <c r="E20" s="26">
        <f>-'Financial Statements'!E42</f>
        <v>1050</v>
      </c>
      <c r="F20" s="26">
        <f>-'Financial Statements'!F42</f>
        <v>1903</v>
      </c>
      <c r="G20" s="26">
        <f>G10</f>
        <v>1800</v>
      </c>
      <c r="H20" s="26">
        <f t="shared" ref="H20:K20" si="4">H10</f>
        <v>1800</v>
      </c>
      <c r="I20" s="26">
        <f t="shared" si="4"/>
        <v>1800</v>
      </c>
      <c r="J20" s="26">
        <f t="shared" si="4"/>
        <v>1800</v>
      </c>
      <c r="K20" s="26">
        <f t="shared" si="4"/>
        <v>1800</v>
      </c>
    </row>
    <row r="21" spans="2:11" outlineLevel="1" x14ac:dyDescent="0.4">
      <c r="B21" s="23" t="s">
        <v>110</v>
      </c>
      <c r="C21" s="23"/>
      <c r="D21" s="27">
        <f>'Financial Statements'!D58</f>
        <v>-1163</v>
      </c>
      <c r="E21" s="27">
        <f>'Financial Statements'!E58</f>
        <v>1374</v>
      </c>
      <c r="F21" s="27">
        <f>'Financial Statements'!F58</f>
        <v>2339</v>
      </c>
      <c r="G21" s="62">
        <f>F21*(1+G$11)</f>
        <v>2572.9</v>
      </c>
      <c r="H21" s="62">
        <f t="shared" ref="H21:K21" si="5">G21*(1+H$11)</f>
        <v>2830.1900000000005</v>
      </c>
      <c r="I21" s="62">
        <f t="shared" si="5"/>
        <v>3113.2090000000007</v>
      </c>
      <c r="J21" s="62">
        <f t="shared" si="5"/>
        <v>3424.5299000000009</v>
      </c>
      <c r="K21" s="62">
        <f t="shared" si="5"/>
        <v>3766.9828900000011</v>
      </c>
    </row>
    <row r="22" spans="2:11" outlineLevel="1" x14ac:dyDescent="0.4">
      <c r="B22" s="17" t="s">
        <v>111</v>
      </c>
      <c r="C22" s="17"/>
      <c r="D22" s="140">
        <f t="shared" ref="D22:F22" si="6">D17-D18-D19+D20-D21</f>
        <v>-28166</v>
      </c>
      <c r="E22" s="140">
        <f t="shared" si="6"/>
        <v>6339.55</v>
      </c>
      <c r="F22" s="140">
        <f t="shared" si="6"/>
        <v>10791</v>
      </c>
      <c r="G22" s="140">
        <f>G17-G18-G19+G20-G21</f>
        <v>15827.6</v>
      </c>
      <c r="H22" s="140">
        <f t="shared" ref="H22" si="7">H17-H18-H19+H20-H21</f>
        <v>18890.409999999996</v>
      </c>
      <c r="I22" s="140">
        <f t="shared" ref="I22" si="8">I17-I18-I19+I20-I21</f>
        <v>22591.510999999999</v>
      </c>
      <c r="J22" s="140">
        <f t="shared" ref="J22" si="9">J17-J18-J19+J20-J21</f>
        <v>27061.134099999996</v>
      </c>
      <c r="K22" s="140">
        <f t="shared" ref="K22" si="10">K17-K18-K19+K20-K21</f>
        <v>32455.813909999997</v>
      </c>
    </row>
    <row r="23" spans="2:11" outlineLevel="1" x14ac:dyDescent="0.4"/>
    <row r="24" spans="2:11" outlineLevel="1" x14ac:dyDescent="0.4">
      <c r="B24" s="17" t="s">
        <v>100</v>
      </c>
      <c r="C24" s="17"/>
    </row>
    <row r="25" spans="2:11" outlineLevel="1" x14ac:dyDescent="0.4">
      <c r="B25" s="11" t="s">
        <v>132</v>
      </c>
      <c r="C25" s="58"/>
      <c r="D25" s="26">
        <f>XNPV(D26,F22:K22,F2:K2)</f>
        <v>85283.058720413916</v>
      </c>
    </row>
    <row r="26" spans="2:11" outlineLevel="1" x14ac:dyDescent="0.4">
      <c r="B26" s="11" t="s">
        <v>121</v>
      </c>
      <c r="C26" s="49"/>
      <c r="D26" s="50">
        <v>0.15</v>
      </c>
    </row>
    <row r="27" spans="2:11" outlineLevel="1" x14ac:dyDescent="0.4">
      <c r="B27" s="11" t="s">
        <v>122</v>
      </c>
      <c r="C27" s="49"/>
      <c r="D27" s="50">
        <v>0.02</v>
      </c>
    </row>
    <row r="28" spans="2:11" outlineLevel="1" x14ac:dyDescent="0.4">
      <c r="B28" s="11" t="s">
        <v>117</v>
      </c>
      <c r="D28" s="59">
        <f>K22*(1+D27)/(D26-D27)</f>
        <v>254653.30914</v>
      </c>
    </row>
    <row r="29" spans="2:11" outlineLevel="1" x14ac:dyDescent="0.4">
      <c r="B29" s="11" t="s">
        <v>115</v>
      </c>
      <c r="D29" s="60">
        <f>D28/(1+D26)^(YEAR($K$2)-YEAR($F$2)+1)</f>
        <v>110093.65293141859</v>
      </c>
    </row>
    <row r="30" spans="2:11" outlineLevel="1" x14ac:dyDescent="0.4">
      <c r="B30" s="17" t="s">
        <v>116</v>
      </c>
      <c r="C30" s="17"/>
      <c r="D30" s="31">
        <f>D25+D29</f>
        <v>195376.71165183251</v>
      </c>
    </row>
    <row r="31" spans="2:11" outlineLevel="1" x14ac:dyDescent="0.4">
      <c r="B31" s="17"/>
      <c r="C31" s="17"/>
      <c r="D31" s="31"/>
    </row>
    <row r="32" spans="2:11" outlineLevel="1" x14ac:dyDescent="0.4">
      <c r="B32" s="17"/>
      <c r="C32" s="17"/>
      <c r="D32" s="31"/>
    </row>
    <row r="33" spans="1:11" outlineLevel="1" x14ac:dyDescent="0.4">
      <c r="B33" s="17"/>
      <c r="C33" s="17"/>
      <c r="D33" s="31"/>
    </row>
    <row r="34" spans="1:11" outlineLevel="1" x14ac:dyDescent="0.4">
      <c r="B34" s="17"/>
      <c r="C34" s="17"/>
      <c r="D34" s="31"/>
    </row>
    <row r="35" spans="1:11" outlineLevel="1" x14ac:dyDescent="0.4">
      <c r="B35" s="17"/>
      <c r="C35" s="17"/>
      <c r="D35" s="31"/>
    </row>
    <row r="36" spans="1:11" outlineLevel="1" x14ac:dyDescent="0.4"/>
    <row r="37" spans="1:11" outlineLevel="1" x14ac:dyDescent="0.4"/>
    <row r="39" spans="1:11" x14ac:dyDescent="0.4">
      <c r="A39" s="10"/>
      <c r="B39" s="16" t="s">
        <v>105</v>
      </c>
      <c r="C39" s="16"/>
      <c r="D39" s="16"/>
      <c r="E39" s="16"/>
      <c r="F39" s="16"/>
      <c r="G39" s="16"/>
      <c r="H39" s="16"/>
      <c r="I39" s="10"/>
      <c r="J39" s="10"/>
      <c r="K39" s="10"/>
    </row>
    <row r="40" spans="1:11" outlineLevel="1" x14ac:dyDescent="0.4">
      <c r="B40" s="17" t="s">
        <v>101</v>
      </c>
      <c r="C40" s="17"/>
    </row>
    <row r="41" spans="1:11" outlineLevel="1" x14ac:dyDescent="0.4">
      <c r="A41" s="52"/>
      <c r="B41" s="52" t="s">
        <v>104</v>
      </c>
      <c r="C41" s="52"/>
      <c r="D41" s="52"/>
      <c r="E41" s="52"/>
      <c r="F41" s="52"/>
      <c r="G41" s="112">
        <f>'Strategic Alternatives'!C20</f>
        <v>11405</v>
      </c>
      <c r="H41" s="112">
        <f>G41*(1+H$6)</f>
        <v>13115.749999999998</v>
      </c>
      <c r="I41" s="112">
        <f t="shared" ref="I41:K41" si="11">H41*(1+I$6)</f>
        <v>15083.112499999997</v>
      </c>
      <c r="J41" s="112">
        <f t="shared" si="11"/>
        <v>17345.579374999998</v>
      </c>
      <c r="K41" s="112">
        <f t="shared" si="11"/>
        <v>19947.416281249996</v>
      </c>
    </row>
    <row r="42" spans="1:11" outlineLevel="1" x14ac:dyDescent="0.4">
      <c r="B42" s="11" t="s">
        <v>106</v>
      </c>
      <c r="G42" s="26">
        <f>G41*G$7</f>
        <v>1710.75</v>
      </c>
      <c r="H42" s="26">
        <f t="shared" ref="H42:K42" si="12">H41*H$7</f>
        <v>1967.3624999999997</v>
      </c>
      <c r="I42" s="26">
        <f t="shared" si="12"/>
        <v>2262.4668749999996</v>
      </c>
      <c r="J42" s="26">
        <f t="shared" si="12"/>
        <v>2601.8369062499996</v>
      </c>
      <c r="K42" s="26">
        <f t="shared" si="12"/>
        <v>2992.1124421874993</v>
      </c>
    </row>
    <row r="43" spans="1:11" outlineLevel="1" x14ac:dyDescent="0.4">
      <c r="B43" s="11" t="s">
        <v>108</v>
      </c>
      <c r="G43" s="26">
        <f>'Strategic Alternatives'!C25</f>
        <v>10000</v>
      </c>
      <c r="H43" s="113">
        <v>0</v>
      </c>
      <c r="I43" s="113">
        <v>0</v>
      </c>
      <c r="J43" s="113">
        <v>0</v>
      </c>
      <c r="K43" s="113">
        <v>0</v>
      </c>
    </row>
    <row r="44" spans="1:11" outlineLevel="1" x14ac:dyDescent="0.4">
      <c r="B44" s="11" t="s">
        <v>109</v>
      </c>
      <c r="G44" s="26">
        <f>G$10</f>
        <v>1800</v>
      </c>
      <c r="H44" s="26">
        <f t="shared" ref="H44:K44" si="13">H$10</f>
        <v>1800</v>
      </c>
      <c r="I44" s="26">
        <f t="shared" si="13"/>
        <v>1800</v>
      </c>
      <c r="J44" s="26">
        <f t="shared" si="13"/>
        <v>1800</v>
      </c>
      <c r="K44" s="26">
        <f t="shared" si="13"/>
        <v>1800</v>
      </c>
    </row>
    <row r="45" spans="1:11" outlineLevel="1" x14ac:dyDescent="0.4">
      <c r="A45" s="23"/>
      <c r="B45" s="23" t="s">
        <v>110</v>
      </c>
      <c r="C45" s="23"/>
      <c r="D45" s="23"/>
      <c r="E45" s="23"/>
      <c r="F45" s="23"/>
      <c r="G45" s="62">
        <f>G$12</f>
        <v>500</v>
      </c>
      <c r="H45" s="62">
        <f t="shared" ref="H45:K45" si="14">H$12</f>
        <v>550</v>
      </c>
      <c r="I45" s="62">
        <f t="shared" si="14"/>
        <v>605</v>
      </c>
      <c r="J45" s="62">
        <f t="shared" si="14"/>
        <v>665.5</v>
      </c>
      <c r="K45" s="62">
        <f t="shared" si="14"/>
        <v>732.05000000000007</v>
      </c>
    </row>
    <row r="46" spans="1:11" outlineLevel="1" x14ac:dyDescent="0.4">
      <c r="B46" s="17" t="s">
        <v>111</v>
      </c>
      <c r="C46" s="17"/>
      <c r="D46" s="17"/>
      <c r="E46" s="17"/>
      <c r="F46" s="17"/>
      <c r="G46" s="28">
        <f>G41-G42-G43+G44-G45</f>
        <v>994.25</v>
      </c>
      <c r="H46" s="28">
        <f t="shared" ref="H46:K46" si="15">H41-H42-H43+H44-H45</f>
        <v>12398.387499999999</v>
      </c>
      <c r="I46" s="28">
        <f t="shared" si="15"/>
        <v>14015.645624999997</v>
      </c>
      <c r="J46" s="28">
        <f t="shared" si="15"/>
        <v>15878.242468749999</v>
      </c>
      <c r="K46" s="28">
        <f t="shared" si="15"/>
        <v>18023.253839062498</v>
      </c>
    </row>
    <row r="47" spans="1:11" outlineLevel="1" x14ac:dyDescent="0.4">
      <c r="B47" s="17" t="s">
        <v>130</v>
      </c>
      <c r="C47" s="17"/>
      <c r="D47" s="140">
        <f>D$22+D46</f>
        <v>-28166</v>
      </c>
      <c r="E47" s="140">
        <f t="shared" ref="E47:K47" si="16">E22+E46</f>
        <v>6339.55</v>
      </c>
      <c r="F47" s="140">
        <f t="shared" si="16"/>
        <v>10791</v>
      </c>
      <c r="G47" s="140">
        <f t="shared" si="16"/>
        <v>16821.849999999999</v>
      </c>
      <c r="H47" s="140">
        <f t="shared" si="16"/>
        <v>31288.797499999993</v>
      </c>
      <c r="I47" s="140">
        <f t="shared" si="16"/>
        <v>36607.156624999996</v>
      </c>
      <c r="J47" s="140">
        <f t="shared" si="16"/>
        <v>42939.376568749998</v>
      </c>
      <c r="K47" s="140">
        <f t="shared" si="16"/>
        <v>50479.067749062495</v>
      </c>
    </row>
    <row r="48" spans="1:11" outlineLevel="1" x14ac:dyDescent="0.4"/>
    <row r="49" spans="2:4" outlineLevel="1" x14ac:dyDescent="0.4">
      <c r="B49" s="17" t="s">
        <v>100</v>
      </c>
      <c r="C49" s="17"/>
    </row>
    <row r="50" spans="2:4" outlineLevel="1" x14ac:dyDescent="0.4">
      <c r="B50" s="11" t="s">
        <v>132</v>
      </c>
      <c r="C50" s="58"/>
      <c r="D50" s="26">
        <f>XNPV(D51,F47:K47,$F$2:$K$2)</f>
        <v>122766.84572458192</v>
      </c>
    </row>
    <row r="51" spans="2:4" outlineLevel="1" x14ac:dyDescent="0.4">
      <c r="B51" s="11" t="s">
        <v>121</v>
      </c>
      <c r="C51" s="49"/>
      <c r="D51" s="50">
        <v>0.15</v>
      </c>
    </row>
    <row r="52" spans="2:4" outlineLevel="1" x14ac:dyDescent="0.4">
      <c r="B52" s="11" t="s">
        <v>122</v>
      </c>
      <c r="C52" s="49"/>
      <c r="D52" s="50">
        <v>0.02</v>
      </c>
    </row>
    <row r="53" spans="2:4" outlineLevel="1" x14ac:dyDescent="0.4">
      <c r="B53" s="11" t="s">
        <v>117</v>
      </c>
      <c r="D53" s="59">
        <f>K47*(1+D52)/(D51-D52)</f>
        <v>396066.53156956728</v>
      </c>
    </row>
    <row r="54" spans="2:4" outlineLevel="1" x14ac:dyDescent="0.4">
      <c r="B54" s="11" t="s">
        <v>115</v>
      </c>
      <c r="D54" s="60">
        <f>D53/(1+D51)^(YEAR($K$2)-YEAR($F$2)+1)</f>
        <v>171230.49141449961</v>
      </c>
    </row>
    <row r="55" spans="2:4" outlineLevel="1" x14ac:dyDescent="0.4">
      <c r="B55" s="17" t="s">
        <v>116</v>
      </c>
      <c r="C55" s="17"/>
      <c r="D55" s="31">
        <f>D50+D54</f>
        <v>293997.33713908156</v>
      </c>
    </row>
    <row r="56" spans="2:4" outlineLevel="1" x14ac:dyDescent="0.4">
      <c r="B56" s="17"/>
      <c r="C56" s="17"/>
      <c r="D56" s="31"/>
    </row>
    <row r="57" spans="2:4" outlineLevel="1" x14ac:dyDescent="0.4">
      <c r="B57" s="17"/>
      <c r="C57" s="17"/>
      <c r="D57" s="31"/>
    </row>
    <row r="58" spans="2:4" outlineLevel="1" x14ac:dyDescent="0.4">
      <c r="B58" s="17"/>
      <c r="C58" s="17"/>
      <c r="D58" s="31"/>
    </row>
    <row r="59" spans="2:4" outlineLevel="1" x14ac:dyDescent="0.4">
      <c r="B59" s="17"/>
      <c r="C59" s="17"/>
      <c r="D59" s="31"/>
    </row>
    <row r="60" spans="2:4" outlineLevel="1" x14ac:dyDescent="0.4">
      <c r="B60" s="17"/>
      <c r="C60" s="17"/>
      <c r="D60" s="31"/>
    </row>
    <row r="61" spans="2:4" outlineLevel="1" x14ac:dyDescent="0.4">
      <c r="B61" s="17"/>
      <c r="C61" s="17"/>
      <c r="D61" s="31"/>
    </row>
    <row r="62" spans="2:4" outlineLevel="1" x14ac:dyDescent="0.4">
      <c r="B62" s="17"/>
      <c r="C62" s="17"/>
      <c r="D62" s="31"/>
    </row>
    <row r="63" spans="2:4" outlineLevel="1" x14ac:dyDescent="0.4">
      <c r="B63" s="17"/>
      <c r="C63" s="17"/>
      <c r="D63" s="31"/>
    </row>
    <row r="64" spans="2:4" outlineLevel="1" x14ac:dyDescent="0.4"/>
    <row r="66" spans="1:11" x14ac:dyDescent="0.4">
      <c r="A66" s="10"/>
      <c r="B66" s="16" t="s">
        <v>118</v>
      </c>
      <c r="C66" s="16"/>
      <c r="D66" s="16"/>
      <c r="E66" s="16"/>
      <c r="F66" s="16"/>
      <c r="G66" s="10"/>
      <c r="H66" s="10"/>
      <c r="I66" s="10"/>
      <c r="J66" s="10"/>
      <c r="K66" s="10"/>
    </row>
    <row r="67" spans="1:11" outlineLevel="1" x14ac:dyDescent="0.4">
      <c r="B67" s="17" t="s">
        <v>101</v>
      </c>
      <c r="C67" s="17"/>
    </row>
    <row r="68" spans="1:11" outlineLevel="1" x14ac:dyDescent="0.4">
      <c r="A68" s="52"/>
      <c r="B68" s="52" t="s">
        <v>104</v>
      </c>
      <c r="C68" s="52"/>
      <c r="D68" s="52"/>
      <c r="E68" s="52"/>
      <c r="F68" s="52"/>
      <c r="G68" s="112">
        <f>'Strategic Alternatives'!D20</f>
        <v>3280</v>
      </c>
      <c r="H68" s="112">
        <f>G68*(1+H$6)</f>
        <v>3771.9999999999995</v>
      </c>
      <c r="I68" s="112">
        <f t="shared" ref="I68:K68" si="17">H68*(1+I$6)</f>
        <v>4337.7999999999993</v>
      </c>
      <c r="J68" s="112">
        <f t="shared" si="17"/>
        <v>4988.4699999999984</v>
      </c>
      <c r="K68" s="112">
        <f t="shared" si="17"/>
        <v>5736.7404999999981</v>
      </c>
    </row>
    <row r="69" spans="1:11" outlineLevel="1" x14ac:dyDescent="0.4">
      <c r="B69" s="11" t="s">
        <v>106</v>
      </c>
      <c r="G69" s="26">
        <f>G68*$G$7</f>
        <v>492</v>
      </c>
      <c r="H69" s="26">
        <f t="shared" ref="H69:K69" si="18">H68*$G$7</f>
        <v>565.79999999999995</v>
      </c>
      <c r="I69" s="26">
        <f t="shared" si="18"/>
        <v>650.66999999999985</v>
      </c>
      <c r="J69" s="26">
        <f t="shared" si="18"/>
        <v>748.27049999999974</v>
      </c>
      <c r="K69" s="26">
        <f t="shared" si="18"/>
        <v>860.51107499999966</v>
      </c>
    </row>
    <row r="70" spans="1:11" outlineLevel="1" x14ac:dyDescent="0.4">
      <c r="B70" s="11" t="s">
        <v>108</v>
      </c>
      <c r="G70" s="26">
        <f>'Strategic Alternatives'!D25</f>
        <v>5000</v>
      </c>
      <c r="H70" s="113">
        <v>0</v>
      </c>
      <c r="I70" s="113">
        <v>0</v>
      </c>
      <c r="J70" s="113">
        <v>0</v>
      </c>
      <c r="K70" s="113">
        <v>0</v>
      </c>
    </row>
    <row r="71" spans="1:11" outlineLevel="1" x14ac:dyDescent="0.4">
      <c r="B71" s="11" t="s">
        <v>109</v>
      </c>
      <c r="G71" s="26">
        <f>G$10</f>
        <v>1800</v>
      </c>
      <c r="H71" s="26">
        <f t="shared" ref="H71:K71" si="19">H$10</f>
        <v>1800</v>
      </c>
      <c r="I71" s="26">
        <f t="shared" si="19"/>
        <v>1800</v>
      </c>
      <c r="J71" s="26">
        <f t="shared" si="19"/>
        <v>1800</v>
      </c>
      <c r="K71" s="26">
        <f t="shared" si="19"/>
        <v>1800</v>
      </c>
    </row>
    <row r="72" spans="1:11" outlineLevel="1" x14ac:dyDescent="0.4">
      <c r="A72" s="23"/>
      <c r="B72" s="23" t="s">
        <v>110</v>
      </c>
      <c r="C72" s="23"/>
      <c r="D72" s="23"/>
      <c r="E72" s="23"/>
      <c r="F72" s="23"/>
      <c r="G72" s="62">
        <f>G$12</f>
        <v>500</v>
      </c>
      <c r="H72" s="62">
        <f t="shared" ref="H72:K72" si="20">H$12</f>
        <v>550</v>
      </c>
      <c r="I72" s="62">
        <f t="shared" si="20"/>
        <v>605</v>
      </c>
      <c r="J72" s="62">
        <f t="shared" si="20"/>
        <v>665.5</v>
      </c>
      <c r="K72" s="62">
        <f t="shared" si="20"/>
        <v>732.05000000000007</v>
      </c>
    </row>
    <row r="73" spans="1:11" outlineLevel="1" x14ac:dyDescent="0.4">
      <c r="B73" s="17" t="s">
        <v>111</v>
      </c>
      <c r="C73" s="17"/>
      <c r="D73" s="17"/>
      <c r="E73" s="17"/>
      <c r="F73" s="17"/>
      <c r="G73" s="28">
        <f>G68-G69-G70+G71-G72</f>
        <v>-912</v>
      </c>
      <c r="H73" s="28">
        <f t="shared" ref="H73:K73" si="21">H68-H69-H70+H71-H72</f>
        <v>4456.2</v>
      </c>
      <c r="I73" s="28">
        <f t="shared" si="21"/>
        <v>4882.1299999999992</v>
      </c>
      <c r="J73" s="28">
        <f t="shared" si="21"/>
        <v>5374.6994999999988</v>
      </c>
      <c r="K73" s="28">
        <f t="shared" si="21"/>
        <v>5944.1794249999984</v>
      </c>
    </row>
    <row r="74" spans="1:11" outlineLevel="1" x14ac:dyDescent="0.4">
      <c r="B74" s="17" t="s">
        <v>130</v>
      </c>
      <c r="C74" s="17"/>
      <c r="D74" s="140">
        <f>D$22+D73</f>
        <v>-28166</v>
      </c>
      <c r="E74" s="140">
        <f t="shared" ref="E74:K74" si="22">E$22+E73</f>
        <v>6339.55</v>
      </c>
      <c r="F74" s="140">
        <f t="shared" si="22"/>
        <v>10791</v>
      </c>
      <c r="G74" s="140">
        <f t="shared" si="22"/>
        <v>14915.6</v>
      </c>
      <c r="H74" s="140">
        <f t="shared" si="22"/>
        <v>23346.609999999997</v>
      </c>
      <c r="I74" s="140">
        <f t="shared" si="22"/>
        <v>27473.640999999996</v>
      </c>
      <c r="J74" s="140">
        <f t="shared" si="22"/>
        <v>32435.833599999994</v>
      </c>
      <c r="K74" s="140">
        <f t="shared" si="22"/>
        <v>38399.993334999992</v>
      </c>
    </row>
    <row r="75" spans="1:11" outlineLevel="1" x14ac:dyDescent="0.4"/>
    <row r="76" spans="1:11" outlineLevel="1" x14ac:dyDescent="0.4">
      <c r="B76" s="17" t="s">
        <v>100</v>
      </c>
      <c r="C76" s="17"/>
    </row>
    <row r="77" spans="1:11" outlineLevel="1" x14ac:dyDescent="0.4">
      <c r="B77" s="11" t="s">
        <v>132</v>
      </c>
      <c r="C77" s="58"/>
      <c r="D77" s="26">
        <f>XNPV(D78,F74:K74,$F$2:$K$2)</f>
        <v>97094.395190741066</v>
      </c>
    </row>
    <row r="78" spans="1:11" outlineLevel="1" x14ac:dyDescent="0.4">
      <c r="B78" s="11" t="s">
        <v>121</v>
      </c>
      <c r="C78" s="49"/>
      <c r="D78" s="50">
        <v>0.15</v>
      </c>
    </row>
    <row r="79" spans="1:11" outlineLevel="1" x14ac:dyDescent="0.4">
      <c r="B79" s="11" t="s">
        <v>122</v>
      </c>
      <c r="C79" s="49"/>
      <c r="D79" s="50">
        <v>0.02</v>
      </c>
    </row>
    <row r="80" spans="1:11" outlineLevel="1" x14ac:dyDescent="0.4">
      <c r="B80" s="11" t="s">
        <v>117</v>
      </c>
      <c r="D80" s="59">
        <f>K74*(1+D79)/(D78-D79)</f>
        <v>301292.25539769226</v>
      </c>
    </row>
    <row r="81" spans="1:11" outlineLevel="1" x14ac:dyDescent="0.4">
      <c r="B81" s="11" t="s">
        <v>115</v>
      </c>
      <c r="D81" s="60">
        <f>D80/(1+D78)^(YEAR($K$2)-YEAR($F$2)+1)</f>
        <v>130256.95644285496</v>
      </c>
    </row>
    <row r="82" spans="1:11" outlineLevel="1" x14ac:dyDescent="0.4">
      <c r="B82" s="17" t="s">
        <v>116</v>
      </c>
      <c r="C82" s="17"/>
      <c r="D82" s="31">
        <f>D77+D81</f>
        <v>227351.35163359603</v>
      </c>
    </row>
    <row r="83" spans="1:11" outlineLevel="1" x14ac:dyDescent="0.4">
      <c r="B83" s="17"/>
      <c r="C83" s="17"/>
      <c r="D83" s="31"/>
    </row>
    <row r="84" spans="1:11" outlineLevel="1" x14ac:dyDescent="0.4">
      <c r="B84" s="17"/>
      <c r="C84" s="17"/>
      <c r="D84" s="31"/>
    </row>
    <row r="85" spans="1:11" outlineLevel="1" x14ac:dyDescent="0.4">
      <c r="B85" s="17"/>
      <c r="C85" s="17"/>
      <c r="D85" s="31"/>
    </row>
    <row r="86" spans="1:11" outlineLevel="1" x14ac:dyDescent="0.4">
      <c r="B86" s="17"/>
      <c r="C86" s="17"/>
      <c r="D86" s="31"/>
    </row>
    <row r="87" spans="1:11" outlineLevel="1" x14ac:dyDescent="0.4">
      <c r="B87" s="17"/>
      <c r="C87" s="17"/>
      <c r="D87" s="31"/>
    </row>
    <row r="88" spans="1:11" outlineLevel="1" x14ac:dyDescent="0.4">
      <c r="B88" s="17"/>
      <c r="C88" s="17"/>
      <c r="D88" s="31"/>
    </row>
    <row r="89" spans="1:11" outlineLevel="1" x14ac:dyDescent="0.4">
      <c r="B89" s="17"/>
      <c r="C89" s="17"/>
      <c r="D89" s="31"/>
    </row>
    <row r="90" spans="1:11" outlineLevel="1" x14ac:dyDescent="0.4">
      <c r="B90" s="17"/>
      <c r="C90" s="17"/>
      <c r="D90" s="31"/>
    </row>
    <row r="91" spans="1:11" outlineLevel="1" x14ac:dyDescent="0.4"/>
    <row r="93" spans="1:11" x14ac:dyDescent="0.4">
      <c r="A93" s="10"/>
      <c r="B93" s="16" t="s">
        <v>119</v>
      </c>
      <c r="C93" s="16"/>
      <c r="D93" s="16"/>
      <c r="E93" s="16"/>
      <c r="F93" s="16"/>
      <c r="G93" s="10"/>
      <c r="H93" s="10"/>
      <c r="I93" s="10"/>
      <c r="J93" s="10"/>
      <c r="K93" s="10"/>
    </row>
    <row r="94" spans="1:11" outlineLevel="1" x14ac:dyDescent="0.4">
      <c r="B94" s="17" t="s">
        <v>101</v>
      </c>
      <c r="C94" s="17"/>
    </row>
    <row r="95" spans="1:11" outlineLevel="1" x14ac:dyDescent="0.4">
      <c r="A95" s="52"/>
      <c r="B95" s="52" t="s">
        <v>104</v>
      </c>
      <c r="C95" s="52"/>
      <c r="D95" s="52"/>
      <c r="E95" s="52"/>
      <c r="F95" s="52"/>
      <c r="G95" s="112">
        <f>'Strategic Alternatives'!E20</f>
        <v>6952</v>
      </c>
      <c r="H95" s="112">
        <f>G95*(1+H$6)</f>
        <v>7994.7999999999993</v>
      </c>
      <c r="I95" s="112">
        <f t="shared" ref="I95:K95" si="23">H95*(1+I$6)</f>
        <v>9194.0199999999986</v>
      </c>
      <c r="J95" s="112">
        <f t="shared" si="23"/>
        <v>10573.122999999998</v>
      </c>
      <c r="K95" s="112">
        <f t="shared" si="23"/>
        <v>12159.091449999996</v>
      </c>
    </row>
    <row r="96" spans="1:11" outlineLevel="1" x14ac:dyDescent="0.4">
      <c r="B96" s="11" t="s">
        <v>106</v>
      </c>
      <c r="G96" s="26">
        <f>G95*$G$7</f>
        <v>1042.8</v>
      </c>
      <c r="H96" s="26">
        <f t="shared" ref="H96" si="24">H95*$G$7</f>
        <v>1199.2199999999998</v>
      </c>
      <c r="I96" s="26">
        <f t="shared" ref="I96" si="25">I95*$G$7</f>
        <v>1379.1029999999998</v>
      </c>
      <c r="J96" s="26">
        <f t="shared" ref="J96" si="26">J95*$G$7</f>
        <v>1585.9684499999996</v>
      </c>
      <c r="K96" s="26">
        <f t="shared" ref="K96" si="27">K95*$G$7</f>
        <v>1823.8637174999994</v>
      </c>
    </row>
    <row r="97" spans="1:11" outlineLevel="1" x14ac:dyDescent="0.4">
      <c r="B97" s="11" t="s">
        <v>108</v>
      </c>
      <c r="G97" s="26">
        <f>'Strategic Alternatives'!E25</f>
        <v>16000</v>
      </c>
      <c r="H97" s="113">
        <v>0</v>
      </c>
      <c r="I97" s="113">
        <v>0</v>
      </c>
      <c r="J97" s="113">
        <v>0</v>
      </c>
      <c r="K97" s="113">
        <v>0</v>
      </c>
    </row>
    <row r="98" spans="1:11" outlineLevel="1" x14ac:dyDescent="0.4">
      <c r="B98" s="11" t="s">
        <v>109</v>
      </c>
      <c r="G98" s="26">
        <f>G$10</f>
        <v>1800</v>
      </c>
      <c r="H98" s="26">
        <f t="shared" ref="H98:K98" si="28">H$10</f>
        <v>1800</v>
      </c>
      <c r="I98" s="26">
        <f t="shared" si="28"/>
        <v>1800</v>
      </c>
      <c r="J98" s="26">
        <f t="shared" si="28"/>
        <v>1800</v>
      </c>
      <c r="K98" s="26">
        <f t="shared" si="28"/>
        <v>1800</v>
      </c>
    </row>
    <row r="99" spans="1:11" outlineLevel="1" x14ac:dyDescent="0.4">
      <c r="A99" s="23"/>
      <c r="B99" s="23" t="s">
        <v>110</v>
      </c>
      <c r="C99" s="23"/>
      <c r="D99" s="23"/>
      <c r="E99" s="23"/>
      <c r="F99" s="23"/>
      <c r="G99" s="62">
        <f>G$12</f>
        <v>500</v>
      </c>
      <c r="H99" s="62">
        <f t="shared" ref="H99:K99" si="29">H$12</f>
        <v>550</v>
      </c>
      <c r="I99" s="62">
        <f t="shared" si="29"/>
        <v>605</v>
      </c>
      <c r="J99" s="62">
        <f t="shared" si="29"/>
        <v>665.5</v>
      </c>
      <c r="K99" s="62">
        <f t="shared" si="29"/>
        <v>732.05000000000007</v>
      </c>
    </row>
    <row r="100" spans="1:11" outlineLevel="1" x14ac:dyDescent="0.4">
      <c r="B100" s="17" t="s">
        <v>111</v>
      </c>
      <c r="C100" s="17"/>
      <c r="D100" s="17"/>
      <c r="E100" s="17"/>
      <c r="F100" s="17"/>
      <c r="G100" s="28">
        <f>G95-G96-G97+G98-G99</f>
        <v>-8790.7999999999993</v>
      </c>
      <c r="H100" s="28">
        <f t="shared" ref="H100:K100" si="30">H95-H96-H97+H98-H99</f>
        <v>8045.58</v>
      </c>
      <c r="I100" s="28">
        <f t="shared" si="30"/>
        <v>9009.9169999999976</v>
      </c>
      <c r="J100" s="28">
        <f t="shared" si="30"/>
        <v>10121.654549999997</v>
      </c>
      <c r="K100" s="28">
        <f t="shared" si="30"/>
        <v>11403.177732499997</v>
      </c>
    </row>
    <row r="101" spans="1:11" outlineLevel="1" x14ac:dyDescent="0.4">
      <c r="B101" s="17" t="s">
        <v>130</v>
      </c>
      <c r="C101" s="17"/>
      <c r="D101" s="140">
        <f>D$22+D100</f>
        <v>-28166</v>
      </c>
      <c r="E101" s="140">
        <f t="shared" ref="E101" si="31">E$22+E100</f>
        <v>6339.55</v>
      </c>
      <c r="F101" s="140">
        <f t="shared" ref="F101" si="32">F$22+F100</f>
        <v>10791</v>
      </c>
      <c r="G101" s="140">
        <f t="shared" ref="G101" si="33">G$22+G100</f>
        <v>7036.8000000000011</v>
      </c>
      <c r="H101" s="140">
        <f t="shared" ref="H101" si="34">H$22+H100</f>
        <v>26935.989999999998</v>
      </c>
      <c r="I101" s="140">
        <f t="shared" ref="I101" si="35">I$22+I100</f>
        <v>31601.427999999996</v>
      </c>
      <c r="J101" s="140">
        <f t="shared" ref="J101" si="36">J$22+J100</f>
        <v>37182.788649999995</v>
      </c>
      <c r="K101" s="140">
        <f t="shared" ref="K101" si="37">K$22+K100</f>
        <v>43858.991642499997</v>
      </c>
    </row>
    <row r="102" spans="1:11" outlineLevel="1" x14ac:dyDescent="0.4"/>
    <row r="103" spans="1:11" outlineLevel="1" x14ac:dyDescent="0.4">
      <c r="B103" s="17" t="s">
        <v>100</v>
      </c>
      <c r="C103" s="17"/>
    </row>
    <row r="104" spans="1:11" outlineLevel="1" x14ac:dyDescent="0.4">
      <c r="B104" s="11" t="s">
        <v>132</v>
      </c>
      <c r="C104" s="58"/>
      <c r="D104" s="26">
        <f>XNPV(D105,F101:K101,$F$2:$K$2)</f>
        <v>101096.49543039894</v>
      </c>
    </row>
    <row r="105" spans="1:11" outlineLevel="1" x14ac:dyDescent="0.4">
      <c r="B105" s="11" t="s">
        <v>121</v>
      </c>
      <c r="C105" s="49"/>
      <c r="D105" s="50">
        <v>0.15</v>
      </c>
    </row>
    <row r="106" spans="1:11" outlineLevel="1" x14ac:dyDescent="0.4">
      <c r="B106" s="11" t="s">
        <v>122</v>
      </c>
      <c r="C106" s="49"/>
      <c r="D106" s="50">
        <v>0.02</v>
      </c>
    </row>
    <row r="107" spans="1:11" outlineLevel="1" x14ac:dyDescent="0.4">
      <c r="B107" s="11" t="s">
        <v>117</v>
      </c>
      <c r="D107" s="59">
        <f>K101*(1+D106)/(D105-D106)</f>
        <v>344124.39596423076</v>
      </c>
    </row>
    <row r="108" spans="1:11" outlineLevel="1" x14ac:dyDescent="0.4">
      <c r="B108" s="11" t="s">
        <v>115</v>
      </c>
      <c r="D108" s="60">
        <f>D107/(1+D105)^(YEAR($K$2)-YEAR($F$2)+1)</f>
        <v>148774.47280173239</v>
      </c>
    </row>
    <row r="109" spans="1:11" outlineLevel="1" x14ac:dyDescent="0.4">
      <c r="B109" s="17" t="s">
        <v>116</v>
      </c>
      <c r="C109" s="17"/>
      <c r="D109" s="31">
        <f>D104+D108</f>
        <v>249870.96823213133</v>
      </c>
    </row>
    <row r="110" spans="1:11" outlineLevel="1" x14ac:dyDescent="0.4">
      <c r="B110" s="17"/>
      <c r="C110" s="17"/>
      <c r="D110" s="31"/>
    </row>
    <row r="111" spans="1:11" outlineLevel="1" x14ac:dyDescent="0.4">
      <c r="B111" s="17"/>
      <c r="C111" s="17"/>
      <c r="D111" s="31"/>
    </row>
    <row r="112" spans="1:11" outlineLevel="1" x14ac:dyDescent="0.4">
      <c r="B112" s="17"/>
      <c r="C112" s="17"/>
      <c r="D112" s="31"/>
    </row>
    <row r="113" spans="1:6" outlineLevel="1" x14ac:dyDescent="0.4">
      <c r="B113" s="17"/>
      <c r="C113" s="17"/>
      <c r="D113" s="31"/>
    </row>
    <row r="114" spans="1:6" outlineLevel="1" x14ac:dyDescent="0.4">
      <c r="B114" s="17"/>
      <c r="C114" s="17"/>
      <c r="D114" s="31"/>
    </row>
    <row r="115" spans="1:6" outlineLevel="1" x14ac:dyDescent="0.4">
      <c r="B115" s="17"/>
      <c r="C115" s="17"/>
      <c r="D115" s="31"/>
    </row>
    <row r="116" spans="1:6" outlineLevel="1" x14ac:dyDescent="0.4">
      <c r="B116" s="17"/>
      <c r="C116" s="17"/>
      <c r="D116" s="31"/>
    </row>
    <row r="117" spans="1:6" outlineLevel="1" x14ac:dyDescent="0.4">
      <c r="B117" s="17"/>
      <c r="C117" s="17"/>
      <c r="D117" s="31"/>
    </row>
    <row r="118" spans="1:6" outlineLevel="1" x14ac:dyDescent="0.4">
      <c r="B118" s="17"/>
      <c r="C118" s="17"/>
      <c r="D118" s="31"/>
    </row>
    <row r="119" spans="1:6" ht="15" x14ac:dyDescent="0.4">
      <c r="A119"/>
      <c r="B119"/>
      <c r="C119"/>
      <c r="D119"/>
      <c r="E119"/>
      <c r="F119"/>
    </row>
  </sheetData>
  <pageMargins left="0.7" right="0.7" top="0.75" bottom="0.75" header="0.3" footer="0.3"/>
  <pageSetup orientation="portrait" r:id="rId1"/>
  <ignoredErrors>
    <ignoredError sqref="D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4.5" x14ac:dyDescent="0.4"/>
  <cols>
    <col min="1" max="1" width="5.90625" style="11" customWidth="1"/>
    <col min="2" max="2" width="30" style="11" bestFit="1" customWidth="1"/>
    <col min="3" max="5" width="16.6328125" style="11" customWidth="1"/>
    <col min="6" max="8" width="21.90625" style="11" customWidth="1"/>
    <col min="9" max="16384" width="9.08984375" style="11"/>
  </cols>
  <sheetData>
    <row r="1" spans="1:8" ht="18" x14ac:dyDescent="0.5">
      <c r="A1" s="1" t="s">
        <v>58</v>
      </c>
      <c r="B1" s="2"/>
      <c r="C1" s="2"/>
      <c r="D1" s="2"/>
      <c r="E1" s="2"/>
      <c r="F1" s="2"/>
      <c r="G1"/>
      <c r="H1"/>
    </row>
    <row r="2" spans="1:8" ht="18" x14ac:dyDescent="0.5">
      <c r="A2" s="2"/>
      <c r="B2" s="25" t="s">
        <v>59</v>
      </c>
      <c r="C2" s="25"/>
      <c r="D2" s="4"/>
      <c r="E2" s="4"/>
      <c r="F2" s="4"/>
      <c r="G2"/>
      <c r="H2"/>
    </row>
    <row r="3" spans="1:8" ht="15" x14ac:dyDescent="0.4">
      <c r="G3"/>
      <c r="H3"/>
    </row>
    <row r="4" spans="1:8" ht="15" x14ac:dyDescent="0.4">
      <c r="B4" s="111" t="s">
        <v>143</v>
      </c>
      <c r="C4" s="75" t="s">
        <v>144</v>
      </c>
      <c r="D4" s="75"/>
      <c r="E4" s="75"/>
      <c r="G4"/>
      <c r="H4"/>
    </row>
    <row r="5" spans="1:8" ht="15" x14ac:dyDescent="0.4">
      <c r="B5" s="111"/>
      <c r="C5" s="75" t="s">
        <v>126</v>
      </c>
      <c r="D5" s="75"/>
      <c r="E5" s="75"/>
      <c r="G5"/>
      <c r="H5"/>
    </row>
    <row r="6" spans="1:8" x14ac:dyDescent="0.4">
      <c r="B6" s="127"/>
      <c r="C6" s="121" t="s">
        <v>125</v>
      </c>
      <c r="D6" s="122" t="s">
        <v>123</v>
      </c>
      <c r="E6" s="123" t="s">
        <v>124</v>
      </c>
    </row>
    <row r="7" spans="1:8" x14ac:dyDescent="0.4">
      <c r="B7" s="11" t="s">
        <v>40</v>
      </c>
      <c r="C7" s="99">
        <v>470</v>
      </c>
      <c r="D7" s="76">
        <v>550</v>
      </c>
      <c r="E7" s="88">
        <v>630</v>
      </c>
    </row>
    <row r="8" spans="1:8" x14ac:dyDescent="0.4">
      <c r="B8" s="23" t="s">
        <v>41</v>
      </c>
      <c r="C8" s="100">
        <v>55</v>
      </c>
      <c r="D8" s="77">
        <v>55</v>
      </c>
      <c r="E8" s="89">
        <v>55</v>
      </c>
    </row>
    <row r="9" spans="1:8" x14ac:dyDescent="0.4">
      <c r="B9" s="17" t="s">
        <v>42</v>
      </c>
      <c r="C9" s="101">
        <f>C7*C8</f>
        <v>25850</v>
      </c>
      <c r="D9" s="78">
        <f>D7*D8</f>
        <v>30250</v>
      </c>
      <c r="E9" s="90">
        <f t="shared" ref="E9" si="0">E7*E8</f>
        <v>34650</v>
      </c>
    </row>
    <row r="10" spans="1:8" x14ac:dyDescent="0.4">
      <c r="B10" s="11" t="s">
        <v>43</v>
      </c>
      <c r="C10" s="102">
        <v>5.8</v>
      </c>
      <c r="D10" s="79">
        <v>5.7</v>
      </c>
      <c r="E10" s="91">
        <v>5.6</v>
      </c>
    </row>
    <row r="11" spans="1:8" x14ac:dyDescent="0.4">
      <c r="B11" s="11" t="s">
        <v>44</v>
      </c>
      <c r="C11" s="102">
        <v>10.199999999999999</v>
      </c>
      <c r="D11" s="79">
        <v>10.199999999999999</v>
      </c>
      <c r="E11" s="91">
        <v>10.199999999999999</v>
      </c>
    </row>
    <row r="12" spans="1:8" x14ac:dyDescent="0.4">
      <c r="B12" s="11" t="s">
        <v>45</v>
      </c>
      <c r="C12" s="102">
        <v>2.9</v>
      </c>
      <c r="D12" s="79">
        <v>2.8</v>
      </c>
      <c r="E12" s="91">
        <v>2.7</v>
      </c>
    </row>
    <row r="13" spans="1:8" x14ac:dyDescent="0.4">
      <c r="B13" s="23" t="s">
        <v>46</v>
      </c>
      <c r="C13" s="103">
        <f>SUM(C10:C12)</f>
        <v>18.899999999999999</v>
      </c>
      <c r="D13" s="80">
        <f>SUM(D10:D12)</f>
        <v>18.7</v>
      </c>
      <c r="E13" s="92">
        <f t="shared" ref="E13" si="1">SUM(E10:E12)</f>
        <v>18.5</v>
      </c>
    </row>
    <row r="14" spans="1:8" x14ac:dyDescent="0.4">
      <c r="B14" s="17" t="s">
        <v>47</v>
      </c>
      <c r="C14" s="104">
        <f>C13*C7</f>
        <v>8883</v>
      </c>
      <c r="D14" s="81">
        <f>D13*D7</f>
        <v>10285</v>
      </c>
      <c r="E14" s="93">
        <f t="shared" ref="E14" si="2">E13*E7</f>
        <v>11655</v>
      </c>
    </row>
    <row r="15" spans="1:8" x14ac:dyDescent="0.4">
      <c r="B15" s="11" t="s">
        <v>48</v>
      </c>
      <c r="C15" s="105">
        <v>600</v>
      </c>
      <c r="D15" s="82">
        <v>560</v>
      </c>
      <c r="E15" s="94">
        <v>540</v>
      </c>
    </row>
    <row r="16" spans="1:8" x14ac:dyDescent="0.4">
      <c r="B16" s="11" t="s">
        <v>49</v>
      </c>
      <c r="C16" s="106">
        <v>2</v>
      </c>
      <c r="D16" s="83">
        <v>2</v>
      </c>
      <c r="E16" s="37">
        <v>2</v>
      </c>
    </row>
    <row r="17" spans="2:5" x14ac:dyDescent="0.4">
      <c r="B17" s="52" t="s">
        <v>50</v>
      </c>
      <c r="C17" s="107">
        <f>C16*3500</f>
        <v>7000</v>
      </c>
      <c r="D17" s="84">
        <f>D16*3500</f>
        <v>7000</v>
      </c>
      <c r="E17" s="95">
        <f t="shared" ref="E17" si="3">E16*3500</f>
        <v>7000</v>
      </c>
    </row>
    <row r="18" spans="2:5" x14ac:dyDescent="0.4">
      <c r="B18" s="23" t="s">
        <v>112</v>
      </c>
      <c r="C18" s="108">
        <v>1000</v>
      </c>
      <c r="D18" s="85">
        <v>1000</v>
      </c>
      <c r="E18" s="96">
        <v>1000</v>
      </c>
    </row>
    <row r="19" spans="2:5" x14ac:dyDescent="0.4">
      <c r="B19" s="24" t="s">
        <v>51</v>
      </c>
      <c r="C19" s="109">
        <f>C15+C17+C18</f>
        <v>8600</v>
      </c>
      <c r="D19" s="86">
        <f>D15+D17+D18</f>
        <v>8560</v>
      </c>
      <c r="E19" s="97">
        <f t="shared" ref="E19" si="4">E15+E17+E18</f>
        <v>8540</v>
      </c>
    </row>
    <row r="20" spans="2:5" x14ac:dyDescent="0.4">
      <c r="B20" s="17" t="s">
        <v>52</v>
      </c>
      <c r="C20" s="104">
        <f>C9-C14-C19</f>
        <v>8367</v>
      </c>
      <c r="D20" s="81">
        <f>D9-D14-D19</f>
        <v>11405</v>
      </c>
      <c r="E20" s="93">
        <f t="shared" ref="E20" si="5">E9-E14-E19</f>
        <v>14455</v>
      </c>
    </row>
    <row r="21" spans="2:5" x14ac:dyDescent="0.4">
      <c r="B21" s="42" t="s">
        <v>53</v>
      </c>
      <c r="C21" s="110">
        <f>C20/C9</f>
        <v>0.32367504835589944</v>
      </c>
      <c r="D21" s="87">
        <f>D20/D9</f>
        <v>0.37702479338842976</v>
      </c>
      <c r="E21" s="98">
        <f t="shared" ref="E21" si="6">E20/E9</f>
        <v>0.41717171717171719</v>
      </c>
    </row>
    <row r="22" spans="2:5" x14ac:dyDescent="0.4">
      <c r="C22" s="110"/>
      <c r="D22" s="87"/>
      <c r="E22" s="98"/>
    </row>
    <row r="23" spans="2:5" x14ac:dyDescent="0.4">
      <c r="B23" s="17" t="s">
        <v>127</v>
      </c>
      <c r="C23" s="124">
        <v>11900</v>
      </c>
      <c r="D23" s="125">
        <v>10000</v>
      </c>
      <c r="E23" s="126">
        <v>8800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2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08984375" defaultRowHeight="14.5" outlineLevelRow="1" x14ac:dyDescent="0.4"/>
  <cols>
    <col min="1" max="1" width="5.90625" style="11" customWidth="1"/>
    <col min="2" max="2" width="36" style="11" customWidth="1"/>
    <col min="3" max="3" width="10.36328125" style="11" customWidth="1"/>
    <col min="4" max="11" width="12.54296875" style="11" customWidth="1"/>
    <col min="12" max="16384" width="9.08984375" style="11"/>
  </cols>
  <sheetData>
    <row r="1" spans="1:11" x14ac:dyDescent="0.4">
      <c r="A1" s="1" t="s">
        <v>58</v>
      </c>
      <c r="B1" s="47"/>
      <c r="C1" s="47"/>
      <c r="D1" s="47"/>
      <c r="E1" s="47"/>
      <c r="F1" s="48"/>
      <c r="G1" s="48"/>
      <c r="H1" s="48"/>
      <c r="I1" s="48"/>
      <c r="J1" s="48"/>
      <c r="K1" s="48"/>
    </row>
    <row r="2" spans="1:11" ht="18" customHeight="1" x14ac:dyDescent="0.45">
      <c r="A2" s="47"/>
      <c r="B2" s="25" t="s">
        <v>59</v>
      </c>
      <c r="C2" s="25"/>
      <c r="D2" s="143">
        <v>42369</v>
      </c>
      <c r="E2" s="143">
        <v>42735</v>
      </c>
      <c r="F2" s="143">
        <v>43100</v>
      </c>
      <c r="G2" s="143">
        <v>43465</v>
      </c>
      <c r="H2" s="143">
        <v>43830</v>
      </c>
      <c r="I2" s="143">
        <v>44196</v>
      </c>
      <c r="J2" s="143">
        <v>44561</v>
      </c>
      <c r="K2" s="143">
        <v>44926</v>
      </c>
    </row>
    <row r="4" spans="1:11" x14ac:dyDescent="0.4">
      <c r="A4" s="10"/>
      <c r="B4" s="16" t="s">
        <v>102</v>
      </c>
      <c r="C4" s="16"/>
      <c r="D4" s="16"/>
      <c r="E4" s="16"/>
      <c r="F4" s="16"/>
      <c r="G4" s="16"/>
      <c r="H4" s="16"/>
      <c r="I4" s="16"/>
      <c r="J4" s="10"/>
      <c r="K4" s="10"/>
    </row>
    <row r="5" spans="1:11" x14ac:dyDescent="0.4">
      <c r="A5" s="19"/>
      <c r="B5" s="21" t="s">
        <v>129</v>
      </c>
      <c r="C5" s="18"/>
      <c r="D5" s="18"/>
      <c r="E5" s="18"/>
      <c r="F5" s="18"/>
      <c r="G5" s="114">
        <v>0.2</v>
      </c>
      <c r="H5" s="114">
        <v>0.2</v>
      </c>
      <c r="I5" s="114">
        <v>0.2</v>
      </c>
      <c r="J5" s="114">
        <v>0.2</v>
      </c>
      <c r="K5" s="114">
        <v>0.2</v>
      </c>
    </row>
    <row r="6" spans="1:11" outlineLevel="1" x14ac:dyDescent="0.4">
      <c r="B6" s="11" t="s">
        <v>133</v>
      </c>
      <c r="G6" s="51" t="s">
        <v>103</v>
      </c>
      <c r="H6" s="50">
        <v>0.15</v>
      </c>
      <c r="I6" s="50">
        <v>0.15</v>
      </c>
      <c r="J6" s="50">
        <v>0.15</v>
      </c>
      <c r="K6" s="50">
        <v>0.15</v>
      </c>
    </row>
    <row r="7" spans="1:11" outlineLevel="1" x14ac:dyDescent="0.4">
      <c r="B7" s="11" t="s">
        <v>107</v>
      </c>
      <c r="G7" s="50">
        <v>0.15</v>
      </c>
      <c r="H7" s="50">
        <v>0.15</v>
      </c>
      <c r="I7" s="50">
        <v>0.15</v>
      </c>
      <c r="J7" s="50">
        <v>0.15</v>
      </c>
      <c r="K7" s="50">
        <v>0.15</v>
      </c>
    </row>
    <row r="8" spans="1:11" outlineLevel="1" x14ac:dyDescent="0.4">
      <c r="B8" s="11" t="s">
        <v>113</v>
      </c>
      <c r="G8" s="55">
        <v>33600</v>
      </c>
      <c r="H8" s="55">
        <v>37800</v>
      </c>
      <c r="I8" s="55">
        <v>37800</v>
      </c>
      <c r="J8" s="55">
        <v>37800</v>
      </c>
      <c r="K8" s="55">
        <v>37800</v>
      </c>
    </row>
    <row r="9" spans="1:11" outlineLevel="1" x14ac:dyDescent="0.4">
      <c r="B9" s="11" t="s">
        <v>66</v>
      </c>
      <c r="G9" s="56">
        <v>0.05</v>
      </c>
      <c r="H9" s="56">
        <v>0.05</v>
      </c>
      <c r="I9" s="56">
        <v>0.05</v>
      </c>
      <c r="J9" s="56">
        <v>0.05</v>
      </c>
      <c r="K9" s="56">
        <v>0.05</v>
      </c>
    </row>
    <row r="10" spans="1:11" outlineLevel="1" x14ac:dyDescent="0.4">
      <c r="B10" s="11" t="s">
        <v>114</v>
      </c>
      <c r="G10" s="54">
        <v>1800</v>
      </c>
      <c r="H10" s="54">
        <v>1800</v>
      </c>
      <c r="I10" s="54">
        <v>1800</v>
      </c>
      <c r="J10" s="54">
        <v>1800</v>
      </c>
      <c r="K10" s="54">
        <v>1800</v>
      </c>
    </row>
    <row r="11" spans="1:11" outlineLevel="1" x14ac:dyDescent="0.4">
      <c r="B11" s="11" t="s">
        <v>135</v>
      </c>
      <c r="G11" s="57">
        <v>0.1</v>
      </c>
      <c r="H11" s="57">
        <v>0.1</v>
      </c>
      <c r="I11" s="57">
        <v>0.1</v>
      </c>
      <c r="J11" s="57">
        <v>0.1</v>
      </c>
      <c r="K11" s="57">
        <v>0.1</v>
      </c>
    </row>
    <row r="12" spans="1:11" outlineLevel="1" x14ac:dyDescent="0.4">
      <c r="B12" s="11" t="s">
        <v>134</v>
      </c>
      <c r="G12" s="117">
        <v>500</v>
      </c>
      <c r="H12" s="117">
        <f>G12*(1+10%)</f>
        <v>550</v>
      </c>
      <c r="I12" s="117">
        <f t="shared" ref="I12:K12" si="0">H12*(1+10%)</f>
        <v>605</v>
      </c>
      <c r="J12" s="117">
        <f t="shared" si="0"/>
        <v>665.5</v>
      </c>
      <c r="K12" s="117">
        <f t="shared" si="0"/>
        <v>732.05000000000007</v>
      </c>
    </row>
    <row r="13" spans="1:11" outlineLevel="1" x14ac:dyDescent="0.4">
      <c r="B13" s="11" t="s">
        <v>131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</row>
    <row r="15" spans="1:11" x14ac:dyDescent="0.4">
      <c r="A15" s="10"/>
      <c r="B15" s="16" t="s">
        <v>128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outlineLevel="1" x14ac:dyDescent="0.4">
      <c r="B16" s="17" t="s">
        <v>101</v>
      </c>
      <c r="C16" s="17"/>
      <c r="D16" s="17"/>
      <c r="E16" s="17"/>
      <c r="F16" s="17"/>
    </row>
    <row r="17" spans="2:11" outlineLevel="1" x14ac:dyDescent="0.4">
      <c r="B17" s="52" t="s">
        <v>104</v>
      </c>
      <c r="C17" s="52"/>
      <c r="D17" s="112">
        <f>'Financial Statements'!D43</f>
        <v>633</v>
      </c>
      <c r="E17" s="112">
        <f>'Financial Statements'!E43</f>
        <v>8061</v>
      </c>
      <c r="F17" s="112">
        <f>'Financial Statements'!F43</f>
        <v>16275</v>
      </c>
      <c r="G17" s="112">
        <f>F17*(1+G5)</f>
        <v>19530</v>
      </c>
      <c r="H17" s="112">
        <f t="shared" ref="H17:K17" si="1">G17*(1+H5)</f>
        <v>23436</v>
      </c>
      <c r="I17" s="112">
        <f t="shared" si="1"/>
        <v>28123.200000000001</v>
      </c>
      <c r="J17" s="112">
        <f t="shared" si="1"/>
        <v>33747.839999999997</v>
      </c>
      <c r="K17" s="112">
        <f t="shared" si="1"/>
        <v>40497.407999999996</v>
      </c>
    </row>
    <row r="18" spans="2:11" outlineLevel="1" x14ac:dyDescent="0.4">
      <c r="B18" s="11" t="s">
        <v>106</v>
      </c>
      <c r="D18" s="26">
        <f>-'Financial Statements'!D49</f>
        <v>0</v>
      </c>
      <c r="E18" s="26">
        <f>-'Financial Statements'!E49</f>
        <v>1044.45</v>
      </c>
      <c r="F18" s="26">
        <f>-'Financial Statements'!F49</f>
        <v>2193</v>
      </c>
      <c r="G18" s="26">
        <f>G17*G7</f>
        <v>2929.5</v>
      </c>
      <c r="H18" s="26">
        <f t="shared" ref="H18:K18" si="2">H17*H7</f>
        <v>3515.4</v>
      </c>
      <c r="I18" s="26">
        <f t="shared" si="2"/>
        <v>4218.4799999999996</v>
      </c>
      <c r="J18" s="26">
        <f t="shared" si="2"/>
        <v>5062.1759999999995</v>
      </c>
      <c r="K18" s="26">
        <f t="shared" si="2"/>
        <v>6074.6111999999994</v>
      </c>
    </row>
    <row r="19" spans="2:11" outlineLevel="1" x14ac:dyDescent="0.4">
      <c r="B19" s="11" t="s">
        <v>108</v>
      </c>
      <c r="D19" s="26">
        <f>-'Financial Statements'!D62</f>
        <v>31012</v>
      </c>
      <c r="E19" s="26">
        <f>-'Financial Statements'!E62</f>
        <v>353</v>
      </c>
      <c r="F19" s="26">
        <f>-'Financial Statements'!F62</f>
        <v>2855</v>
      </c>
      <c r="G19" s="116">
        <f>G13</f>
        <v>0</v>
      </c>
      <c r="H19" s="116">
        <f t="shared" ref="H19:K19" si="3">H13</f>
        <v>0</v>
      </c>
      <c r="I19" s="116">
        <f t="shared" si="3"/>
        <v>0</v>
      </c>
      <c r="J19" s="116">
        <f t="shared" si="3"/>
        <v>0</v>
      </c>
      <c r="K19" s="116">
        <f t="shared" si="3"/>
        <v>0</v>
      </c>
    </row>
    <row r="20" spans="2:11" outlineLevel="1" x14ac:dyDescent="0.4">
      <c r="B20" s="11" t="s">
        <v>109</v>
      </c>
      <c r="D20" s="26">
        <f>-'Financial Statements'!D42</f>
        <v>1050</v>
      </c>
      <c r="E20" s="26">
        <f>-'Financial Statements'!E42</f>
        <v>1050</v>
      </c>
      <c r="F20" s="26">
        <f>-'Financial Statements'!F42</f>
        <v>1903</v>
      </c>
      <c r="G20" s="26">
        <f>G10</f>
        <v>1800</v>
      </c>
      <c r="H20" s="26">
        <f t="shared" ref="H20:K20" si="4">H10</f>
        <v>1800</v>
      </c>
      <c r="I20" s="26">
        <f t="shared" si="4"/>
        <v>1800</v>
      </c>
      <c r="J20" s="26">
        <f t="shared" si="4"/>
        <v>1800</v>
      </c>
      <c r="K20" s="26">
        <f t="shared" si="4"/>
        <v>1800</v>
      </c>
    </row>
    <row r="21" spans="2:11" outlineLevel="1" x14ac:dyDescent="0.4">
      <c r="B21" s="23" t="s">
        <v>110</v>
      </c>
      <c r="C21" s="23"/>
      <c r="D21" s="27">
        <f>'Financial Statements'!D58</f>
        <v>-1163</v>
      </c>
      <c r="E21" s="27">
        <f>'Financial Statements'!E58</f>
        <v>1374</v>
      </c>
      <c r="F21" s="27">
        <f>'Financial Statements'!F58</f>
        <v>2339</v>
      </c>
      <c r="G21" s="62">
        <f>F21*(1+G$11)</f>
        <v>2572.9</v>
      </c>
      <c r="H21" s="62">
        <f t="shared" ref="H21:K21" si="5">G21*(1+H$11)</f>
        <v>2830.1900000000005</v>
      </c>
      <c r="I21" s="62">
        <f t="shared" si="5"/>
        <v>3113.2090000000007</v>
      </c>
      <c r="J21" s="62">
        <f t="shared" si="5"/>
        <v>3424.5299000000009</v>
      </c>
      <c r="K21" s="62">
        <f t="shared" si="5"/>
        <v>3766.9828900000011</v>
      </c>
    </row>
    <row r="22" spans="2:11" outlineLevel="1" x14ac:dyDescent="0.4">
      <c r="B22" s="17" t="s">
        <v>111</v>
      </c>
      <c r="C22" s="17"/>
      <c r="D22" s="140">
        <f t="shared" ref="D22:F22" si="6">D17-D18-D19+D20-D21</f>
        <v>-28166</v>
      </c>
      <c r="E22" s="140">
        <f t="shared" si="6"/>
        <v>6339.55</v>
      </c>
      <c r="F22" s="140">
        <f t="shared" si="6"/>
        <v>10791</v>
      </c>
      <c r="G22" s="140">
        <f>G17-G18-G19+G20-G21</f>
        <v>15827.6</v>
      </c>
      <c r="H22" s="140">
        <f t="shared" ref="H22:K22" si="7">H17-H18-H19+H20-H21</f>
        <v>18890.409999999996</v>
      </c>
      <c r="I22" s="140">
        <f t="shared" si="7"/>
        <v>22591.510999999999</v>
      </c>
      <c r="J22" s="140">
        <f t="shared" si="7"/>
        <v>27061.134099999996</v>
      </c>
      <c r="K22" s="140">
        <f t="shared" si="7"/>
        <v>32455.813909999997</v>
      </c>
    </row>
    <row r="23" spans="2:11" outlineLevel="1" x14ac:dyDescent="0.4"/>
    <row r="24" spans="2:11" outlineLevel="1" x14ac:dyDescent="0.4">
      <c r="B24" s="17" t="s">
        <v>100</v>
      </c>
      <c r="C24" s="17"/>
    </row>
    <row r="25" spans="2:11" outlineLevel="1" x14ac:dyDescent="0.4">
      <c r="B25" s="11" t="s">
        <v>132</v>
      </c>
      <c r="C25" s="58"/>
      <c r="D25" s="26">
        <f>XNPV(D26,F22:K22,F2:K2)</f>
        <v>85283.058720413916</v>
      </c>
    </row>
    <row r="26" spans="2:11" outlineLevel="1" x14ac:dyDescent="0.4">
      <c r="B26" s="11" t="s">
        <v>121</v>
      </c>
      <c r="C26" s="49"/>
      <c r="D26" s="50">
        <v>0.15</v>
      </c>
    </row>
    <row r="27" spans="2:11" outlineLevel="1" x14ac:dyDescent="0.4">
      <c r="B27" s="11" t="s">
        <v>122</v>
      </c>
      <c r="C27" s="49"/>
      <c r="D27" s="50">
        <v>0.02</v>
      </c>
    </row>
    <row r="28" spans="2:11" outlineLevel="1" x14ac:dyDescent="0.4">
      <c r="B28" s="11" t="s">
        <v>117</v>
      </c>
      <c r="D28" s="59">
        <f>K22*(1+D27)/(D26-D27)</f>
        <v>254653.30914</v>
      </c>
    </row>
    <row r="29" spans="2:11" outlineLevel="1" x14ac:dyDescent="0.4">
      <c r="B29" s="11" t="s">
        <v>115</v>
      </c>
      <c r="D29" s="60">
        <f>D28/(1+D26)^(YEAR($K$2)-YEAR($F$2)+1)</f>
        <v>110093.65293141859</v>
      </c>
    </row>
    <row r="30" spans="2:11" outlineLevel="1" x14ac:dyDescent="0.4">
      <c r="B30" s="17" t="s">
        <v>116</v>
      </c>
      <c r="C30" s="17"/>
      <c r="D30" s="31">
        <f>D25+D29</f>
        <v>195376.71165183251</v>
      </c>
    </row>
    <row r="31" spans="2:11" outlineLevel="1" x14ac:dyDescent="0.4">
      <c r="B31" s="17"/>
      <c r="C31" s="17"/>
      <c r="D31" s="31"/>
    </row>
    <row r="32" spans="2:11" outlineLevel="1" x14ac:dyDescent="0.4">
      <c r="B32" s="17"/>
      <c r="C32" s="17"/>
      <c r="D32" s="31"/>
    </row>
    <row r="33" spans="1:11" outlineLevel="1" x14ac:dyDescent="0.4">
      <c r="B33" s="17"/>
      <c r="C33" s="17"/>
      <c r="D33" s="31"/>
    </row>
    <row r="34" spans="1:11" outlineLevel="1" x14ac:dyDescent="0.4">
      <c r="B34" s="17"/>
      <c r="C34" s="17"/>
      <c r="D34" s="31"/>
    </row>
    <row r="35" spans="1:11" outlineLevel="1" x14ac:dyDescent="0.4">
      <c r="B35" s="17"/>
      <c r="C35" s="17"/>
      <c r="D35" s="31"/>
    </row>
    <row r="36" spans="1:11" outlineLevel="1" x14ac:dyDescent="0.4">
      <c r="B36" s="17"/>
      <c r="C36" s="17"/>
      <c r="D36" s="31"/>
    </row>
    <row r="37" spans="1:11" outlineLevel="1" x14ac:dyDescent="0.4">
      <c r="B37" s="17"/>
      <c r="C37" s="17"/>
      <c r="D37" s="31"/>
    </row>
    <row r="38" spans="1:11" outlineLevel="1" x14ac:dyDescent="0.4"/>
    <row r="40" spans="1:11" x14ac:dyDescent="0.4">
      <c r="A40" s="10"/>
      <c r="B40" s="16" t="s">
        <v>136</v>
      </c>
      <c r="C40" s="16"/>
      <c r="D40" s="16"/>
      <c r="E40" s="16"/>
      <c r="F40" s="16"/>
      <c r="G40" s="16"/>
      <c r="H40" s="16"/>
      <c r="I40" s="10"/>
      <c r="J40" s="10"/>
      <c r="K40" s="10"/>
    </row>
    <row r="41" spans="1:11" outlineLevel="1" x14ac:dyDescent="0.4">
      <c r="B41" s="17" t="s">
        <v>101</v>
      </c>
      <c r="C41" s="17"/>
    </row>
    <row r="42" spans="1:11" outlineLevel="1" x14ac:dyDescent="0.4">
      <c r="A42" s="52"/>
      <c r="B42" s="52" t="s">
        <v>104</v>
      </c>
      <c r="C42" s="52"/>
      <c r="D42" s="52"/>
      <c r="E42" s="52"/>
      <c r="F42" s="52"/>
      <c r="G42" s="112">
        <f>'Forecast Scenarios'!$D$20</f>
        <v>11405</v>
      </c>
      <c r="H42" s="112">
        <f>G42*(1+H$6)</f>
        <v>13115.749999999998</v>
      </c>
      <c r="I42" s="112">
        <f t="shared" ref="I42:K42" si="8">H42*(1+I$6)</f>
        <v>15083.112499999997</v>
      </c>
      <c r="J42" s="112">
        <f t="shared" si="8"/>
        <v>17345.579374999998</v>
      </c>
      <c r="K42" s="112">
        <f t="shared" si="8"/>
        <v>19947.416281249996</v>
      </c>
    </row>
    <row r="43" spans="1:11" outlineLevel="1" x14ac:dyDescent="0.4">
      <c r="B43" s="11" t="s">
        <v>106</v>
      </c>
      <c r="G43" s="26">
        <f>G42*G$7</f>
        <v>1710.75</v>
      </c>
      <c r="H43" s="26">
        <f t="shared" ref="H43:K43" si="9">H42*H$7</f>
        <v>1967.3624999999997</v>
      </c>
      <c r="I43" s="26">
        <f t="shared" si="9"/>
        <v>2262.4668749999996</v>
      </c>
      <c r="J43" s="26">
        <f t="shared" si="9"/>
        <v>2601.8369062499996</v>
      </c>
      <c r="K43" s="26">
        <f t="shared" si="9"/>
        <v>2992.1124421874993</v>
      </c>
    </row>
    <row r="44" spans="1:11" outlineLevel="1" x14ac:dyDescent="0.4">
      <c r="B44" s="11" t="s">
        <v>108</v>
      </c>
      <c r="G44" s="26">
        <f>'Forecast Scenarios'!$D$23</f>
        <v>10000</v>
      </c>
      <c r="H44" s="113">
        <v>0</v>
      </c>
      <c r="I44" s="113">
        <v>0</v>
      </c>
      <c r="J44" s="113">
        <v>0</v>
      </c>
      <c r="K44" s="113">
        <v>0</v>
      </c>
    </row>
    <row r="45" spans="1:11" outlineLevel="1" x14ac:dyDescent="0.4">
      <c r="B45" s="11" t="s">
        <v>109</v>
      </c>
      <c r="G45" s="26">
        <f>G$10</f>
        <v>1800</v>
      </c>
      <c r="H45" s="26">
        <f t="shared" ref="H45:K45" si="10">H$10</f>
        <v>1800</v>
      </c>
      <c r="I45" s="26">
        <f t="shared" si="10"/>
        <v>1800</v>
      </c>
      <c r="J45" s="26">
        <f t="shared" si="10"/>
        <v>1800</v>
      </c>
      <c r="K45" s="26">
        <f t="shared" si="10"/>
        <v>1800</v>
      </c>
    </row>
    <row r="46" spans="1:11" outlineLevel="1" x14ac:dyDescent="0.4">
      <c r="A46" s="23"/>
      <c r="B46" s="23" t="s">
        <v>110</v>
      </c>
      <c r="C46" s="23"/>
      <c r="D46" s="23"/>
      <c r="E46" s="23"/>
      <c r="F46" s="23"/>
      <c r="G46" s="62">
        <f>G$12</f>
        <v>500</v>
      </c>
      <c r="H46" s="62">
        <f t="shared" ref="H46:K46" si="11">H$12</f>
        <v>550</v>
      </c>
      <c r="I46" s="62">
        <f t="shared" si="11"/>
        <v>605</v>
      </c>
      <c r="J46" s="62">
        <f t="shared" si="11"/>
        <v>665.5</v>
      </c>
      <c r="K46" s="62">
        <f t="shared" si="11"/>
        <v>732.05000000000007</v>
      </c>
    </row>
    <row r="47" spans="1:11" outlineLevel="1" x14ac:dyDescent="0.4">
      <c r="B47" s="17" t="s">
        <v>111</v>
      </c>
      <c r="C47" s="17"/>
      <c r="D47" s="17"/>
      <c r="E47" s="17"/>
      <c r="F47" s="17"/>
      <c r="G47" s="28">
        <f>G42-G43-G44+G45-G46</f>
        <v>994.25</v>
      </c>
      <c r="H47" s="28">
        <f t="shared" ref="H47:K47" si="12">H42-H43-H44+H45-H46</f>
        <v>12398.387499999999</v>
      </c>
      <c r="I47" s="28">
        <f t="shared" si="12"/>
        <v>14015.645624999997</v>
      </c>
      <c r="J47" s="28">
        <f t="shared" si="12"/>
        <v>15878.242468749999</v>
      </c>
      <c r="K47" s="28">
        <f t="shared" si="12"/>
        <v>18023.253839062498</v>
      </c>
    </row>
    <row r="48" spans="1:11" outlineLevel="1" x14ac:dyDescent="0.4">
      <c r="B48" s="17" t="s">
        <v>139</v>
      </c>
      <c r="C48" s="17"/>
      <c r="D48" s="140">
        <f>D$22+D47</f>
        <v>-28166</v>
      </c>
      <c r="E48" s="140">
        <f t="shared" ref="E48:K48" si="13">E22+E47</f>
        <v>6339.55</v>
      </c>
      <c r="F48" s="140">
        <f t="shared" si="13"/>
        <v>10791</v>
      </c>
      <c r="G48" s="140">
        <f t="shared" si="13"/>
        <v>16821.849999999999</v>
      </c>
      <c r="H48" s="140">
        <f t="shared" si="13"/>
        <v>31288.797499999993</v>
      </c>
      <c r="I48" s="140">
        <f t="shared" si="13"/>
        <v>36607.156624999996</v>
      </c>
      <c r="J48" s="140">
        <f t="shared" si="13"/>
        <v>42939.376568749998</v>
      </c>
      <c r="K48" s="140">
        <f t="shared" si="13"/>
        <v>50479.067749062495</v>
      </c>
    </row>
    <row r="49" spans="2:4" outlineLevel="1" x14ac:dyDescent="0.4"/>
    <row r="50" spans="2:4" outlineLevel="1" x14ac:dyDescent="0.4">
      <c r="B50" s="17" t="s">
        <v>100</v>
      </c>
      <c r="C50" s="17"/>
    </row>
    <row r="51" spans="2:4" outlineLevel="1" x14ac:dyDescent="0.4">
      <c r="B51" s="11" t="s">
        <v>132</v>
      </c>
      <c r="C51" s="58"/>
      <c r="D51" s="26">
        <f>XNPV(D52,F48:K48,$F$2:$K$2)</f>
        <v>122766.84572458192</v>
      </c>
    </row>
    <row r="52" spans="2:4" outlineLevel="1" x14ac:dyDescent="0.4">
      <c r="B52" s="11" t="s">
        <v>121</v>
      </c>
      <c r="C52" s="49"/>
      <c r="D52" s="50">
        <v>0.15</v>
      </c>
    </row>
    <row r="53" spans="2:4" outlineLevel="1" x14ac:dyDescent="0.4">
      <c r="B53" s="11" t="s">
        <v>122</v>
      </c>
      <c r="C53" s="49"/>
      <c r="D53" s="50">
        <v>0.02</v>
      </c>
    </row>
    <row r="54" spans="2:4" outlineLevel="1" x14ac:dyDescent="0.4">
      <c r="B54" s="11" t="s">
        <v>117</v>
      </c>
      <c r="D54" s="59">
        <f>K48*(1+D53)/(D52-D53)</f>
        <v>396066.53156956728</v>
      </c>
    </row>
    <row r="55" spans="2:4" outlineLevel="1" x14ac:dyDescent="0.4">
      <c r="B55" s="11" t="s">
        <v>115</v>
      </c>
      <c r="D55" s="60">
        <f>D54/(1+D52)^(YEAR($K$2)-YEAR($F$2)+1)</f>
        <v>171230.49141449961</v>
      </c>
    </row>
    <row r="56" spans="2:4" outlineLevel="1" x14ac:dyDescent="0.4">
      <c r="B56" s="17" t="s">
        <v>116</v>
      </c>
      <c r="C56" s="17"/>
      <c r="D56" s="31">
        <f>D51+D55</f>
        <v>293997.33713908156</v>
      </c>
    </row>
    <row r="57" spans="2:4" outlineLevel="1" x14ac:dyDescent="0.4">
      <c r="B57" s="17"/>
      <c r="C57" s="17"/>
      <c r="D57" s="31"/>
    </row>
    <row r="58" spans="2:4" outlineLevel="1" x14ac:dyDescent="0.4">
      <c r="B58" s="17"/>
      <c r="C58" s="17"/>
      <c r="D58" s="31"/>
    </row>
    <row r="59" spans="2:4" outlineLevel="1" x14ac:dyDescent="0.4">
      <c r="B59" s="17"/>
      <c r="C59" s="17"/>
      <c r="D59" s="31"/>
    </row>
    <row r="60" spans="2:4" outlineLevel="1" x14ac:dyDescent="0.4">
      <c r="B60" s="17"/>
      <c r="C60" s="17"/>
      <c r="D60" s="31"/>
    </row>
    <row r="61" spans="2:4" outlineLevel="1" x14ac:dyDescent="0.4">
      <c r="B61" s="17"/>
      <c r="C61" s="17"/>
      <c r="D61" s="31"/>
    </row>
    <row r="62" spans="2:4" outlineLevel="1" x14ac:dyDescent="0.4">
      <c r="B62" s="17"/>
      <c r="C62" s="17"/>
      <c r="D62" s="31"/>
    </row>
    <row r="63" spans="2:4" outlineLevel="1" x14ac:dyDescent="0.4">
      <c r="B63" s="17"/>
      <c r="C63" s="17"/>
      <c r="D63" s="31"/>
    </row>
    <row r="64" spans="2:4" outlineLevel="1" x14ac:dyDescent="0.4">
      <c r="B64" s="17"/>
      <c r="C64" s="17"/>
      <c r="D64" s="31"/>
    </row>
    <row r="65" spans="1:11" outlineLevel="1" x14ac:dyDescent="0.4">
      <c r="B65" s="17"/>
      <c r="C65" s="17"/>
      <c r="D65" s="31"/>
    </row>
    <row r="66" spans="1:11" outlineLevel="1" x14ac:dyDescent="0.4"/>
    <row r="68" spans="1:11" x14ac:dyDescent="0.4">
      <c r="A68" s="10"/>
      <c r="B68" s="16" t="s">
        <v>137</v>
      </c>
      <c r="C68" s="16"/>
      <c r="D68" s="16"/>
      <c r="E68" s="16"/>
      <c r="F68" s="16"/>
      <c r="G68" s="10"/>
      <c r="H68" s="10"/>
      <c r="I68" s="10"/>
      <c r="J68" s="10"/>
      <c r="K68" s="10"/>
    </row>
    <row r="69" spans="1:11" outlineLevel="1" x14ac:dyDescent="0.4">
      <c r="B69" s="17" t="s">
        <v>101</v>
      </c>
      <c r="C69" s="17"/>
    </row>
    <row r="70" spans="1:11" outlineLevel="1" x14ac:dyDescent="0.4">
      <c r="A70" s="52"/>
      <c r="B70" s="52" t="s">
        <v>104</v>
      </c>
      <c r="C70" s="52"/>
      <c r="D70" s="52"/>
      <c r="E70" s="52"/>
      <c r="F70" s="52"/>
      <c r="G70" s="112">
        <f>'Forecast Scenarios'!$E$20</f>
        <v>14455</v>
      </c>
      <c r="H70" s="112">
        <f>G70*(1+H$6)</f>
        <v>16623.25</v>
      </c>
      <c r="I70" s="112">
        <f t="shared" ref="I70:K70" si="14">H70*(1+I$6)</f>
        <v>19116.737499999999</v>
      </c>
      <c r="J70" s="112">
        <f t="shared" si="14"/>
        <v>21984.248124999998</v>
      </c>
      <c r="K70" s="112">
        <f t="shared" si="14"/>
        <v>25281.885343749997</v>
      </c>
    </row>
    <row r="71" spans="1:11" outlineLevel="1" x14ac:dyDescent="0.4">
      <c r="B71" s="11" t="s">
        <v>106</v>
      </c>
      <c r="G71" s="26">
        <f>G70*$G$7</f>
        <v>2168.25</v>
      </c>
      <c r="H71" s="26">
        <f t="shared" ref="H71:K71" si="15">H70*$G$7</f>
        <v>2493.4874999999997</v>
      </c>
      <c r="I71" s="26">
        <f t="shared" si="15"/>
        <v>2867.5106249999999</v>
      </c>
      <c r="J71" s="26">
        <f t="shared" si="15"/>
        <v>3297.6372187499996</v>
      </c>
      <c r="K71" s="26">
        <f t="shared" si="15"/>
        <v>3792.2828015624991</v>
      </c>
    </row>
    <row r="72" spans="1:11" outlineLevel="1" x14ac:dyDescent="0.4">
      <c r="B72" s="11" t="s">
        <v>108</v>
      </c>
      <c r="G72" s="26">
        <f>'Forecast Scenarios'!$E$23</f>
        <v>8800</v>
      </c>
      <c r="H72" s="113">
        <v>0</v>
      </c>
      <c r="I72" s="113">
        <v>0</v>
      </c>
      <c r="J72" s="113">
        <v>0</v>
      </c>
      <c r="K72" s="113">
        <v>0</v>
      </c>
    </row>
    <row r="73" spans="1:11" outlineLevel="1" x14ac:dyDescent="0.4">
      <c r="B73" s="11" t="s">
        <v>109</v>
      </c>
      <c r="G73" s="26">
        <f>G$10</f>
        <v>1800</v>
      </c>
      <c r="H73" s="26">
        <f t="shared" ref="H73:K73" si="16">H$10</f>
        <v>1800</v>
      </c>
      <c r="I73" s="26">
        <f t="shared" si="16"/>
        <v>1800</v>
      </c>
      <c r="J73" s="26">
        <f t="shared" si="16"/>
        <v>1800</v>
      </c>
      <c r="K73" s="26">
        <f t="shared" si="16"/>
        <v>1800</v>
      </c>
    </row>
    <row r="74" spans="1:11" outlineLevel="1" x14ac:dyDescent="0.4">
      <c r="A74" s="23"/>
      <c r="B74" s="23" t="s">
        <v>110</v>
      </c>
      <c r="C74" s="23"/>
      <c r="D74" s="23"/>
      <c r="E74" s="23"/>
      <c r="F74" s="23"/>
      <c r="G74" s="62">
        <f>G$12</f>
        <v>500</v>
      </c>
      <c r="H74" s="62">
        <f t="shared" ref="H74:K74" si="17">H$12</f>
        <v>550</v>
      </c>
      <c r="I74" s="62">
        <f t="shared" si="17"/>
        <v>605</v>
      </c>
      <c r="J74" s="62">
        <f t="shared" si="17"/>
        <v>665.5</v>
      </c>
      <c r="K74" s="62">
        <f t="shared" si="17"/>
        <v>732.05000000000007</v>
      </c>
    </row>
    <row r="75" spans="1:11" outlineLevel="1" x14ac:dyDescent="0.4">
      <c r="B75" s="17" t="s">
        <v>111</v>
      </c>
      <c r="C75" s="17"/>
      <c r="D75" s="17"/>
      <c r="E75" s="17"/>
      <c r="F75" s="17"/>
      <c r="G75" s="28">
        <f>G70-G71-G72+G73-G74</f>
        <v>4786.75</v>
      </c>
      <c r="H75" s="28">
        <f t="shared" ref="H75:K75" si="18">H70-H71-H72+H73-H74</f>
        <v>15379.762500000001</v>
      </c>
      <c r="I75" s="28">
        <f t="shared" si="18"/>
        <v>17444.226875</v>
      </c>
      <c r="J75" s="28">
        <f t="shared" si="18"/>
        <v>19821.11090625</v>
      </c>
      <c r="K75" s="28">
        <f t="shared" si="18"/>
        <v>22557.552542187499</v>
      </c>
    </row>
    <row r="76" spans="1:11" outlineLevel="1" x14ac:dyDescent="0.4">
      <c r="B76" s="17" t="s">
        <v>140</v>
      </c>
      <c r="C76" s="17"/>
      <c r="D76" s="140">
        <f>D$22+D75</f>
        <v>-28166</v>
      </c>
      <c r="E76" s="140">
        <f t="shared" ref="E76:K76" si="19">E$22+E75</f>
        <v>6339.55</v>
      </c>
      <c r="F76" s="140">
        <f t="shared" si="19"/>
        <v>10791</v>
      </c>
      <c r="G76" s="140">
        <f t="shared" si="19"/>
        <v>20614.349999999999</v>
      </c>
      <c r="H76" s="140">
        <f t="shared" si="19"/>
        <v>34270.172500000001</v>
      </c>
      <c r="I76" s="140">
        <f t="shared" si="19"/>
        <v>40035.737874999999</v>
      </c>
      <c r="J76" s="140">
        <f t="shared" si="19"/>
        <v>46882.245006249999</v>
      </c>
      <c r="K76" s="140">
        <f t="shared" si="19"/>
        <v>55013.366452187496</v>
      </c>
    </row>
    <row r="77" spans="1:11" outlineLevel="1" x14ac:dyDescent="0.4"/>
    <row r="78" spans="1:11" outlineLevel="1" x14ac:dyDescent="0.4">
      <c r="B78" s="17" t="s">
        <v>100</v>
      </c>
      <c r="C78" s="17"/>
    </row>
    <row r="79" spans="1:11" outlineLevel="1" x14ac:dyDescent="0.4">
      <c r="B79" s="11" t="s">
        <v>132</v>
      </c>
      <c r="C79" s="58"/>
      <c r="D79" s="26">
        <f>XNPV(D80,F76:K76,$F$2:$K$2)</f>
        <v>135079.47397848929</v>
      </c>
    </row>
    <row r="80" spans="1:11" outlineLevel="1" x14ac:dyDescent="0.4">
      <c r="B80" s="11" t="s">
        <v>121</v>
      </c>
      <c r="C80" s="49"/>
      <c r="D80" s="50">
        <v>0.15</v>
      </c>
    </row>
    <row r="81" spans="1:11" outlineLevel="1" x14ac:dyDescent="0.4">
      <c r="B81" s="11" t="s">
        <v>122</v>
      </c>
      <c r="C81" s="49"/>
      <c r="D81" s="50">
        <v>0.02</v>
      </c>
    </row>
    <row r="82" spans="1:11" outlineLevel="1" x14ac:dyDescent="0.4">
      <c r="B82" s="11" t="s">
        <v>117</v>
      </c>
      <c r="D82" s="59">
        <f>K76*(1+D81)/(D80-D81)</f>
        <v>431643.33677870192</v>
      </c>
    </row>
    <row r="83" spans="1:11" outlineLevel="1" x14ac:dyDescent="0.4">
      <c r="B83" s="11" t="s">
        <v>115</v>
      </c>
      <c r="D83" s="60">
        <f>D82/(1+D80)^(YEAR($K$2)-YEAR($F$2)+1)</f>
        <v>186611.32608077853</v>
      </c>
    </row>
    <row r="84" spans="1:11" outlineLevel="1" x14ac:dyDescent="0.4">
      <c r="B84" s="17" t="s">
        <v>116</v>
      </c>
      <c r="C84" s="17"/>
      <c r="D84" s="31">
        <f>D79+D83</f>
        <v>321690.80005926779</v>
      </c>
    </row>
    <row r="85" spans="1:11" outlineLevel="1" x14ac:dyDescent="0.4">
      <c r="B85" s="17"/>
      <c r="C85" s="17"/>
      <c r="D85" s="31"/>
    </row>
    <row r="86" spans="1:11" outlineLevel="1" x14ac:dyDescent="0.4">
      <c r="B86" s="17"/>
      <c r="C86" s="17"/>
      <c r="D86" s="31"/>
    </row>
    <row r="87" spans="1:11" outlineLevel="1" x14ac:dyDescent="0.4">
      <c r="B87" s="17"/>
      <c r="C87" s="17"/>
      <c r="D87" s="31"/>
    </row>
    <row r="88" spans="1:11" outlineLevel="1" x14ac:dyDescent="0.4">
      <c r="B88" s="17"/>
      <c r="C88" s="17"/>
      <c r="D88" s="31"/>
    </row>
    <row r="89" spans="1:11" outlineLevel="1" x14ac:dyDescent="0.4">
      <c r="B89" s="17"/>
      <c r="C89" s="17"/>
      <c r="D89" s="31"/>
    </row>
    <row r="90" spans="1:11" outlineLevel="1" x14ac:dyDescent="0.4">
      <c r="B90" s="17"/>
      <c r="C90" s="17"/>
      <c r="D90" s="31"/>
    </row>
    <row r="91" spans="1:11" outlineLevel="1" x14ac:dyDescent="0.4">
      <c r="B91" s="17"/>
      <c r="C91" s="17"/>
      <c r="D91" s="31"/>
    </row>
    <row r="92" spans="1:11" outlineLevel="1" x14ac:dyDescent="0.4">
      <c r="B92" s="17"/>
      <c r="C92" s="17"/>
      <c r="D92" s="31"/>
    </row>
    <row r="93" spans="1:11" outlineLevel="1" x14ac:dyDescent="0.4"/>
    <row r="96" spans="1:11" x14ac:dyDescent="0.4">
      <c r="A96" s="10"/>
      <c r="B96" s="16" t="s">
        <v>138</v>
      </c>
      <c r="C96" s="16"/>
      <c r="D96" s="16"/>
      <c r="E96" s="16"/>
      <c r="F96" s="16"/>
      <c r="G96" s="10"/>
      <c r="H96" s="10"/>
      <c r="I96" s="10"/>
      <c r="J96" s="10"/>
      <c r="K96" s="10"/>
    </row>
    <row r="97" spans="1:11" outlineLevel="1" x14ac:dyDescent="0.4">
      <c r="B97" s="17" t="s">
        <v>101</v>
      </c>
      <c r="C97" s="17"/>
    </row>
    <row r="98" spans="1:11" outlineLevel="1" x14ac:dyDescent="0.4">
      <c r="A98" s="52"/>
      <c r="B98" s="52" t="s">
        <v>104</v>
      </c>
      <c r="C98" s="52"/>
      <c r="D98" s="52"/>
      <c r="E98" s="52"/>
      <c r="F98" s="52"/>
      <c r="G98" s="112">
        <f>'Forecast Scenarios'!C20</f>
        <v>8367</v>
      </c>
      <c r="H98" s="112">
        <f>G98*(1+H$6)</f>
        <v>9622.0499999999993</v>
      </c>
      <c r="I98" s="112">
        <f t="shared" ref="I98:K98" si="20">H98*(1+I$6)</f>
        <v>11065.357499999998</v>
      </c>
      <c r="J98" s="112">
        <f t="shared" si="20"/>
        <v>12725.161124999997</v>
      </c>
      <c r="K98" s="112">
        <f t="shared" si="20"/>
        <v>14633.935293749995</v>
      </c>
    </row>
    <row r="99" spans="1:11" outlineLevel="1" x14ac:dyDescent="0.4">
      <c r="B99" s="11" t="s">
        <v>106</v>
      </c>
      <c r="G99" s="26">
        <f>G98*$G$7</f>
        <v>1255.05</v>
      </c>
      <c r="H99" s="26">
        <f t="shared" ref="H99:K99" si="21">H98*$G$7</f>
        <v>1443.3074999999999</v>
      </c>
      <c r="I99" s="26">
        <f t="shared" si="21"/>
        <v>1659.8036249999998</v>
      </c>
      <c r="J99" s="26">
        <f t="shared" si="21"/>
        <v>1908.7741687499995</v>
      </c>
      <c r="K99" s="26">
        <f t="shared" si="21"/>
        <v>2195.0902940624992</v>
      </c>
    </row>
    <row r="100" spans="1:11" outlineLevel="1" x14ac:dyDescent="0.4">
      <c r="B100" s="11" t="s">
        <v>108</v>
      </c>
      <c r="G100" s="26">
        <f>'Forecast Scenarios'!C23</f>
        <v>11900</v>
      </c>
      <c r="H100" s="113">
        <v>0</v>
      </c>
      <c r="I100" s="113">
        <v>0</v>
      </c>
      <c r="J100" s="113">
        <v>0</v>
      </c>
      <c r="K100" s="113">
        <v>0</v>
      </c>
    </row>
    <row r="101" spans="1:11" outlineLevel="1" x14ac:dyDescent="0.4">
      <c r="B101" s="11" t="s">
        <v>109</v>
      </c>
      <c r="G101" s="26">
        <f>G$10</f>
        <v>1800</v>
      </c>
      <c r="H101" s="26">
        <f t="shared" ref="H101:K101" si="22">H$10</f>
        <v>1800</v>
      </c>
      <c r="I101" s="26">
        <f t="shared" si="22"/>
        <v>1800</v>
      </c>
      <c r="J101" s="26">
        <f t="shared" si="22"/>
        <v>1800</v>
      </c>
      <c r="K101" s="26">
        <f t="shared" si="22"/>
        <v>1800</v>
      </c>
    </row>
    <row r="102" spans="1:11" outlineLevel="1" x14ac:dyDescent="0.4">
      <c r="A102" s="23"/>
      <c r="B102" s="23" t="s">
        <v>110</v>
      </c>
      <c r="C102" s="23"/>
      <c r="D102" s="23"/>
      <c r="E102" s="23"/>
      <c r="F102" s="23"/>
      <c r="G102" s="62">
        <f>G$12</f>
        <v>500</v>
      </c>
      <c r="H102" s="62">
        <f t="shared" ref="H102:K102" si="23">H$12</f>
        <v>550</v>
      </c>
      <c r="I102" s="62">
        <f t="shared" si="23"/>
        <v>605</v>
      </c>
      <c r="J102" s="62">
        <f t="shared" si="23"/>
        <v>665.5</v>
      </c>
      <c r="K102" s="62">
        <f t="shared" si="23"/>
        <v>732.05000000000007</v>
      </c>
    </row>
    <row r="103" spans="1:11" outlineLevel="1" x14ac:dyDescent="0.4">
      <c r="B103" s="17" t="s">
        <v>111</v>
      </c>
      <c r="C103" s="17"/>
      <c r="D103" s="17"/>
      <c r="E103" s="17"/>
      <c r="F103" s="17"/>
      <c r="G103" s="28">
        <f>G98-G99-G100+G101-G102</f>
        <v>-3488.05</v>
      </c>
      <c r="H103" s="28">
        <f t="shared" ref="H103:K103" si="24">H98-H99-H100+H101-H102</f>
        <v>9428.7425000000003</v>
      </c>
      <c r="I103" s="28">
        <f t="shared" si="24"/>
        <v>10600.553874999998</v>
      </c>
      <c r="J103" s="28">
        <f t="shared" si="24"/>
        <v>11950.886956249997</v>
      </c>
      <c r="K103" s="28">
        <f t="shared" si="24"/>
        <v>13506.794999687496</v>
      </c>
    </row>
    <row r="104" spans="1:11" outlineLevel="1" x14ac:dyDescent="0.4">
      <c r="B104" s="17" t="s">
        <v>141</v>
      </c>
      <c r="C104" s="17"/>
      <c r="D104" s="140">
        <f>D$22+D103</f>
        <v>-28166</v>
      </c>
      <c r="E104" s="140">
        <f t="shared" ref="E104:K104" si="25">E$22+E103</f>
        <v>6339.55</v>
      </c>
      <c r="F104" s="140">
        <f t="shared" si="25"/>
        <v>10791</v>
      </c>
      <c r="G104" s="140">
        <f t="shared" si="25"/>
        <v>12339.55</v>
      </c>
      <c r="H104" s="140">
        <f t="shared" si="25"/>
        <v>28319.152499999997</v>
      </c>
      <c r="I104" s="140">
        <f t="shared" si="25"/>
        <v>33192.064874999996</v>
      </c>
      <c r="J104" s="140">
        <f t="shared" si="25"/>
        <v>39012.021056249992</v>
      </c>
      <c r="K104" s="140">
        <f t="shared" si="25"/>
        <v>45962.608909687493</v>
      </c>
    </row>
    <row r="105" spans="1:11" outlineLevel="1" x14ac:dyDescent="0.4"/>
    <row r="106" spans="1:11" outlineLevel="1" x14ac:dyDescent="0.4">
      <c r="B106" s="17" t="s">
        <v>100</v>
      </c>
      <c r="C106" s="17"/>
    </row>
    <row r="107" spans="1:11" outlineLevel="1" x14ac:dyDescent="0.4">
      <c r="B107" s="11" t="s">
        <v>132</v>
      </c>
      <c r="C107" s="58"/>
      <c r="D107" s="26">
        <f>XNPV(D108,F104:K104,$F$2:$K$2)</f>
        <v>109889.85945781751</v>
      </c>
    </row>
    <row r="108" spans="1:11" outlineLevel="1" x14ac:dyDescent="0.4">
      <c r="B108" s="11" t="s">
        <v>121</v>
      </c>
      <c r="C108" s="49"/>
      <c r="D108" s="50">
        <v>0.15</v>
      </c>
    </row>
    <row r="109" spans="1:11" outlineLevel="1" x14ac:dyDescent="0.4">
      <c r="B109" s="11" t="s">
        <v>122</v>
      </c>
      <c r="C109" s="49"/>
      <c r="D109" s="50">
        <v>0.02</v>
      </c>
    </row>
    <row r="110" spans="1:11" outlineLevel="1" x14ac:dyDescent="0.4">
      <c r="B110" s="11" t="s">
        <v>117</v>
      </c>
      <c r="D110" s="59">
        <f>K104*(1+D109)/(D108-D109)</f>
        <v>360629.70067600958</v>
      </c>
    </row>
    <row r="111" spans="1:11" outlineLevel="1" x14ac:dyDescent="0.4">
      <c r="B111" s="11" t="s">
        <v>115</v>
      </c>
      <c r="D111" s="60">
        <f>D110/(1+D108)^(YEAR($K$2)-YEAR($F$2)+1)</f>
        <v>155910.17150756344</v>
      </c>
    </row>
    <row r="112" spans="1:11" outlineLevel="1" x14ac:dyDescent="0.4">
      <c r="B112" s="17" t="s">
        <v>116</v>
      </c>
      <c r="C112" s="17"/>
      <c r="D112" s="31">
        <f>D107+D111</f>
        <v>265800.03096538095</v>
      </c>
    </row>
    <row r="113" spans="1:6" outlineLevel="1" x14ac:dyDescent="0.4">
      <c r="B113" s="17"/>
      <c r="C113" s="17"/>
      <c r="D113" s="31"/>
    </row>
    <row r="114" spans="1:6" outlineLevel="1" x14ac:dyDescent="0.4">
      <c r="B114" s="17"/>
      <c r="C114" s="17"/>
      <c r="D114" s="31"/>
    </row>
    <row r="115" spans="1:6" outlineLevel="1" x14ac:dyDescent="0.4">
      <c r="B115" s="17"/>
      <c r="C115" s="17"/>
      <c r="D115" s="31"/>
    </row>
    <row r="116" spans="1:6" outlineLevel="1" x14ac:dyDescent="0.4">
      <c r="B116" s="17"/>
      <c r="C116" s="17"/>
      <c r="D116" s="31"/>
    </row>
    <row r="117" spans="1:6" outlineLevel="1" x14ac:dyDescent="0.4">
      <c r="B117" s="17"/>
      <c r="C117" s="17"/>
      <c r="D117" s="31"/>
    </row>
    <row r="118" spans="1:6" outlineLevel="1" x14ac:dyDescent="0.4">
      <c r="B118" s="17"/>
      <c r="C118" s="17"/>
      <c r="D118" s="31"/>
    </row>
    <row r="119" spans="1:6" outlineLevel="1" x14ac:dyDescent="0.4">
      <c r="B119" s="17"/>
      <c r="C119" s="17"/>
      <c r="D119" s="31"/>
    </row>
    <row r="120" spans="1:6" outlineLevel="1" x14ac:dyDescent="0.4">
      <c r="B120" s="17"/>
      <c r="C120" s="17"/>
      <c r="D120" s="31"/>
    </row>
    <row r="121" spans="1:6" ht="15" outlineLevel="1" x14ac:dyDescent="0.4">
      <c r="A121"/>
      <c r="B121"/>
      <c r="C121"/>
      <c r="D121"/>
      <c r="E121"/>
      <c r="F121"/>
    </row>
    <row r="122" spans="1:6" ht="15" x14ac:dyDescent="0.4">
      <c r="A122"/>
      <c r="B122"/>
      <c r="C122"/>
      <c r="D122"/>
      <c r="E122"/>
      <c r="F1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 Page</vt:lpstr>
      <vt:lpstr>Financial Statements</vt:lpstr>
      <vt:lpstr>Strategic Alternatives</vt:lpstr>
      <vt:lpstr>DCF Model</vt:lpstr>
      <vt:lpstr>Forecast Scenarios</vt:lpstr>
      <vt:lpstr>DCF Model - Scenarios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Case study - Monic</dc:title>
  <dc:creator>CFI</dc:creator>
  <cp:lastModifiedBy>Katie Au Yeung</cp:lastModifiedBy>
  <dcterms:created xsi:type="dcterms:W3CDTF">2018-04-20T16:15:35Z</dcterms:created>
  <dcterms:modified xsi:type="dcterms:W3CDTF">2020-05-20T15:53:10Z</dcterms:modified>
</cp:coreProperties>
</file>