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wnloads\CFI\Advanced Excel Formulas and Functions\"/>
    </mc:Choice>
  </mc:AlternateContent>
  <xr:revisionPtr revIDLastSave="0" documentId="13_ncr:1_{2ECEB1BA-0FAE-4F11-BCD4-7D5469776399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Copyright" sheetId="6" r:id="rId1"/>
    <sheet name="Cover Page" sheetId="5" r:id="rId2"/>
    <sheet name="Analysis &amp; Calculations" sheetId="4" r:id="rId3"/>
    <sheet name="Raw Data" sheetId="3" r:id="rId4"/>
  </sheets>
  <definedNames>
    <definedName name="chartcogs">'Analysis &amp; Calculations'!$E$97:OFFSET('Analysis &amp; Calculations'!$E$97,0,COUNT('Analysis &amp; Calculations'!$E$97:$T$97)-1)</definedName>
    <definedName name="chartgrossmargin">'Analysis &amp; Calculations'!$E$95:OFFSET('Analysis &amp; Calculations'!$E$95,0,COUNT('Analysis &amp; Calculations'!$E$95:$T$95)-1)</definedName>
    <definedName name="chartmarketing">'Analysis &amp; Calculations'!$E$99:OFFSET('Analysis &amp; Calculations'!$E$99,0,COUNT('Analysis &amp; Calculations'!$E$99:$T$99)-1)</definedName>
    <definedName name="chartnetincome">'Analysis &amp; Calculations'!$E$102:OFFSET('Analysis &amp; Calculations'!$E$102,0,COUNT('Analysis &amp; Calculations'!$E$102:$T$102)-1)</definedName>
    <definedName name="chartrent">'Analysis &amp; Calculations'!$E$100:OFFSET('Analysis &amp; Calculations'!$E$100,0,COUNT('Analysis &amp; Calculations'!$E$100:$T$100)-1)</definedName>
    <definedName name="chartrevenue">'Analysis &amp; Calculations'!$E$94:OFFSET('Analysis &amp; Calculations'!$E$94,0,COUNT('Analysis &amp; Calculations'!$E$94:$T$94)-1)</definedName>
    <definedName name="chartsalaries">'Analysis &amp; Calculations'!$E$98:OFFSET('Analysis &amp; Calculations'!$E$98,0,COUNT('Analysis &amp; Calculations'!$E$98:$T$98)-1)</definedName>
    <definedName name="charttax">'Analysis &amp; Calculations'!$E$101:OFFSET('Analysis &amp; Calculations'!$E$101,0,COUNT('Analysis &amp; Calculations'!$E$101:$T$101)-1)</definedName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Copyright!$A$1:$P$26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4" l="1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C85" i="4" l="1"/>
  <c r="C86" i="4" s="1"/>
  <c r="C87" i="4" s="1"/>
  <c r="C88" i="4" s="1"/>
  <c r="E83" i="4"/>
  <c r="F83" i="4" s="1"/>
  <c r="G83" i="4" s="1"/>
  <c r="H83" i="4" s="1"/>
  <c r="C16" i="5"/>
  <c r="C15" i="5"/>
  <c r="C14" i="5"/>
  <c r="E68" i="4" l="1"/>
  <c r="F73" i="4"/>
  <c r="E53" i="4"/>
  <c r="E52" i="4"/>
  <c r="E51" i="4"/>
  <c r="F49" i="4"/>
  <c r="G49" i="4" s="1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T53" i="4" s="1"/>
  <c r="F14" i="4"/>
  <c r="F16" i="4" s="1"/>
  <c r="F18" i="4" s="1"/>
  <c r="F22" i="4" s="1"/>
  <c r="C13" i="4"/>
  <c r="C23" i="4"/>
  <c r="C21" i="4"/>
  <c r="C20" i="4"/>
  <c r="C19" i="4"/>
  <c r="C17" i="4"/>
  <c r="C11" i="4"/>
  <c r="B13" i="4"/>
  <c r="B11" i="4"/>
  <c r="A12" i="4"/>
  <c r="A13" i="4"/>
  <c r="A11" i="4"/>
  <c r="B17" i="4"/>
  <c r="B19" i="4"/>
  <c r="B20" i="4"/>
  <c r="B21" i="4"/>
  <c r="B23" i="4"/>
  <c r="F53" i="4" l="1"/>
  <c r="Q53" i="4"/>
  <c r="I53" i="4"/>
  <c r="P52" i="4"/>
  <c r="H52" i="4"/>
  <c r="M53" i="4"/>
  <c r="T52" i="4"/>
  <c r="L52" i="4"/>
  <c r="N53" i="4"/>
  <c r="M52" i="4"/>
  <c r="L53" i="4"/>
  <c r="S52" i="4"/>
  <c r="K52" i="4"/>
  <c r="S53" i="4"/>
  <c r="K53" i="4"/>
  <c r="R52" i="4"/>
  <c r="J52" i="4"/>
  <c r="R53" i="4"/>
  <c r="J53" i="4"/>
  <c r="Q52" i="4"/>
  <c r="I52" i="4"/>
  <c r="P53" i="4"/>
  <c r="H53" i="4"/>
  <c r="O52" i="4"/>
  <c r="G52" i="4"/>
  <c r="O53" i="4"/>
  <c r="G53" i="4"/>
  <c r="N52" i="4"/>
  <c r="F52" i="4"/>
  <c r="E54" i="4"/>
  <c r="E55" i="4" s="1"/>
  <c r="F24" i="4"/>
  <c r="I14" i="4"/>
  <c r="I16" i="4" s="1"/>
  <c r="I18" i="4" s="1"/>
  <c r="I22" i="4" s="1"/>
  <c r="I24" i="4" s="1"/>
  <c r="M14" i="4"/>
  <c r="M16" i="4" s="1"/>
  <c r="M18" i="4" s="1"/>
  <c r="M22" i="4" s="1"/>
  <c r="M24" i="4" s="1"/>
  <c r="L14" i="4"/>
  <c r="L16" i="4" s="1"/>
  <c r="L18" i="4" s="1"/>
  <c r="L22" i="4" s="1"/>
  <c r="L24" i="4" s="1"/>
  <c r="K14" i="4"/>
  <c r="K16" i="4" s="1"/>
  <c r="K18" i="4" s="1"/>
  <c r="K22" i="4" s="1"/>
  <c r="K24" i="4" s="1"/>
  <c r="J14" i="4"/>
  <c r="J16" i="4" s="1"/>
  <c r="J18" i="4" s="1"/>
  <c r="J22" i="4" s="1"/>
  <c r="J24" i="4" s="1"/>
  <c r="H14" i="4"/>
  <c r="H16" i="4" s="1"/>
  <c r="H18" i="4" s="1"/>
  <c r="H22" i="4" s="1"/>
  <c r="H24" i="4" s="1"/>
  <c r="E14" i="4"/>
  <c r="E16" i="4" s="1"/>
  <c r="G14" i="4"/>
  <c r="G16" i="4" s="1"/>
  <c r="G18" i="4" s="1"/>
  <c r="G22" i="4" s="1"/>
  <c r="G24" i="4" s="1"/>
  <c r="N14" i="4"/>
  <c r="N16" i="4" s="1"/>
  <c r="N18" i="4" s="1"/>
  <c r="N22" i="4" s="1"/>
  <c r="N24" i="4" s="1"/>
  <c r="C12" i="4"/>
  <c r="B12" i="4"/>
  <c r="F51" i="4" l="1"/>
  <c r="C16" i="4"/>
  <c r="B16" i="4"/>
  <c r="E18" i="4"/>
  <c r="B14" i="4"/>
  <c r="C14" i="4"/>
  <c r="F54" i="4" l="1"/>
  <c r="F55" i="4" s="1"/>
  <c r="B18" i="4"/>
  <c r="E22" i="4"/>
  <c r="C18" i="4"/>
  <c r="G51" i="4" l="1"/>
  <c r="E24" i="4"/>
  <c r="B22" i="4"/>
  <c r="C22" i="4"/>
  <c r="B24" i="4" l="1"/>
  <c r="C24" i="4"/>
  <c r="G54" i="4" l="1"/>
  <c r="G55" i="4" s="1"/>
  <c r="H51" i="4" l="1"/>
  <c r="H54" i="4" l="1"/>
  <c r="H55" i="4" s="1"/>
  <c r="I51" i="4" l="1"/>
  <c r="I54" i="4" l="1"/>
  <c r="I55" i="4" s="1"/>
  <c r="J51" i="4" l="1"/>
  <c r="J54" i="4" l="1"/>
  <c r="J55" i="4" s="1"/>
  <c r="K51" i="4" l="1"/>
  <c r="K54" i="4" l="1"/>
  <c r="K55" i="4" s="1"/>
  <c r="L51" i="4" l="1"/>
  <c r="L54" i="4" l="1"/>
  <c r="L55" i="4" s="1"/>
  <c r="M51" i="4" l="1"/>
  <c r="M54" i="4" l="1"/>
  <c r="M55" i="4" s="1"/>
  <c r="N51" i="4" l="1"/>
  <c r="N54" i="4" l="1"/>
  <c r="N55" i="4" s="1"/>
  <c r="O51" i="4" l="1"/>
  <c r="O54" i="4" l="1"/>
  <c r="O55" i="4" s="1"/>
  <c r="P51" i="4" l="1"/>
  <c r="P54" i="4" l="1"/>
  <c r="P55" i="4" s="1"/>
  <c r="Q51" i="4" l="1"/>
  <c r="Q54" i="4" l="1"/>
  <c r="E5" i="4"/>
  <c r="E63" i="4" l="1"/>
  <c r="E6" i="4"/>
  <c r="E35" i="4"/>
  <c r="E99" i="4" s="1"/>
  <c r="Q55" i="4"/>
  <c r="R51" i="4" s="1"/>
  <c r="R54" i="4"/>
  <c r="E32" i="4"/>
  <c r="E97" i="4" s="1"/>
  <c r="E34" i="4"/>
  <c r="E98" i="4" s="1"/>
  <c r="E36" i="4"/>
  <c r="E100" i="4" s="1"/>
  <c r="E38" i="4"/>
  <c r="E101" i="4" s="1"/>
  <c r="E31" i="4"/>
  <c r="E74" i="4" s="1"/>
  <c r="E33" i="4"/>
  <c r="E75" i="4" s="1"/>
  <c r="E37" i="4"/>
  <c r="E39" i="4"/>
  <c r="E76" i="4" s="1"/>
  <c r="F5" i="4"/>
  <c r="F31" i="4" l="1"/>
  <c r="F94" i="4" s="1"/>
  <c r="E102" i="4"/>
  <c r="E94" i="4"/>
  <c r="E95" i="4"/>
  <c r="F34" i="4"/>
  <c r="F98" i="4" s="1"/>
  <c r="F38" i="4"/>
  <c r="F101" i="4" s="1"/>
  <c r="F37" i="4"/>
  <c r="F39" i="4"/>
  <c r="F102" i="4" s="1"/>
  <c r="F36" i="4"/>
  <c r="F100" i="4" s="1"/>
  <c r="F6" i="4"/>
  <c r="F63" i="4"/>
  <c r="F32" i="4"/>
  <c r="F97" i="4" s="1"/>
  <c r="R55" i="4"/>
  <c r="S51" i="4" s="1"/>
  <c r="F33" i="4"/>
  <c r="G5" i="4"/>
  <c r="H5" i="4" s="1"/>
  <c r="F35" i="4"/>
  <c r="F99" i="4" s="1"/>
  <c r="F95" i="4" l="1"/>
  <c r="G33" i="4"/>
  <c r="G34" i="4"/>
  <c r="G38" i="4"/>
  <c r="G35" i="4"/>
  <c r="G63" i="4"/>
  <c r="G6" i="4"/>
  <c r="G37" i="4"/>
  <c r="C37" i="4" s="1"/>
  <c r="G39" i="4"/>
  <c r="G31" i="4"/>
  <c r="G32" i="4"/>
  <c r="H6" i="4"/>
  <c r="H63" i="4"/>
  <c r="G36" i="4"/>
  <c r="I5" i="4"/>
  <c r="H33" i="4"/>
  <c r="H32" i="4"/>
  <c r="H97" i="4" s="1"/>
  <c r="H31" i="4"/>
  <c r="H94" i="4" s="1"/>
  <c r="H39" i="4"/>
  <c r="H102" i="4" s="1"/>
  <c r="H38" i="4"/>
  <c r="H101" i="4" s="1"/>
  <c r="H37" i="4"/>
  <c r="H36" i="4"/>
  <c r="H100" i="4" s="1"/>
  <c r="H35" i="4"/>
  <c r="H99" i="4" s="1"/>
  <c r="H34" i="4"/>
  <c r="H98" i="4" s="1"/>
  <c r="H95" i="4" l="1"/>
  <c r="C36" i="4"/>
  <c r="G100" i="4"/>
  <c r="B35" i="4"/>
  <c r="G99" i="4"/>
  <c r="C38" i="4"/>
  <c r="G101" i="4"/>
  <c r="C32" i="4"/>
  <c r="G97" i="4"/>
  <c r="B34" i="4"/>
  <c r="G98" i="4"/>
  <c r="C39" i="4"/>
  <c r="G102" i="4"/>
  <c r="B31" i="4"/>
  <c r="G94" i="4"/>
  <c r="B33" i="4"/>
  <c r="G95" i="4"/>
  <c r="B38" i="4"/>
  <c r="C35" i="4"/>
  <c r="C33" i="4"/>
  <c r="C31" i="4"/>
  <c r="B36" i="4"/>
  <c r="C34" i="4"/>
  <c r="B39" i="4"/>
  <c r="I6" i="4"/>
  <c r="I63" i="4"/>
  <c r="B37" i="4"/>
  <c r="B32" i="4"/>
  <c r="S54" i="4"/>
  <c r="S55" i="4" s="1"/>
  <c r="J5" i="4"/>
  <c r="I34" i="4"/>
  <c r="I98" i="4" s="1"/>
  <c r="I33" i="4"/>
  <c r="I32" i="4"/>
  <c r="I97" i="4" s="1"/>
  <c r="I31" i="4"/>
  <c r="I39" i="4"/>
  <c r="I37" i="4"/>
  <c r="I38" i="4"/>
  <c r="I101" i="4" s="1"/>
  <c r="I36" i="4"/>
  <c r="I100" i="4" s="1"/>
  <c r="I35" i="4"/>
  <c r="I99" i="4" s="1"/>
  <c r="I102" i="4" l="1"/>
  <c r="I94" i="4"/>
  <c r="I95" i="4"/>
  <c r="J6" i="4"/>
  <c r="J63" i="4"/>
  <c r="T51" i="4"/>
  <c r="K5" i="4"/>
  <c r="J35" i="4"/>
  <c r="J99" i="4" s="1"/>
  <c r="J34" i="4"/>
  <c r="J98" i="4" s="1"/>
  <c r="J33" i="4"/>
  <c r="J38" i="4"/>
  <c r="J101" i="4" s="1"/>
  <c r="J32" i="4"/>
  <c r="J97" i="4" s="1"/>
  <c r="J31" i="4"/>
  <c r="J94" i="4" s="1"/>
  <c r="J39" i="4"/>
  <c r="J102" i="4" s="1"/>
  <c r="J37" i="4"/>
  <c r="J36" i="4"/>
  <c r="J100" i="4" s="1"/>
  <c r="G67" i="4"/>
  <c r="J95" i="4" l="1"/>
  <c r="G66" i="4"/>
  <c r="K6" i="4"/>
  <c r="K63" i="4"/>
  <c r="L5" i="4"/>
  <c r="K36" i="4"/>
  <c r="K100" i="4" s="1"/>
  <c r="K35" i="4"/>
  <c r="K99" i="4" s="1"/>
  <c r="K34" i="4"/>
  <c r="K98" i="4" s="1"/>
  <c r="K39" i="4"/>
  <c r="K102" i="4" s="1"/>
  <c r="K33" i="4"/>
  <c r="K32" i="4"/>
  <c r="K97" i="4" s="1"/>
  <c r="K31" i="4"/>
  <c r="K94" i="4" s="1"/>
  <c r="K38" i="4"/>
  <c r="K101" i="4" s="1"/>
  <c r="K37" i="4"/>
  <c r="K95" i="4" l="1"/>
  <c r="L63" i="4"/>
  <c r="L6" i="4"/>
  <c r="T54" i="4"/>
  <c r="T55" i="4" s="1"/>
  <c r="M5" i="4"/>
  <c r="L37" i="4"/>
  <c r="L36" i="4"/>
  <c r="L100" i="4" s="1"/>
  <c r="L35" i="4"/>
  <c r="L99" i="4" s="1"/>
  <c r="L34" i="4"/>
  <c r="L98" i="4" s="1"/>
  <c r="L32" i="4"/>
  <c r="L97" i="4" s="1"/>
  <c r="L33" i="4"/>
  <c r="L31" i="4"/>
  <c r="L94" i="4" s="1"/>
  <c r="L39" i="4"/>
  <c r="L102" i="4" s="1"/>
  <c r="L38" i="4"/>
  <c r="L101" i="4" s="1"/>
  <c r="L95" i="4" l="1"/>
  <c r="M6" i="4"/>
  <c r="M63" i="4"/>
  <c r="N5" i="4"/>
  <c r="M38" i="4"/>
  <c r="M101" i="4" s="1"/>
  <c r="M39" i="4"/>
  <c r="M102" i="4" s="1"/>
  <c r="M37" i="4"/>
  <c r="M36" i="4"/>
  <c r="M100" i="4" s="1"/>
  <c r="M33" i="4"/>
  <c r="M35" i="4"/>
  <c r="M99" i="4" s="1"/>
  <c r="M34" i="4"/>
  <c r="M98" i="4" s="1"/>
  <c r="M32" i="4"/>
  <c r="M97" i="4" s="1"/>
  <c r="M31" i="4"/>
  <c r="M94" i="4" s="1"/>
  <c r="M95" i="4" l="1"/>
  <c r="N6" i="4"/>
  <c r="N63" i="4"/>
  <c r="O5" i="4"/>
  <c r="N31" i="4"/>
  <c r="N94" i="4" s="1"/>
  <c r="N39" i="4"/>
  <c r="N102" i="4" s="1"/>
  <c r="N38" i="4"/>
  <c r="N101" i="4" s="1"/>
  <c r="N37" i="4"/>
  <c r="N34" i="4"/>
  <c r="N98" i="4" s="1"/>
  <c r="N36" i="4"/>
  <c r="N100" i="4" s="1"/>
  <c r="N35" i="4"/>
  <c r="N99" i="4" s="1"/>
  <c r="N33" i="4"/>
  <c r="N32" i="4"/>
  <c r="N97" i="4" s="1"/>
  <c r="N95" i="4" l="1"/>
  <c r="O63" i="4"/>
  <c r="O6" i="4"/>
  <c r="P5" i="4"/>
  <c r="O32" i="4"/>
  <c r="O97" i="4" s="1"/>
  <c r="O31" i="4"/>
  <c r="O94" i="4" s="1"/>
  <c r="O39" i="4"/>
  <c r="O102" i="4" s="1"/>
  <c r="O38" i="4"/>
  <c r="O101" i="4" s="1"/>
  <c r="O35" i="4"/>
  <c r="O99" i="4" s="1"/>
  <c r="O37" i="4"/>
  <c r="O36" i="4"/>
  <c r="O100" i="4" s="1"/>
  <c r="O34" i="4"/>
  <c r="O98" i="4" s="1"/>
  <c r="O33" i="4"/>
  <c r="O95" i="4" l="1"/>
  <c r="P63" i="4"/>
  <c r="P6" i="4"/>
  <c r="Q5" i="4"/>
  <c r="P33" i="4"/>
  <c r="P32" i="4"/>
  <c r="P97" i="4" s="1"/>
  <c r="P31" i="4"/>
  <c r="P94" i="4" s="1"/>
  <c r="P39" i="4"/>
  <c r="P102" i="4" s="1"/>
  <c r="P36" i="4"/>
  <c r="P100" i="4" s="1"/>
  <c r="P38" i="4"/>
  <c r="P101" i="4" s="1"/>
  <c r="P37" i="4"/>
  <c r="P35" i="4"/>
  <c r="P99" i="4" s="1"/>
  <c r="P34" i="4"/>
  <c r="P98" i="4" s="1"/>
  <c r="P95" i="4" l="1"/>
  <c r="Q63" i="4"/>
  <c r="Q6" i="4"/>
  <c r="R5" i="4"/>
  <c r="Q34" i="4"/>
  <c r="Q98" i="4" s="1"/>
  <c r="Q33" i="4"/>
  <c r="Q37" i="4"/>
  <c r="Q32" i="4"/>
  <c r="Q97" i="4" s="1"/>
  <c r="Q31" i="4"/>
  <c r="Q94" i="4" s="1"/>
  <c r="Q39" i="4"/>
  <c r="Q102" i="4" s="1"/>
  <c r="Q38" i="4"/>
  <c r="Q101" i="4" s="1"/>
  <c r="Q36" i="4"/>
  <c r="Q100" i="4" s="1"/>
  <c r="Q35" i="4"/>
  <c r="Q99" i="4" s="1"/>
  <c r="Q95" i="4" l="1"/>
  <c r="R63" i="4"/>
  <c r="R6" i="4"/>
  <c r="S5" i="4"/>
  <c r="R35" i="4"/>
  <c r="R99" i="4" s="1"/>
  <c r="R34" i="4"/>
  <c r="R98" i="4" s="1"/>
  <c r="R33" i="4"/>
  <c r="R32" i="4"/>
  <c r="R97" i="4" s="1"/>
  <c r="R31" i="4"/>
  <c r="R94" i="4" s="1"/>
  <c r="R39" i="4"/>
  <c r="R102" i="4" s="1"/>
  <c r="R38" i="4"/>
  <c r="R101" i="4" s="1"/>
  <c r="R37" i="4"/>
  <c r="R36" i="4"/>
  <c r="R100" i="4" s="1"/>
  <c r="B61" i="4" l="1"/>
  <c r="P66" i="4" s="1"/>
  <c r="R95" i="4"/>
  <c r="S63" i="4"/>
  <c r="B60" i="4" s="1"/>
  <c r="C83" i="4" s="1"/>
  <c r="S6" i="4"/>
  <c r="T5" i="4"/>
  <c r="S36" i="4"/>
  <c r="S100" i="4" s="1"/>
  <c r="S37" i="4"/>
  <c r="S35" i="4"/>
  <c r="S99" i="4" s="1"/>
  <c r="S34" i="4"/>
  <c r="S98" i="4" s="1"/>
  <c r="S31" i="4"/>
  <c r="S94" i="4" s="1"/>
  <c r="S33" i="4"/>
  <c r="S39" i="4"/>
  <c r="S102" i="4" s="1"/>
  <c r="S32" i="4"/>
  <c r="S97" i="4" s="1"/>
  <c r="S38" i="4"/>
  <c r="S101" i="4" s="1"/>
  <c r="F75" i="4" l="1"/>
  <c r="G74" i="4"/>
  <c r="G75" i="4"/>
  <c r="F76" i="4"/>
  <c r="G76" i="4"/>
  <c r="F74" i="4"/>
  <c r="S95" i="4"/>
  <c r="T63" i="4"/>
  <c r="T6" i="4"/>
  <c r="T37" i="4"/>
  <c r="T36" i="4"/>
  <c r="T100" i="4" s="1"/>
  <c r="T35" i="4"/>
  <c r="T99" i="4" s="1"/>
  <c r="T34" i="4"/>
  <c r="T98" i="4" s="1"/>
  <c r="T33" i="4"/>
  <c r="T32" i="4"/>
  <c r="T97" i="4" s="1"/>
  <c r="T31" i="4"/>
  <c r="T94" i="4" s="1"/>
  <c r="T39" i="4"/>
  <c r="T102" i="4" s="1"/>
  <c r="T38" i="4"/>
  <c r="T101" i="4" s="1"/>
  <c r="T95" i="4" l="1"/>
  <c r="I66" i="4"/>
  <c r="I6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Finance Institute® (CFI)</author>
  </authors>
  <commentList>
    <comment ref="A1" authorId="0" shapeId="0" xr:uid="{E2957D4D-C4D4-4F7A-90CC-21E523225F54}">
      <text>
        <r>
          <rPr>
            <b/>
            <sz val="9"/>
            <color indexed="81"/>
            <rFont val="Tahoma"/>
            <family val="2"/>
          </rPr>
          <t>Corporate Finance Institute® (CFI):</t>
        </r>
        <r>
          <rPr>
            <sz val="9"/>
            <color indexed="81"/>
            <rFont val="Tahoma"/>
            <family val="2"/>
          </rPr>
          <t xml:space="preserve">
Select case from form control drop down</t>
        </r>
      </text>
    </comment>
  </commentList>
</comments>
</file>

<file path=xl/sharedStrings.xml><?xml version="1.0" encoding="utf-8"?>
<sst xmlns="http://schemas.openxmlformats.org/spreadsheetml/2006/main" count="111" uniqueCount="77">
  <si>
    <t>Revenue</t>
  </si>
  <si>
    <t>COGS</t>
  </si>
  <si>
    <t>Gross Profit</t>
  </si>
  <si>
    <t>Salaries</t>
  </si>
  <si>
    <t>Marketing</t>
  </si>
  <si>
    <t>Rent</t>
  </si>
  <si>
    <t>Earnings Before Tax</t>
  </si>
  <si>
    <t>Tax</t>
  </si>
  <si>
    <t>Net Income</t>
  </si>
  <si>
    <t>Year</t>
  </si>
  <si>
    <t>First</t>
  </si>
  <si>
    <t>Last</t>
  </si>
  <si>
    <t># Periods</t>
  </si>
  <si>
    <t>Total</t>
  </si>
  <si>
    <t>Average</t>
  </si>
  <si>
    <t>Revenue Scenarios</t>
  </si>
  <si>
    <t>Base</t>
  </si>
  <si>
    <t>Upside</t>
  </si>
  <si>
    <t>Downside</t>
  </si>
  <si>
    <t>Live Case</t>
  </si>
  <si>
    <t>Raw Data</t>
  </si>
  <si>
    <t>Output Data</t>
  </si>
  <si>
    <t>Debt and Interest</t>
  </si>
  <si>
    <t>Debt Assumptions</t>
  </si>
  <si>
    <t>Loan Amount</t>
  </si>
  <si>
    <t>Term</t>
  </si>
  <si>
    <t>Rate</t>
  </si>
  <si>
    <t>Timeline</t>
  </si>
  <si>
    <t>Opening</t>
  </si>
  <si>
    <t>Total Payment</t>
  </si>
  <si>
    <t>Interest Payment</t>
  </si>
  <si>
    <t>Closing Balance</t>
  </si>
  <si>
    <t>Valuation</t>
  </si>
  <si>
    <t>NPV</t>
  </si>
  <si>
    <t>IRR</t>
  </si>
  <si>
    <t>Free Cash Flow</t>
  </si>
  <si>
    <t>Summary Report</t>
  </si>
  <si>
    <t>Discount</t>
  </si>
  <si>
    <t>2022 Net Income</t>
  </si>
  <si>
    <t>2022 Revenue</t>
  </si>
  <si>
    <t>Goal Seek Analysis</t>
  </si>
  <si>
    <t>Start column</t>
  </si>
  <si>
    <t>End column</t>
  </si>
  <si>
    <t>Row #</t>
  </si>
  <si>
    <t>E</t>
  </si>
  <si>
    <t>J</t>
  </si>
  <si>
    <t>Cumulative FCF</t>
  </si>
  <si>
    <t>Cover Page</t>
  </si>
  <si>
    <t>Table of Contents</t>
  </si>
  <si>
    <t>Criteria 1</t>
  </si>
  <si>
    <t>Criteria 2</t>
  </si>
  <si>
    <t>Result if True</t>
  </si>
  <si>
    <t>Result if False</t>
  </si>
  <si>
    <t>IRR &gt;=</t>
  </si>
  <si>
    <t>NPV &gt;=</t>
  </si>
  <si>
    <t>Invest</t>
  </si>
  <si>
    <t>Do NOT Invest</t>
  </si>
  <si>
    <t>Sensitivity Analysis</t>
  </si>
  <si>
    <t>Discount Rate</t>
  </si>
  <si>
    <t>Investment</t>
  </si>
  <si>
    <t>NPV Sensitivity</t>
  </si>
  <si>
    <t>Charts and Graphs</t>
  </si>
  <si>
    <t>Gross Margin</t>
  </si>
  <si>
    <t>Case:</t>
  </si>
  <si>
    <t># of Years</t>
  </si>
  <si>
    <t># of Years: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</si>
  <si>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</si>
  <si>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</si>
  <si>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</si>
  <si>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</si>
  <si>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</si>
  <si>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</si>
  <si>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</si>
  <si>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</si>
  <si>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</si>
  <si>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Principal Payment</t>
  </si>
  <si>
    <t>CFI Advanced Excel Formulas &amp; Functions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</si>
</sst>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Arial Narrow"/>
      <family val="2"/>
    </font>
    <font>
      <sz val="20"/>
      <color theme="0"/>
      <name val="Arial Narrow"/>
      <family val="2"/>
    </font>
    <font>
      <u/>
      <sz val="11"/>
      <color theme="10"/>
      <name val="Arial Narrow"/>
      <family val="2"/>
    </font>
    <font>
      <u/>
      <sz val="11"/>
      <color theme="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F57A1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</cellStyleXfs>
  <cellXfs count="71">
    <xf numFmtId="0" fontId="0" fillId="0" borderId="0" xfId="0"/>
    <xf numFmtId="1" fontId="0" fillId="0" borderId="0" xfId="0" applyNumberFormat="1"/>
    <xf numFmtId="14" fontId="6" fillId="0" borderId="0" xfId="0" applyNumberFormat="1" applyFont="1"/>
    <xf numFmtId="0" fontId="5" fillId="2" borderId="0" xfId="0" applyFont="1" applyFill="1"/>
    <xf numFmtId="0" fontId="3" fillId="2" borderId="0" xfId="0" applyFont="1" applyFill="1"/>
    <xf numFmtId="37" fontId="0" fillId="0" borderId="0" xfId="0" applyNumberFormat="1"/>
    <xf numFmtId="37" fontId="6" fillId="0" borderId="0" xfId="0" applyNumberFormat="1" applyFont="1"/>
    <xf numFmtId="0" fontId="6" fillId="0" borderId="0" xfId="0" applyFont="1"/>
    <xf numFmtId="0" fontId="5" fillId="2" borderId="0" xfId="0" applyFont="1" applyFill="1" applyAlignment="1">
      <alignment horizontal="right"/>
    </xf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8" fillId="0" borderId="0" xfId="0" applyFont="1" applyFill="1"/>
    <xf numFmtId="37" fontId="0" fillId="0" borderId="0" xfId="0" applyNumberFormat="1" applyAlignment="1">
      <alignment horizontal="right"/>
    </xf>
    <xf numFmtId="37" fontId="7" fillId="0" borderId="0" xfId="0" applyNumberFormat="1" applyFont="1" applyFill="1"/>
    <xf numFmtId="37" fontId="6" fillId="0" borderId="0" xfId="0" applyNumberFormat="1" applyFont="1" applyFill="1"/>
    <xf numFmtId="0" fontId="0" fillId="0" borderId="0" xfId="0" applyAlignment="1">
      <alignment horizontal="left"/>
    </xf>
    <xf numFmtId="37" fontId="7" fillId="0" borderId="0" xfId="0" applyNumberFormat="1" applyFont="1"/>
    <xf numFmtId="0" fontId="4" fillId="0" borderId="0" xfId="0" applyFont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right"/>
    </xf>
    <xf numFmtId="37" fontId="4" fillId="0" borderId="0" xfId="0" applyNumberFormat="1" applyFont="1"/>
    <xf numFmtId="37" fontId="4" fillId="0" borderId="0" xfId="0" applyNumberFormat="1" applyFont="1" applyAlignment="1">
      <alignment horizontal="right"/>
    </xf>
    <xf numFmtId="37" fontId="8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37" fontId="0" fillId="0" borderId="1" xfId="0" applyNumberFormat="1" applyBorder="1" applyAlignment="1">
      <alignment horizontal="right"/>
    </xf>
    <xf numFmtId="37" fontId="7" fillId="0" borderId="1" xfId="0" applyNumberFormat="1" applyFont="1" applyBorder="1"/>
    <xf numFmtId="0" fontId="4" fillId="0" borderId="2" xfId="0" applyFont="1" applyBorder="1"/>
    <xf numFmtId="37" fontId="4" fillId="0" borderId="2" xfId="0" applyNumberFormat="1" applyFont="1" applyBorder="1"/>
    <xf numFmtId="37" fontId="4" fillId="0" borderId="2" xfId="0" applyNumberFormat="1" applyFont="1" applyBorder="1" applyAlignment="1">
      <alignment horizontal="right"/>
    </xf>
    <xf numFmtId="37" fontId="8" fillId="0" borderId="2" xfId="0" applyNumberFormat="1" applyFont="1" applyBorder="1"/>
    <xf numFmtId="164" fontId="0" fillId="0" borderId="0" xfId="1" applyNumberFormat="1" applyFont="1"/>
    <xf numFmtId="164" fontId="6" fillId="0" borderId="0" xfId="1" applyNumberFormat="1" applyFont="1"/>
    <xf numFmtId="14" fontId="11" fillId="2" borderId="0" xfId="0" applyNumberFormat="1" applyFont="1" applyFill="1"/>
    <xf numFmtId="0" fontId="4" fillId="0" borderId="1" xfId="0" applyFont="1" applyBorder="1"/>
    <xf numFmtId="37" fontId="6" fillId="0" borderId="1" xfId="0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2" fillId="3" borderId="0" xfId="0" applyFont="1" applyFill="1"/>
    <xf numFmtId="0" fontId="5" fillId="3" borderId="3" xfId="0" applyFont="1" applyFill="1" applyBorder="1"/>
    <xf numFmtId="0" fontId="14" fillId="3" borderId="0" xfId="2" applyFont="1" applyFill="1"/>
    <xf numFmtId="37" fontId="5" fillId="0" borderId="0" xfId="0" applyNumberFormat="1" applyFont="1"/>
    <xf numFmtId="37" fontId="4" fillId="0" borderId="4" xfId="0" applyNumberFormat="1" applyFont="1" applyBorder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4" fillId="0" borderId="5" xfId="1" applyFont="1" applyBorder="1"/>
    <xf numFmtId="0" fontId="3" fillId="2" borderId="0" xfId="0" applyFont="1" applyFill="1" applyAlignment="1">
      <alignment horizontal="centerContinuous"/>
    </xf>
    <xf numFmtId="0" fontId="4" fillId="0" borderId="4" xfId="0" applyFont="1" applyBorder="1"/>
    <xf numFmtId="0" fontId="0" fillId="0" borderId="4" xfId="0" applyBorder="1"/>
    <xf numFmtId="9" fontId="0" fillId="0" borderId="0" xfId="1" applyFont="1"/>
    <xf numFmtId="37" fontId="0" fillId="0" borderId="0" xfId="0" applyNumberFormat="1" applyBorder="1"/>
    <xf numFmtId="0" fontId="0" fillId="0" borderId="0" xfId="0" applyNumberFormat="1"/>
    <xf numFmtId="14" fontId="0" fillId="0" borderId="0" xfId="0" applyNumberFormat="1"/>
    <xf numFmtId="14" fontId="7" fillId="0" borderId="0" xfId="0" applyNumberFormat="1" applyFont="1"/>
    <xf numFmtId="0" fontId="2" fillId="4" borderId="0" xfId="3" applyFont="1" applyFill="1"/>
    <xf numFmtId="0" fontId="2" fillId="0" borderId="0" xfId="3" applyFont="1" applyFill="1" applyBorder="1"/>
    <xf numFmtId="0" fontId="15" fillId="0" borderId="0" xfId="3" applyFont="1" applyFill="1" applyBorder="1" applyProtection="1">
      <protection locked="0"/>
    </xf>
    <xf numFmtId="0" fontId="4" fillId="0" borderId="0" xfId="3" applyFont="1" applyFill="1" applyBorder="1" applyAlignment="1">
      <alignment horizontal="right"/>
    </xf>
    <xf numFmtId="0" fontId="2" fillId="0" borderId="0" xfId="3" applyFont="1" applyFill="1" applyBorder="1" applyProtection="1">
      <protection locked="0"/>
    </xf>
    <xf numFmtId="0" fontId="1" fillId="0" borderId="0" xfId="3"/>
    <xf numFmtId="0" fontId="2" fillId="0" borderId="1" xfId="3" applyFont="1" applyFill="1" applyBorder="1"/>
    <xf numFmtId="0" fontId="17" fillId="0" borderId="0" xfId="4" applyFont="1" applyFill="1" applyBorder="1"/>
    <xf numFmtId="0" fontId="5" fillId="2" borderId="0" xfId="3" applyFont="1" applyFill="1" applyBorder="1"/>
    <xf numFmtId="0" fontId="2" fillId="2" borderId="0" xfId="3" applyFont="1" applyFill="1" applyBorder="1"/>
    <xf numFmtId="0" fontId="2" fillId="5" borderId="0" xfId="3" applyFont="1" applyFill="1"/>
    <xf numFmtId="0" fontId="5" fillId="2" borderId="0" xfId="3" applyFont="1" applyFill="1"/>
    <xf numFmtId="37" fontId="18" fillId="0" borderId="0" xfId="0" applyNumberFormat="1" applyFont="1" applyFill="1" applyBorder="1" applyAlignment="1"/>
  </cellXfs>
  <cellStyles count="5">
    <cellStyle name="Hyperlink" xfId="2" builtinId="8"/>
    <cellStyle name="Hyperlink 2 2" xfId="4" xr:uid="{BC1B4AD1-0FC4-4383-99EB-B35AB227BF66}"/>
    <cellStyle name="Normal" xfId="0" builtinId="0"/>
    <cellStyle name="Normal 2 2" xfId="3" xr:uid="{7A94DD79-2E49-45F6-B1EB-C44B61DCAED3}"/>
    <cellStyle name="Percent" xfId="1" builtinId="5"/>
  </cellStyles>
  <dxfs count="1">
    <dxf>
      <font>
        <color theme="0"/>
      </font>
      <fill>
        <patternFill>
          <bgColor rgb="FFF57A16"/>
        </patternFill>
      </fill>
    </dxf>
  </dxfs>
  <tableStyles count="0" defaultTableStyle="TableStyleMedium2" defaultPivotStyle="PivotStyleLight16"/>
  <colors>
    <mruColors>
      <color rgb="FFF57A16"/>
      <color rgb="FF132E57"/>
      <color rgb="FF0000FF"/>
      <color rgb="FFFA621C"/>
      <color rgb="FF4D4D4D"/>
      <color rgb="FF1E2A39"/>
      <color rgb="FFE6E7E8"/>
      <color rgb="FF1E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&amp; Calculations'!$A$94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[0]!chartrevenue</c:f>
              <c:numCache>
                <c:formatCode>#,##0_);\(#,##0\)</c:formatCode>
                <c:ptCount val="15"/>
                <c:pt idx="0">
                  <c:v>100500</c:v>
                </c:pt>
                <c:pt idx="1">
                  <c:v>110148</c:v>
                </c:pt>
                <c:pt idx="2">
                  <c:v>120832</c:v>
                </c:pt>
                <c:pt idx="3">
                  <c:v>131707</c:v>
                </c:pt>
                <c:pt idx="4">
                  <c:v>142244</c:v>
                </c:pt>
                <c:pt idx="5">
                  <c:v>156253</c:v>
                </c:pt>
                <c:pt idx="6">
                  <c:v>171642</c:v>
                </c:pt>
                <c:pt idx="7">
                  <c:v>188546</c:v>
                </c:pt>
                <c:pt idx="8">
                  <c:v>207115</c:v>
                </c:pt>
                <c:pt idx="9">
                  <c:v>227513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02617720"/>
        <c:axId val="602618048"/>
      </c:barChart>
      <c:lineChart>
        <c:grouping val="standard"/>
        <c:varyColors val="0"/>
        <c:ser>
          <c:idx val="1"/>
          <c:order val="1"/>
          <c:tx>
            <c:strRef>
              <c:f>'Analysis &amp; Calculations'!$A$95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[0]!chartgrossmargin</c:f>
              <c:numCache>
                <c:formatCode>0%</c:formatCode>
                <c:ptCount val="10"/>
                <c:pt idx="0">
                  <c:v>0.6152039800995025</c:v>
                </c:pt>
                <c:pt idx="1">
                  <c:v>0.60520390746994956</c:v>
                </c:pt>
                <c:pt idx="2">
                  <c:v>0.59999834480932202</c:v>
                </c:pt>
                <c:pt idx="3">
                  <c:v>0.60500201204188087</c:v>
                </c:pt>
                <c:pt idx="4">
                  <c:v>0.59000028120694015</c:v>
                </c:pt>
                <c:pt idx="5">
                  <c:v>0.58999827203317701</c:v>
                </c:pt>
                <c:pt idx="6">
                  <c:v>0.59000128173757005</c:v>
                </c:pt>
                <c:pt idx="7">
                  <c:v>0.58999925747562931</c:v>
                </c:pt>
                <c:pt idx="8">
                  <c:v>0.59000072423532823</c:v>
                </c:pt>
                <c:pt idx="9">
                  <c:v>0.59000145046656671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062352"/>
        <c:axId val="598062024"/>
      </c:lineChart>
      <c:catAx>
        <c:axId val="60261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602618048"/>
        <c:crosses val="autoZero"/>
        <c:auto val="1"/>
        <c:lblAlgn val="ctr"/>
        <c:lblOffset val="100"/>
        <c:noMultiLvlLbl val="0"/>
      </c:catAx>
      <c:valAx>
        <c:axId val="60261804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602617720"/>
        <c:crosses val="autoZero"/>
        <c:crossBetween val="between"/>
      </c:valAx>
      <c:valAx>
        <c:axId val="598062024"/>
        <c:scaling>
          <c:orientation val="minMax"/>
          <c:max val="0.65000000000000013"/>
          <c:min val="0.45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598062352"/>
        <c:crosses val="max"/>
        <c:crossBetween val="between"/>
      </c:valAx>
      <c:catAx>
        <c:axId val="598062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8062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26592238101627"/>
          <c:y val="1.1270187317790486E-2"/>
          <c:w val="0.4276116237661115"/>
          <c:h val="6.9175408448536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9059479809518"/>
          <c:y val="5.0925925925925923E-2"/>
          <c:w val="0.84011743637111369"/>
          <c:h val="0.82836395450568701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'Analysis &amp; Calculations'!$A$102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[0]!chartnetincome</c:f>
              <c:numCache>
                <c:formatCode>#,##0_);\(#,##0\)</c:formatCode>
                <c:ptCount val="15"/>
                <c:pt idx="0">
                  <c:v>14723</c:v>
                </c:pt>
                <c:pt idx="1">
                  <c:v>15086</c:v>
                </c:pt>
                <c:pt idx="2">
                  <c:v>15111</c:v>
                </c:pt>
                <c:pt idx="3">
                  <c:v>19035</c:v>
                </c:pt>
                <c:pt idx="4">
                  <c:v>20659</c:v>
                </c:pt>
                <c:pt idx="5">
                  <c:v>22694</c:v>
                </c:pt>
                <c:pt idx="6">
                  <c:v>24928</c:v>
                </c:pt>
                <c:pt idx="7">
                  <c:v>27384</c:v>
                </c:pt>
                <c:pt idx="8">
                  <c:v>30081</c:v>
                </c:pt>
                <c:pt idx="9">
                  <c:v>33044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4-4DA4-B584-55B51E17700F}"/>
            </c:ext>
          </c:extLst>
        </c:ser>
        <c:ser>
          <c:idx val="4"/>
          <c:order val="1"/>
          <c:tx>
            <c:strRef>
              <c:f>'Analysis &amp; Calculations'!$A$101</c:f>
              <c:strCache>
                <c:ptCount val="1"/>
                <c:pt idx="0">
                  <c:v>Tax</c:v>
                </c:pt>
              </c:strCache>
            </c:strRef>
          </c:tx>
          <c:spPr>
            <a:solidFill>
              <a:schemeClr val="accent1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[0]!charttax</c:f>
              <c:numCache>
                <c:formatCode>#,##0_);\(#,##0\)</c:formatCode>
                <c:ptCount val="15"/>
                <c:pt idx="0">
                  <c:v>5445</c:v>
                </c:pt>
                <c:pt idx="1">
                  <c:v>5867</c:v>
                </c:pt>
                <c:pt idx="2">
                  <c:v>5877</c:v>
                </c:pt>
                <c:pt idx="3">
                  <c:v>7737</c:v>
                </c:pt>
                <c:pt idx="4">
                  <c:v>8854</c:v>
                </c:pt>
                <c:pt idx="5">
                  <c:v>9726</c:v>
                </c:pt>
                <c:pt idx="6">
                  <c:v>10684</c:v>
                </c:pt>
                <c:pt idx="7">
                  <c:v>11736</c:v>
                </c:pt>
                <c:pt idx="8">
                  <c:v>12892</c:v>
                </c:pt>
                <c:pt idx="9">
                  <c:v>14161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4-4DA4-B584-55B51E17700F}"/>
            </c:ext>
          </c:extLst>
        </c:ser>
        <c:ser>
          <c:idx val="3"/>
          <c:order val="2"/>
          <c:tx>
            <c:strRef>
              <c:f>'Analysis &amp; Calculations'!$A$100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[0]!chartrent</c:f>
              <c:numCache>
                <c:formatCode>#,##0_);\(#,##0\)</c:formatCode>
                <c:ptCount val="1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5100</c:v>
                </c:pt>
                <c:pt idx="4">
                  <c:v>5100</c:v>
                </c:pt>
                <c:pt idx="5">
                  <c:v>5602</c:v>
                </c:pt>
                <c:pt idx="6">
                  <c:v>6154</c:v>
                </c:pt>
                <c:pt idx="7">
                  <c:v>6760</c:v>
                </c:pt>
                <c:pt idx="8">
                  <c:v>7426</c:v>
                </c:pt>
                <c:pt idx="9">
                  <c:v>8157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4-4DA4-B584-55B51E17700F}"/>
            </c:ext>
          </c:extLst>
        </c:ser>
        <c:ser>
          <c:idx val="2"/>
          <c:order val="3"/>
          <c:tx>
            <c:strRef>
              <c:f>'Analysis &amp; Calculations'!$A$99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[0]!chartmarketing</c:f>
              <c:numCache>
                <c:formatCode>#,##0_);\(#,##0\)</c:formatCode>
                <c:ptCount val="15"/>
                <c:pt idx="0">
                  <c:v>12871</c:v>
                </c:pt>
                <c:pt idx="1">
                  <c:v>13897</c:v>
                </c:pt>
                <c:pt idx="2">
                  <c:v>18652</c:v>
                </c:pt>
                <c:pt idx="3">
                  <c:v>18952</c:v>
                </c:pt>
                <c:pt idx="4">
                  <c:v>19652</c:v>
                </c:pt>
                <c:pt idx="5">
                  <c:v>21587</c:v>
                </c:pt>
                <c:pt idx="6">
                  <c:v>23714</c:v>
                </c:pt>
                <c:pt idx="7">
                  <c:v>26049</c:v>
                </c:pt>
                <c:pt idx="8">
                  <c:v>28614</c:v>
                </c:pt>
                <c:pt idx="9">
                  <c:v>31433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4-4DA4-B584-55B51E17700F}"/>
            </c:ext>
          </c:extLst>
        </c:ser>
        <c:ser>
          <c:idx val="1"/>
          <c:order val="4"/>
          <c:tx>
            <c:strRef>
              <c:f>'Analysis &amp; Calculations'!$A$98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[0]!chartsalaries</c:f>
              <c:numCache>
                <c:formatCode>#,##0_);\(#,##0\)</c:formatCode>
                <c:ptCount val="15"/>
                <c:pt idx="0">
                  <c:v>23789</c:v>
                </c:pt>
                <c:pt idx="1">
                  <c:v>26812</c:v>
                </c:pt>
                <c:pt idx="2">
                  <c:v>27859</c:v>
                </c:pt>
                <c:pt idx="3">
                  <c:v>28859</c:v>
                </c:pt>
                <c:pt idx="4">
                  <c:v>29659</c:v>
                </c:pt>
                <c:pt idx="5">
                  <c:v>32580</c:v>
                </c:pt>
                <c:pt idx="6">
                  <c:v>35789</c:v>
                </c:pt>
                <c:pt idx="7">
                  <c:v>39313</c:v>
                </c:pt>
                <c:pt idx="8">
                  <c:v>43185</c:v>
                </c:pt>
                <c:pt idx="9">
                  <c:v>47438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4-4DA4-B584-55B51E17700F}"/>
            </c:ext>
          </c:extLst>
        </c:ser>
        <c:ser>
          <c:idx val="0"/>
          <c:order val="5"/>
          <c:tx>
            <c:strRef>
              <c:f>'Analysis &amp; Calculations'!$A$97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1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</c:strCache>
            </c:strRef>
          </c:cat>
          <c:val>
            <c:numRef>
              <c:f>[0]!chartcogs</c:f>
              <c:numCache>
                <c:formatCode>#,##0_);\(#,##0\)</c:formatCode>
                <c:ptCount val="15"/>
                <c:pt idx="0">
                  <c:v>38672</c:v>
                </c:pt>
                <c:pt idx="1">
                  <c:v>43486</c:v>
                </c:pt>
                <c:pt idx="2">
                  <c:v>48333</c:v>
                </c:pt>
                <c:pt idx="3">
                  <c:v>52024</c:v>
                </c:pt>
                <c:pt idx="4">
                  <c:v>58320</c:v>
                </c:pt>
                <c:pt idx="5">
                  <c:v>64064</c:v>
                </c:pt>
                <c:pt idx="6">
                  <c:v>70373</c:v>
                </c:pt>
                <c:pt idx="7">
                  <c:v>77304</c:v>
                </c:pt>
                <c:pt idx="8">
                  <c:v>84917</c:v>
                </c:pt>
                <c:pt idx="9">
                  <c:v>93280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4-4DA4-B584-55B51E17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92923632"/>
        <c:axId val="849277808"/>
      </c:barChart>
      <c:catAx>
        <c:axId val="4929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849277808"/>
        <c:crosses val="autoZero"/>
        <c:auto val="1"/>
        <c:lblAlgn val="ctr"/>
        <c:lblOffset val="100"/>
        <c:noMultiLvlLbl val="0"/>
      </c:catAx>
      <c:valAx>
        <c:axId val="84927780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4929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26110475329559"/>
          <c:y val="3.2985564304461902E-2"/>
          <c:w val="0.727348256608149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5" fmlaLink="$A$2" fmlaRange="$B$1:$B$3" noThreeD="1" sel="1" val="0"/>
</file>

<file path=xl/ctrlProps/ctrlProp2.xml><?xml version="1.0" encoding="utf-8"?>
<formControlPr xmlns="http://schemas.microsoft.com/office/spreadsheetml/2009/9/main" objectType="Drop" dropStyle="combo" dx="35" fmlaLink="$F$3" fmlaRange="'Raw Data'!$A$16:$A$30" noThreeD="1" sel="15" val="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371539</xdr:colOff>
      <xdr:row>4</xdr:row>
      <xdr:rowOff>50800</xdr:rowOff>
    </xdr:from>
    <xdr:to>
      <xdr:col>14</xdr:col>
      <xdr:colOff>184112</xdr:colOff>
      <xdr:row>7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9539" y="762000"/>
          <a:ext cx="2047773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412751</xdr:colOff>
      <xdr:row>103</xdr:row>
      <xdr:rowOff>83458</xdr:rowOff>
    </xdr:from>
    <xdr:to>
      <xdr:col>6</xdr:col>
      <xdr:colOff>362856</xdr:colOff>
      <xdr:row>119</xdr:row>
      <xdr:rowOff>162833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588736</xdr:colOff>
      <xdr:row>103</xdr:row>
      <xdr:rowOff>61233</xdr:rowOff>
    </xdr:from>
    <xdr:to>
      <xdr:col>13</xdr:col>
      <xdr:colOff>268515</xdr:colOff>
      <xdr:row>118</xdr:row>
      <xdr:rowOff>137433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679450</xdr:colOff>
          <xdr:row>2</xdr:row>
          <xdr:rowOff>38100</xdr:rowOff>
        </xdr:from>
        <xdr:to>
          <xdr:col>11</xdr:col>
          <xdr:colOff>273050</xdr:colOff>
          <xdr:row>3</xdr:row>
          <xdr:rowOff>139700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44450</xdr:colOff>
          <xdr:row>2</xdr:row>
          <xdr:rowOff>38100</xdr:rowOff>
        </xdr:from>
        <xdr:to>
          <xdr:col>13</xdr:col>
          <xdr:colOff>317500</xdr:colOff>
          <xdr:row>3</xdr:row>
          <xdr:rowOff>127000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DB90-E0E3-4AA2-BBF3-75E60AB8FACA}">
  <dimension ref="B1:O46"/>
  <sheetViews>
    <sheetView showGridLines="0" zoomScaleNormal="100" workbookViewId="0">
      <selection activeCell="C13" sqref="A1:XFD1048576"/>
    </sheetView>
  </sheetViews>
  <sheetFormatPr defaultColWidth="10.19921875" defaultRowHeight="14" x14ac:dyDescent="0.3"/>
  <cols>
    <col min="1" max="2" width="12.296875" style="58" customWidth="1"/>
    <col min="3" max="3" width="37.19921875" style="58" customWidth="1"/>
    <col min="4" max="22" width="12.296875" style="58" customWidth="1"/>
    <col min="23" max="25" width="10.19921875" style="58"/>
    <col min="26" max="26" width="10.19921875" style="58" customWidth="1"/>
    <col min="27" max="16384" width="10.19921875" style="58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2:15" ht="19.5" customHeight="1" x14ac:dyDescent="0.3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2:15" ht="19.5" customHeight="1" x14ac:dyDescent="0.3"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2:15" ht="19.5" customHeight="1" x14ac:dyDescent="0.3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2:15" ht="19.5" customHeight="1" x14ac:dyDescent="0.3"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ht="19.5" customHeight="1" x14ac:dyDescent="0.3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</row>
    <row r="9" spans="2:15" ht="19.5" customHeight="1" x14ac:dyDescent="0.3"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</row>
    <row r="10" spans="2:15" ht="19.5" customHeight="1" x14ac:dyDescent="0.3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</row>
    <row r="11" spans="2:15" ht="19.5" customHeight="1" x14ac:dyDescent="0.3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2:15" ht="27" x14ac:dyDescent="0.5">
      <c r="B12" s="59"/>
      <c r="C12" s="60" t="s">
        <v>76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1" t="s">
        <v>66</v>
      </c>
      <c r="O12" s="59"/>
    </row>
    <row r="13" spans="2:15" ht="19.5" customHeight="1" x14ac:dyDescent="0.3">
      <c r="B13" s="59"/>
      <c r="C13" s="62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</row>
    <row r="14" spans="2:15" ht="19.5" customHeight="1" x14ac:dyDescent="0.3">
      <c r="B14" s="59"/>
      <c r="C1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</row>
    <row r="15" spans="2:15" ht="19.5" customHeight="1" x14ac:dyDescent="0.3">
      <c r="B15" s="59"/>
      <c r="C15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6" spans="2:15" ht="19.5" customHeight="1" x14ac:dyDescent="0.35">
      <c r="B16" s="59"/>
      <c r="C16" s="63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</row>
    <row r="17" spans="2:15" ht="19.5" customHeight="1" x14ac:dyDescent="0.35">
      <c r="B17" s="59"/>
      <c r="C17" s="63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</row>
    <row r="18" spans="2:15" ht="19.5" customHeight="1" x14ac:dyDescent="0.3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2:15" ht="19.5" customHeight="1" x14ac:dyDescent="0.3">
      <c r="B19" s="59"/>
      <c r="C19" s="59" t="s">
        <v>67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</row>
    <row r="20" spans="2:15" ht="19.5" customHeight="1" x14ac:dyDescent="0.3">
      <c r="B20" s="59"/>
      <c r="C20" s="64" t="s">
        <v>68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59"/>
    </row>
    <row r="21" spans="2:15" ht="19.5" customHeight="1" x14ac:dyDescent="0.3">
      <c r="B21" s="59"/>
      <c r="C21" s="59" t="s">
        <v>69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2:15" ht="19.5" customHeight="1" x14ac:dyDescent="0.3">
      <c r="B22" s="59"/>
      <c r="C22" s="65" t="s">
        <v>70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</row>
    <row r="23" spans="2:15" ht="19.5" customHeight="1" x14ac:dyDescent="0.3">
      <c r="B23" s="59"/>
      <c r="C23" s="65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</row>
    <row r="24" spans="2:15" ht="19.5" customHeight="1" x14ac:dyDescent="0.3">
      <c r="B24" s="59"/>
      <c r="C24" s="66" t="s">
        <v>71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59"/>
    </row>
    <row r="25" spans="2:15" ht="19.5" customHeight="1" x14ac:dyDescent="0.3">
      <c r="B25" s="68"/>
      <c r="C25" s="69" t="s">
        <v>72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8"/>
    </row>
    <row r="26" spans="2:15" ht="19.5" customHeight="1" x14ac:dyDescent="0.3">
      <c r="B26" s="68"/>
      <c r="C26" s="69" t="s">
        <v>73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8"/>
    </row>
    <row r="27" spans="2:15" ht="19.5" customHeight="1" x14ac:dyDescent="0.3">
      <c r="B27" s="68"/>
      <c r="C27" s="69" t="s">
        <v>74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8"/>
    </row>
    <row r="28" spans="2:15" ht="19.5" customHeight="1" x14ac:dyDescent="0.3">
      <c r="B28" s="68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8"/>
    </row>
    <row r="29" spans="2:15" ht="19.5" customHeight="1" x14ac:dyDescent="0.3"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62B0609C-4BA1-43F3-8918-F56AD0CA3047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85F-C857-4762-A86E-14979BA58466}">
  <sheetPr codeName="Sheet1"/>
  <dimension ref="B2:O26"/>
  <sheetViews>
    <sheetView showGridLines="0" topLeftCell="A7" workbookViewId="0"/>
  </sheetViews>
  <sheetFormatPr defaultRowHeight="14" x14ac:dyDescent="0.3"/>
  <sheetData>
    <row r="2" spans="2:15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x14ac:dyDescent="0.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15" ht="25" x14ac:dyDescent="0.5">
      <c r="B5" s="20"/>
      <c r="C5" s="42" t="s">
        <v>47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2:15" x14ac:dyDescent="0.3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x14ac:dyDescent="0.3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2:15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2:15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2:15" x14ac:dyDescent="0.3">
      <c r="B12" s="20"/>
      <c r="C12" s="21" t="s">
        <v>48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2:15" x14ac:dyDescent="0.3">
      <c r="B13" s="20"/>
      <c r="C13" s="43"/>
      <c r="D13" s="43"/>
      <c r="E13" s="43"/>
      <c r="F13" s="43"/>
      <c r="G13" s="43"/>
      <c r="H13" s="43"/>
      <c r="I13" s="43"/>
      <c r="J13" s="20"/>
      <c r="K13" s="20"/>
      <c r="L13" s="20"/>
      <c r="M13" s="20"/>
      <c r="N13" s="20"/>
      <c r="O13" s="20"/>
    </row>
    <row r="14" spans="2:15" x14ac:dyDescent="0.3">
      <c r="B14" s="20"/>
      <c r="C14" s="44" t="str">
        <f ca="1">RIGHT(CELL("filename",A1),LEN(CELL("filename",A1))-FIND("]",CELL("filename",A1)))</f>
        <v>Cover Page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5" x14ac:dyDescent="0.3">
      <c r="B15" s="20"/>
      <c r="C15" s="44" t="str">
        <f ca="1">RIGHT(CELL("filename",'Analysis &amp; Calculations'!A4),LEN(CELL("filename",'Analysis &amp; Calculations'!A6))-FIND("]",CELL("filename",'Analysis &amp; Calculations'!A6)))</f>
        <v>Analysis &amp; Calculations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2:15" x14ac:dyDescent="0.3">
      <c r="B16" s="20"/>
      <c r="C16" s="44" t="str">
        <f ca="1">RIGHT(CELL("filename",'Raw Data'!A1),LEN(CELL("filename",'Raw Data'!A1))-FIND("]",CELL("filename",'Raw Data'!A1)))</f>
        <v>Raw Data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2:15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2:1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hyperlinks>
    <hyperlink ref="C14" location="'Cover Page'!A1" display="'Cover Page'!A1" xr:uid="{27A03F95-4283-4FF8-B05C-27C991FA3128}"/>
    <hyperlink ref="C15" location="'Analysis &amp; Calculations'!A1" display="'Analysis &amp; Calculations'!A1" xr:uid="{A399A158-9A92-4279-B3BC-9343AD6BE744}"/>
    <hyperlink ref="C16" location="'Raw Data'!A1" display="'Raw Data'!A1" xr:uid="{D639787C-7544-449D-9A23-E17781F02A3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20"/>
  <sheetViews>
    <sheetView showGridLines="0" tabSelected="1" workbookViewId="0">
      <pane ySplit="6" topLeftCell="A100" activePane="bottomLeft" state="frozen"/>
      <selection pane="bottomLeft" activeCell="N66" sqref="N66"/>
    </sheetView>
  </sheetViews>
  <sheetFormatPr defaultRowHeight="14" outlineLevelRow="1" x14ac:dyDescent="0.3"/>
  <cols>
    <col min="1" max="1" width="17.5" bestFit="1" customWidth="1"/>
    <col min="2" max="5" width="10.59765625" customWidth="1"/>
    <col min="6" max="6" width="11.796875" customWidth="1"/>
    <col min="7" max="20" width="10.59765625" customWidth="1"/>
  </cols>
  <sheetData>
    <row r="1" spans="1:20" x14ac:dyDescent="0.3">
      <c r="A1" s="13" t="s">
        <v>19</v>
      </c>
      <c r="B1" s="7" t="s">
        <v>16</v>
      </c>
      <c r="C1" s="7">
        <v>1</v>
      </c>
      <c r="E1" t="s">
        <v>10</v>
      </c>
      <c r="F1" s="2">
        <v>43465</v>
      </c>
      <c r="G1">
        <v>1</v>
      </c>
      <c r="H1" t="s">
        <v>13</v>
      </c>
      <c r="I1" s="7">
        <v>3</v>
      </c>
      <c r="K1" s="19" t="s">
        <v>63</v>
      </c>
      <c r="M1" s="19" t="s">
        <v>65</v>
      </c>
      <c r="N1" s="19"/>
    </row>
    <row r="2" spans="1:20" x14ac:dyDescent="0.3">
      <c r="A2" s="17">
        <v>1</v>
      </c>
      <c r="B2" s="7" t="s">
        <v>17</v>
      </c>
      <c r="C2" s="7">
        <v>2</v>
      </c>
      <c r="E2" t="s">
        <v>11</v>
      </c>
      <c r="F2" s="57">
        <f>DATE(YEAR(F1)+F3-1,12,31)</f>
        <v>48579</v>
      </c>
      <c r="G2" s="56"/>
      <c r="H2" t="s">
        <v>14</v>
      </c>
      <c r="I2" s="7">
        <v>3</v>
      </c>
    </row>
    <row r="3" spans="1:20" x14ac:dyDescent="0.3">
      <c r="B3" s="7" t="s">
        <v>18</v>
      </c>
      <c r="C3" s="7">
        <v>3</v>
      </c>
      <c r="E3" t="s">
        <v>12</v>
      </c>
      <c r="F3">
        <v>15</v>
      </c>
    </row>
    <row r="5" spans="1:20" x14ac:dyDescent="0.3">
      <c r="A5" s="4" t="s">
        <v>9</v>
      </c>
      <c r="B5" s="4"/>
      <c r="C5" s="4"/>
      <c r="D5" s="4"/>
      <c r="E5" s="4">
        <f>YEAR($F$1)</f>
        <v>2018</v>
      </c>
      <c r="F5" s="4">
        <f>IF(E5&lt;YEAR($F$2),E5+1,"")</f>
        <v>2019</v>
      </c>
      <c r="G5" s="4">
        <f t="shared" ref="G5:T5" si="0">IF(F5&lt;YEAR($F$2),F5+1,"")</f>
        <v>2020</v>
      </c>
      <c r="H5" s="4">
        <f t="shared" si="0"/>
        <v>2021</v>
      </c>
      <c r="I5" s="4">
        <f t="shared" si="0"/>
        <v>2022</v>
      </c>
      <c r="J5" s="4">
        <f t="shared" si="0"/>
        <v>2023</v>
      </c>
      <c r="K5" s="4">
        <f t="shared" si="0"/>
        <v>2024</v>
      </c>
      <c r="L5" s="4">
        <f t="shared" si="0"/>
        <v>2025</v>
      </c>
      <c r="M5" s="4">
        <f t="shared" si="0"/>
        <v>2026</v>
      </c>
      <c r="N5" s="4">
        <f t="shared" si="0"/>
        <v>2027</v>
      </c>
      <c r="O5" s="4">
        <f t="shared" si="0"/>
        <v>2028</v>
      </c>
      <c r="P5" s="4">
        <f t="shared" si="0"/>
        <v>2029</v>
      </c>
      <c r="Q5" s="4">
        <f t="shared" si="0"/>
        <v>2030</v>
      </c>
      <c r="R5" s="4">
        <f t="shared" si="0"/>
        <v>2031</v>
      </c>
      <c r="S5" s="4">
        <f t="shared" si="0"/>
        <v>2032</v>
      </c>
      <c r="T5" s="4" t="str">
        <f t="shared" si="0"/>
        <v/>
      </c>
    </row>
    <row r="6" spans="1:20" x14ac:dyDescent="0.3">
      <c r="A6" s="3"/>
      <c r="B6" s="8" t="s">
        <v>13</v>
      </c>
      <c r="C6" s="8" t="s">
        <v>14</v>
      </c>
      <c r="D6" s="3"/>
      <c r="E6" s="36">
        <f>IFERROR(DATE(E5,12,31),"")</f>
        <v>43465</v>
      </c>
      <c r="F6" s="36">
        <f t="shared" ref="F6:M6" si="1">IFERROR(DATE(F5,12,31),"")</f>
        <v>43830</v>
      </c>
      <c r="G6" s="36">
        <f t="shared" si="1"/>
        <v>44196</v>
      </c>
      <c r="H6" s="36">
        <f t="shared" si="1"/>
        <v>44561</v>
      </c>
      <c r="I6" s="36">
        <f t="shared" si="1"/>
        <v>44926</v>
      </c>
      <c r="J6" s="36">
        <f t="shared" si="1"/>
        <v>45291</v>
      </c>
      <c r="K6" s="36">
        <f t="shared" si="1"/>
        <v>45657</v>
      </c>
      <c r="L6" s="36">
        <f t="shared" si="1"/>
        <v>46022</v>
      </c>
      <c r="M6" s="36">
        <f t="shared" si="1"/>
        <v>46387</v>
      </c>
      <c r="N6" s="36">
        <f t="shared" ref="N6" si="2">IFERROR(DATE(N5,12,31),"")</f>
        <v>46752</v>
      </c>
      <c r="O6" s="36">
        <f t="shared" ref="O6" si="3">IFERROR(DATE(O5,12,31),"")</f>
        <v>47118</v>
      </c>
      <c r="P6" s="36">
        <f t="shared" ref="P6" si="4">IFERROR(DATE(P5,12,31),"")</f>
        <v>47483</v>
      </c>
      <c r="Q6" s="36">
        <f t="shared" ref="Q6" si="5">IFERROR(DATE(Q5,12,31),"")</f>
        <v>47848</v>
      </c>
      <c r="R6" s="36">
        <f t="shared" ref="R6" si="6">IFERROR(DATE(R5,12,31),"")</f>
        <v>48213</v>
      </c>
      <c r="S6" s="36">
        <f t="shared" ref="S6" si="7">IFERROR(DATE(S5,12,31),"")</f>
        <v>48579</v>
      </c>
      <c r="T6" s="36" t="str">
        <f t="shared" ref="T6" si="8">IFERROR(DATE(T5,12,31),"")</f>
        <v/>
      </c>
    </row>
    <row r="7" spans="1:20" s="10" customFormat="1" x14ac:dyDescent="0.3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9"/>
      <c r="Q7" s="9"/>
      <c r="R7" s="9"/>
      <c r="S7" s="9"/>
      <c r="T7" s="9"/>
    </row>
    <row r="8" spans="1:20" s="10" customFormat="1" x14ac:dyDescent="0.3">
      <c r="A8" s="21" t="s">
        <v>20</v>
      </c>
      <c r="B8" s="22"/>
      <c r="C8" s="2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s="10" customFormat="1" outlineLevel="1" x14ac:dyDescent="0.3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9"/>
      <c r="R9" s="9"/>
      <c r="S9" s="9"/>
      <c r="T9" s="9"/>
    </row>
    <row r="10" spans="1:20" s="10" customFormat="1" outlineLevel="1" x14ac:dyDescent="0.3">
      <c r="A10" s="13" t="s">
        <v>15</v>
      </c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9"/>
      <c r="Q10" s="9"/>
      <c r="R10" s="9"/>
      <c r="S10" s="9"/>
      <c r="T10" s="9"/>
    </row>
    <row r="11" spans="1:20" s="10" customFormat="1" outlineLevel="1" x14ac:dyDescent="0.3">
      <c r="A11" s="11" t="str">
        <f>B1&amp;" Case"</f>
        <v>Base Case</v>
      </c>
      <c r="B11" s="5">
        <f ca="1">SUM(E11:OFFSET(E11,0,$I$1-1))</f>
        <v>331480</v>
      </c>
      <c r="C11" s="14">
        <f ca="1">IFERROR(AVERAGE(E11:OFFSET(E11,0,$I$2-1)),"na")</f>
        <v>110493.33333333333</v>
      </c>
      <c r="D11" s="11"/>
      <c r="E11" s="6">
        <v>100500</v>
      </c>
      <c r="F11" s="6">
        <v>110148</v>
      </c>
      <c r="G11" s="6">
        <v>120832</v>
      </c>
      <c r="H11" s="6">
        <v>131707</v>
      </c>
      <c r="I11" s="6">
        <v>142244</v>
      </c>
      <c r="J11" s="6">
        <v>156253</v>
      </c>
      <c r="K11" s="6">
        <v>171642</v>
      </c>
      <c r="L11" s="6">
        <v>188546</v>
      </c>
      <c r="M11" s="6">
        <v>207115</v>
      </c>
      <c r="N11" s="6">
        <v>227513</v>
      </c>
      <c r="O11" s="11"/>
      <c r="P11" s="9"/>
      <c r="Q11" s="9"/>
      <c r="R11" s="9"/>
      <c r="S11" s="9"/>
      <c r="T11" s="9"/>
    </row>
    <row r="12" spans="1:20" s="10" customFormat="1" outlineLevel="1" x14ac:dyDescent="0.3">
      <c r="A12" s="11" t="str">
        <f>B2&amp;" Case"</f>
        <v>Upside Case</v>
      </c>
      <c r="B12" s="5">
        <f ca="1">SUM(E12:OFFSET(E12,0,$I$1-1))</f>
        <v>364628</v>
      </c>
      <c r="C12" s="14">
        <f ca="1">IFERROR(AVERAGE(E12:OFFSET(E12,0,$I$2-1)),"na")</f>
        <v>121542.66666666667</v>
      </c>
      <c r="D12" s="11"/>
      <c r="E12" s="16">
        <v>110550.00000000001</v>
      </c>
      <c r="F12" s="16">
        <v>121162.8</v>
      </c>
      <c r="G12" s="16">
        <v>132915.20000000001</v>
      </c>
      <c r="H12" s="16">
        <v>144877.70000000001</v>
      </c>
      <c r="I12" s="16">
        <v>156468.40000000002</v>
      </c>
      <c r="J12" s="16">
        <v>171878.30000000002</v>
      </c>
      <c r="K12" s="16">
        <v>188806.2</v>
      </c>
      <c r="L12" s="16">
        <v>207400.6</v>
      </c>
      <c r="M12" s="16">
        <v>227826.50000000003</v>
      </c>
      <c r="N12" s="16">
        <v>250264.30000000002</v>
      </c>
      <c r="O12" s="11"/>
      <c r="P12" s="9"/>
      <c r="Q12" s="9"/>
      <c r="R12" s="9"/>
      <c r="S12" s="9"/>
      <c r="T12" s="9"/>
    </row>
    <row r="13" spans="1:20" s="10" customFormat="1" outlineLevel="1" x14ac:dyDescent="0.3">
      <c r="A13" s="11" t="str">
        <f>B3&amp;" Case"</f>
        <v>Downside Case</v>
      </c>
      <c r="B13" s="5">
        <f ca="1">SUM(E13:OFFSET(E13,0,$I$1-1))</f>
        <v>298332</v>
      </c>
      <c r="C13" s="14">
        <f ca="1">IFERROR(AVERAGE(E13:OFFSET(E13,0,$I$2-1)),"na")</f>
        <v>99444</v>
      </c>
      <c r="D13" s="11"/>
      <c r="E13" s="16">
        <v>90450</v>
      </c>
      <c r="F13" s="16">
        <v>99133.2</v>
      </c>
      <c r="G13" s="16">
        <v>108748.8</v>
      </c>
      <c r="H13" s="16">
        <v>118536.3</v>
      </c>
      <c r="I13" s="16">
        <v>128019.6</v>
      </c>
      <c r="J13" s="16">
        <v>140627.70000000001</v>
      </c>
      <c r="K13" s="16">
        <v>154477.80000000002</v>
      </c>
      <c r="L13" s="16">
        <v>169691.4</v>
      </c>
      <c r="M13" s="16">
        <v>186403.5</v>
      </c>
      <c r="N13" s="16">
        <v>204761.7</v>
      </c>
      <c r="O13" s="11"/>
      <c r="P13" s="9"/>
      <c r="Q13" s="9"/>
      <c r="R13" s="9"/>
      <c r="S13" s="9"/>
      <c r="T13" s="9"/>
    </row>
    <row r="14" spans="1:20" s="10" customFormat="1" outlineLevel="1" x14ac:dyDescent="0.3">
      <c r="A14" s="11" t="s">
        <v>19</v>
      </c>
      <c r="B14" s="5">
        <f ca="1">SUM(E14:OFFSET(E14,0,$I$1-1))</f>
        <v>331480</v>
      </c>
      <c r="C14" s="14">
        <f ca="1">IFERROR(AVERAGE(E14:OFFSET(E14,0,$I$2-1)),"na")</f>
        <v>110493.33333333333</v>
      </c>
      <c r="D14" s="11"/>
      <c r="E14" s="15">
        <f>CHOOSE($A$2,E11,E12,E13)</f>
        <v>100500</v>
      </c>
      <c r="F14" s="15">
        <f t="shared" ref="F14:N14" si="9">CHOOSE($A$2,F11,F12,F13)</f>
        <v>110148</v>
      </c>
      <c r="G14" s="15">
        <f t="shared" si="9"/>
        <v>120832</v>
      </c>
      <c r="H14" s="15">
        <f t="shared" si="9"/>
        <v>131707</v>
      </c>
      <c r="I14" s="15">
        <f t="shared" si="9"/>
        <v>142244</v>
      </c>
      <c r="J14" s="15">
        <f t="shared" si="9"/>
        <v>156253</v>
      </c>
      <c r="K14" s="15">
        <f t="shared" si="9"/>
        <v>171642</v>
      </c>
      <c r="L14" s="15">
        <f t="shared" si="9"/>
        <v>188546</v>
      </c>
      <c r="M14" s="15">
        <f t="shared" si="9"/>
        <v>207115</v>
      </c>
      <c r="N14" s="15">
        <f t="shared" si="9"/>
        <v>227513</v>
      </c>
      <c r="O14" s="11"/>
      <c r="P14" s="9"/>
      <c r="Q14" s="9"/>
      <c r="R14" s="9"/>
      <c r="S14" s="9"/>
      <c r="T14" s="9"/>
    </row>
    <row r="15" spans="1:20" s="10" customFormat="1" outlineLevel="1" x14ac:dyDescent="0.3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9"/>
      <c r="R15" s="9"/>
      <c r="S15" s="9"/>
      <c r="T15" s="9"/>
    </row>
    <row r="16" spans="1:20" outlineLevel="1" x14ac:dyDescent="0.3">
      <c r="A16" t="s">
        <v>0</v>
      </c>
      <c r="B16" s="5">
        <f ca="1">SUM(E16:OFFSET(E16,0,$I$1-1))</f>
        <v>331480</v>
      </c>
      <c r="C16" s="14">
        <f ca="1">IFERROR(AVERAGE(E16:OFFSET(E16,0,$I$2-1)),"na")</f>
        <v>110493.33333333333</v>
      </c>
      <c r="D16" s="5"/>
      <c r="E16" s="18">
        <f>E14</f>
        <v>100500</v>
      </c>
      <c r="F16" s="18">
        <f t="shared" ref="F16:N16" si="10">F14</f>
        <v>110148</v>
      </c>
      <c r="G16" s="18">
        <f t="shared" si="10"/>
        <v>120832</v>
      </c>
      <c r="H16" s="18">
        <f t="shared" si="10"/>
        <v>131707</v>
      </c>
      <c r="I16" s="18">
        <f t="shared" si="10"/>
        <v>142244</v>
      </c>
      <c r="J16" s="18">
        <f t="shared" si="10"/>
        <v>156253</v>
      </c>
      <c r="K16" s="18">
        <f t="shared" si="10"/>
        <v>171642</v>
      </c>
      <c r="L16" s="18">
        <f t="shared" si="10"/>
        <v>188546</v>
      </c>
      <c r="M16" s="18">
        <f t="shared" si="10"/>
        <v>207115</v>
      </c>
      <c r="N16" s="18">
        <f t="shared" si="10"/>
        <v>227513</v>
      </c>
    </row>
    <row r="17" spans="1:20" outlineLevel="1" x14ac:dyDescent="0.3">
      <c r="A17" t="s">
        <v>1</v>
      </c>
      <c r="B17" s="5">
        <f ca="1">SUM(E17:OFFSET(E17,0,$I$1-1))</f>
        <v>130491</v>
      </c>
      <c r="C17" s="14">
        <f ca="1">IFERROR(AVERAGE(E17:OFFSET(E17,0,$I$2-1)),"na")</f>
        <v>43497</v>
      </c>
      <c r="D17" s="5"/>
      <c r="E17" s="6">
        <v>38672</v>
      </c>
      <c r="F17" s="6">
        <v>43486</v>
      </c>
      <c r="G17" s="6">
        <v>48333</v>
      </c>
      <c r="H17" s="6">
        <v>52024</v>
      </c>
      <c r="I17" s="6">
        <v>58320</v>
      </c>
      <c r="J17" s="6">
        <v>64064</v>
      </c>
      <c r="K17" s="6">
        <v>70373</v>
      </c>
      <c r="L17" s="6">
        <v>77304</v>
      </c>
      <c r="M17" s="6">
        <v>84917</v>
      </c>
      <c r="N17" s="6">
        <v>93280</v>
      </c>
    </row>
    <row r="18" spans="1:20" outlineLevel="1" x14ac:dyDescent="0.3">
      <c r="A18" t="s">
        <v>2</v>
      </c>
      <c r="B18" s="5">
        <f ca="1">SUM(E18:OFFSET(E18,0,$I$1-1))</f>
        <v>200989</v>
      </c>
      <c r="C18" s="14">
        <f ca="1">IFERROR(AVERAGE(E18:OFFSET(E18,0,$I$2-1)),"na")</f>
        <v>66996.333333333328</v>
      </c>
      <c r="D18" s="5"/>
      <c r="E18" s="18">
        <f>E16-E17</f>
        <v>61828</v>
      </c>
      <c r="F18" s="18">
        <f t="shared" ref="F18:N18" si="11">F16-F17</f>
        <v>66662</v>
      </c>
      <c r="G18" s="18">
        <f t="shared" si="11"/>
        <v>72499</v>
      </c>
      <c r="H18" s="18">
        <f t="shared" si="11"/>
        <v>79683</v>
      </c>
      <c r="I18" s="18">
        <f t="shared" si="11"/>
        <v>83924</v>
      </c>
      <c r="J18" s="18">
        <f t="shared" si="11"/>
        <v>92189</v>
      </c>
      <c r="K18" s="18">
        <f t="shared" si="11"/>
        <v>101269</v>
      </c>
      <c r="L18" s="18">
        <f t="shared" si="11"/>
        <v>111242</v>
      </c>
      <c r="M18" s="18">
        <f t="shared" si="11"/>
        <v>122198</v>
      </c>
      <c r="N18" s="18">
        <f t="shared" si="11"/>
        <v>134233</v>
      </c>
    </row>
    <row r="19" spans="1:20" outlineLevel="1" x14ac:dyDescent="0.3">
      <c r="A19" t="s">
        <v>3</v>
      </c>
      <c r="B19" s="5">
        <f ca="1">SUM(E19:OFFSET(E19,0,$I$1-1))</f>
        <v>78460</v>
      </c>
      <c r="C19" s="14">
        <f ca="1">IFERROR(AVERAGE(E19:OFFSET(E19,0,$I$2-1)),"na")</f>
        <v>26153.333333333332</v>
      </c>
      <c r="D19" s="5"/>
      <c r="E19" s="6">
        <v>23789</v>
      </c>
      <c r="F19" s="6">
        <v>26812</v>
      </c>
      <c r="G19" s="6">
        <v>27859</v>
      </c>
      <c r="H19" s="6">
        <v>28859</v>
      </c>
      <c r="I19" s="6">
        <v>29659</v>
      </c>
      <c r="J19" s="6">
        <v>32580</v>
      </c>
      <c r="K19" s="6">
        <v>35789</v>
      </c>
      <c r="L19" s="6">
        <v>39313</v>
      </c>
      <c r="M19" s="6">
        <v>43185</v>
      </c>
      <c r="N19" s="6">
        <v>47438</v>
      </c>
    </row>
    <row r="20" spans="1:20" outlineLevel="1" x14ac:dyDescent="0.3">
      <c r="A20" t="s">
        <v>4</v>
      </c>
      <c r="B20" s="5">
        <f ca="1">SUM(E20:OFFSET(E20,0,$I$1-1))</f>
        <v>45420</v>
      </c>
      <c r="C20" s="14">
        <f ca="1">IFERROR(AVERAGE(E20:OFFSET(E20,0,$I$2-1)),"na")</f>
        <v>15140</v>
      </c>
      <c r="D20" s="5"/>
      <c r="E20" s="6">
        <v>12871</v>
      </c>
      <c r="F20" s="6">
        <v>13897</v>
      </c>
      <c r="G20" s="6">
        <v>18652</v>
      </c>
      <c r="H20" s="6">
        <v>18952</v>
      </c>
      <c r="I20" s="6">
        <v>19652</v>
      </c>
      <c r="J20" s="6">
        <v>21587</v>
      </c>
      <c r="K20" s="6">
        <v>23714</v>
      </c>
      <c r="L20" s="6">
        <v>26049</v>
      </c>
      <c r="M20" s="6">
        <v>28614</v>
      </c>
      <c r="N20" s="6">
        <v>31433</v>
      </c>
    </row>
    <row r="21" spans="1:20" outlineLevel="1" x14ac:dyDescent="0.3">
      <c r="A21" t="s">
        <v>5</v>
      </c>
      <c r="B21" s="5">
        <f ca="1">SUM(E21:OFFSET(E21,0,$I$1-1))</f>
        <v>15000</v>
      </c>
      <c r="C21" s="14">
        <f ca="1">IFERROR(AVERAGE(E21:OFFSET(E21,0,$I$2-1)),"na")</f>
        <v>5000</v>
      </c>
      <c r="D21" s="5"/>
      <c r="E21" s="6">
        <v>5000</v>
      </c>
      <c r="F21" s="6">
        <v>5000</v>
      </c>
      <c r="G21" s="6">
        <v>5000</v>
      </c>
      <c r="H21" s="6">
        <v>5100</v>
      </c>
      <c r="I21" s="6">
        <v>5100</v>
      </c>
      <c r="J21" s="6">
        <v>5602</v>
      </c>
      <c r="K21" s="6">
        <v>6154</v>
      </c>
      <c r="L21" s="6">
        <v>6760</v>
      </c>
      <c r="M21" s="6">
        <v>7426</v>
      </c>
      <c r="N21" s="6">
        <v>8157</v>
      </c>
    </row>
    <row r="22" spans="1:20" outlineLevel="1" x14ac:dyDescent="0.3">
      <c r="A22" t="s">
        <v>6</v>
      </c>
      <c r="B22" s="5">
        <f ca="1">SUM(E22:OFFSET(E22,0,$I$1-1))</f>
        <v>62109</v>
      </c>
      <c r="C22" s="14">
        <f ca="1">IFERROR(AVERAGE(E22:OFFSET(E22,0,$I$2-1)),"na")</f>
        <v>20703</v>
      </c>
      <c r="D22" s="5"/>
      <c r="E22" s="18">
        <f>E18-SUM(E19:E21)</f>
        <v>20168</v>
      </c>
      <c r="F22" s="18">
        <f t="shared" ref="F22:N22" si="12">F18-SUM(F19:F21)</f>
        <v>20953</v>
      </c>
      <c r="G22" s="18">
        <f t="shared" si="12"/>
        <v>20988</v>
      </c>
      <c r="H22" s="18">
        <f t="shared" si="12"/>
        <v>26772</v>
      </c>
      <c r="I22" s="18">
        <f t="shared" si="12"/>
        <v>29513</v>
      </c>
      <c r="J22" s="18">
        <f t="shared" si="12"/>
        <v>32420</v>
      </c>
      <c r="K22" s="18">
        <f t="shared" si="12"/>
        <v>35612</v>
      </c>
      <c r="L22" s="18">
        <f t="shared" si="12"/>
        <v>39120</v>
      </c>
      <c r="M22" s="18">
        <f t="shared" si="12"/>
        <v>42973</v>
      </c>
      <c r="N22" s="18">
        <f t="shared" si="12"/>
        <v>47205</v>
      </c>
    </row>
    <row r="23" spans="1:20" outlineLevel="1" x14ac:dyDescent="0.3">
      <c r="A23" t="s">
        <v>7</v>
      </c>
      <c r="B23" s="5">
        <f ca="1">SUM(E23:OFFSET(E23,0,$I$1-1))</f>
        <v>17189</v>
      </c>
      <c r="C23" s="14">
        <f ca="1">IFERROR(AVERAGE(E23:OFFSET(E23,0,$I$2-1)),"na")</f>
        <v>5729.666666666667</v>
      </c>
      <c r="D23" s="5"/>
      <c r="E23" s="6">
        <v>5445</v>
      </c>
      <c r="F23" s="6">
        <v>5867</v>
      </c>
      <c r="G23" s="6">
        <v>5877</v>
      </c>
      <c r="H23" s="6">
        <v>7737</v>
      </c>
      <c r="I23" s="6">
        <v>8854</v>
      </c>
      <c r="J23" s="6">
        <v>9726</v>
      </c>
      <c r="K23" s="6">
        <v>10684</v>
      </c>
      <c r="L23" s="6">
        <v>11736</v>
      </c>
      <c r="M23" s="6">
        <v>12892</v>
      </c>
      <c r="N23" s="6">
        <v>14161</v>
      </c>
    </row>
    <row r="24" spans="1:20" outlineLevel="1" x14ac:dyDescent="0.3">
      <c r="A24" t="s">
        <v>8</v>
      </c>
      <c r="B24" s="5">
        <f ca="1">SUM(E24:OFFSET(E24,0,$I$1-1))</f>
        <v>44920</v>
      </c>
      <c r="C24" s="14">
        <f ca="1">IFERROR(AVERAGE(E24:OFFSET(E24,0,$I$2-1)),"na")</f>
        <v>14973.333333333334</v>
      </c>
      <c r="D24" s="5"/>
      <c r="E24" s="18">
        <f>E22-E23</f>
        <v>14723</v>
      </c>
      <c r="F24" s="18">
        <f t="shared" ref="F24:N24" si="13">F22-F23</f>
        <v>15086</v>
      </c>
      <c r="G24" s="18">
        <f t="shared" si="13"/>
        <v>15111</v>
      </c>
      <c r="H24" s="18">
        <f t="shared" si="13"/>
        <v>19035</v>
      </c>
      <c r="I24" s="18">
        <f t="shared" si="13"/>
        <v>20659</v>
      </c>
      <c r="J24" s="18">
        <f t="shared" si="13"/>
        <v>22694</v>
      </c>
      <c r="K24" s="18">
        <f t="shared" si="13"/>
        <v>24928</v>
      </c>
      <c r="L24" s="18">
        <f t="shared" si="13"/>
        <v>27384</v>
      </c>
      <c r="M24" s="18">
        <f t="shared" si="13"/>
        <v>30081</v>
      </c>
      <c r="N24" s="18">
        <f t="shared" si="13"/>
        <v>33044</v>
      </c>
    </row>
    <row r="25" spans="1:20" outlineLevel="1" x14ac:dyDescent="0.3"/>
    <row r="26" spans="1:20" outlineLevel="1" x14ac:dyDescent="0.3">
      <c r="A26" t="s">
        <v>35</v>
      </c>
      <c r="E26" s="7">
        <v>-1000</v>
      </c>
      <c r="F26" s="7">
        <v>200</v>
      </c>
      <c r="G26" s="7">
        <v>500</v>
      </c>
      <c r="H26" s="7">
        <v>700</v>
      </c>
      <c r="I26" s="7">
        <v>900</v>
      </c>
      <c r="J26" s="7">
        <v>900</v>
      </c>
      <c r="K26" s="7">
        <v>900</v>
      </c>
      <c r="L26" s="7">
        <v>900</v>
      </c>
      <c r="M26" s="7">
        <v>900</v>
      </c>
      <c r="N26" s="7">
        <v>900</v>
      </c>
    </row>
    <row r="27" spans="1:20" outlineLevel="1" x14ac:dyDescent="0.3"/>
    <row r="29" spans="1:20" x14ac:dyDescent="0.3">
      <c r="A29" s="21" t="s">
        <v>21</v>
      </c>
      <c r="B29" s="22"/>
      <c r="C29" s="22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outlineLevel="1" x14ac:dyDescent="0.3"/>
    <row r="31" spans="1:20" outlineLevel="1" x14ac:dyDescent="0.3">
      <c r="A31" s="19" t="s">
        <v>0</v>
      </c>
      <c r="B31" s="23">
        <f ca="1">SUM(E31:OFFSET(E31,0,$I$1-1))</f>
        <v>331480</v>
      </c>
      <c r="C31" s="24">
        <f ca="1">IFERROR(AVERAGE(E31:OFFSET(E31,0,$I$2-1)),"na")</f>
        <v>110493.33333333333</v>
      </c>
      <c r="D31" s="19"/>
      <c r="E31" s="25">
        <f t="shared" ref="E31:E39" si="14">IF(E$5&lt;=YEAR($F$2),E16,"")</f>
        <v>100500</v>
      </c>
      <c r="F31" s="25">
        <f t="shared" ref="F31:T31" si="15">IF(F$5&lt;=YEAR($F$2),F16,"")</f>
        <v>110148</v>
      </c>
      <c r="G31" s="25">
        <f t="shared" si="15"/>
        <v>120832</v>
      </c>
      <c r="H31" s="25">
        <f t="shared" si="15"/>
        <v>131707</v>
      </c>
      <c r="I31" s="25">
        <f t="shared" si="15"/>
        <v>142244</v>
      </c>
      <c r="J31" s="25">
        <f t="shared" si="15"/>
        <v>156253</v>
      </c>
      <c r="K31" s="25">
        <f t="shared" si="15"/>
        <v>171642</v>
      </c>
      <c r="L31" s="25">
        <f t="shared" si="15"/>
        <v>188546</v>
      </c>
      <c r="M31" s="25">
        <f t="shared" si="15"/>
        <v>207115</v>
      </c>
      <c r="N31" s="25">
        <f t="shared" si="15"/>
        <v>227513</v>
      </c>
      <c r="O31" s="25">
        <f t="shared" si="15"/>
        <v>0</v>
      </c>
      <c r="P31" s="25">
        <f t="shared" si="15"/>
        <v>0</v>
      </c>
      <c r="Q31" s="25">
        <f t="shared" si="15"/>
        <v>0</v>
      </c>
      <c r="R31" s="25">
        <f t="shared" si="15"/>
        <v>0</v>
      </c>
      <c r="S31" s="25">
        <f t="shared" si="15"/>
        <v>0</v>
      </c>
      <c r="T31" s="25" t="str">
        <f t="shared" si="15"/>
        <v/>
      </c>
    </row>
    <row r="32" spans="1:20" outlineLevel="1" x14ac:dyDescent="0.3">
      <c r="A32" t="s">
        <v>1</v>
      </c>
      <c r="B32" s="5">
        <f ca="1">SUM(E32:OFFSET(E32,0,$I$1-1))</f>
        <v>130491</v>
      </c>
      <c r="C32" s="14">
        <f ca="1">IFERROR(AVERAGE(E32:OFFSET(E32,0,$I$2-1)),"na")</f>
        <v>43497</v>
      </c>
      <c r="E32" s="18">
        <f t="shared" si="14"/>
        <v>38672</v>
      </c>
      <c r="F32" s="18">
        <f t="shared" ref="F32:T32" si="16">IF(F$5&lt;=YEAR($F$2),F17,"")</f>
        <v>43486</v>
      </c>
      <c r="G32" s="18">
        <f t="shared" si="16"/>
        <v>48333</v>
      </c>
      <c r="H32" s="18">
        <f t="shared" si="16"/>
        <v>52024</v>
      </c>
      <c r="I32" s="18">
        <f t="shared" si="16"/>
        <v>58320</v>
      </c>
      <c r="J32" s="18">
        <f t="shared" si="16"/>
        <v>64064</v>
      </c>
      <c r="K32" s="18">
        <f t="shared" si="16"/>
        <v>70373</v>
      </c>
      <c r="L32" s="18">
        <f t="shared" si="16"/>
        <v>77304</v>
      </c>
      <c r="M32" s="18">
        <f t="shared" si="16"/>
        <v>84917</v>
      </c>
      <c r="N32" s="18">
        <f t="shared" si="16"/>
        <v>93280</v>
      </c>
      <c r="O32" s="18">
        <f t="shared" si="16"/>
        <v>0</v>
      </c>
      <c r="P32" s="18">
        <f t="shared" si="16"/>
        <v>0</v>
      </c>
      <c r="Q32" s="18">
        <f t="shared" si="16"/>
        <v>0</v>
      </c>
      <c r="R32" s="18">
        <f t="shared" si="16"/>
        <v>0</v>
      </c>
      <c r="S32" s="18">
        <f t="shared" si="16"/>
        <v>0</v>
      </c>
      <c r="T32" s="18" t="str">
        <f t="shared" si="16"/>
        <v/>
      </c>
    </row>
    <row r="33" spans="1:20" outlineLevel="1" x14ac:dyDescent="0.3">
      <c r="A33" s="26" t="s">
        <v>2</v>
      </c>
      <c r="B33" s="27">
        <f ca="1">SUM(E33:OFFSET(E33,0,$I$1-1))</f>
        <v>200989</v>
      </c>
      <c r="C33" s="28">
        <f ca="1">IFERROR(AVERAGE(E33:OFFSET(E33,0,$I$2-1)),"na")</f>
        <v>66996.333333333328</v>
      </c>
      <c r="D33" s="26"/>
      <c r="E33" s="29">
        <f t="shared" si="14"/>
        <v>61828</v>
      </c>
      <c r="F33" s="29">
        <f t="shared" ref="F33:T33" si="17">IF(F$5&lt;=YEAR($F$2),F18,"")</f>
        <v>66662</v>
      </c>
      <c r="G33" s="29">
        <f t="shared" si="17"/>
        <v>72499</v>
      </c>
      <c r="H33" s="29">
        <f t="shared" si="17"/>
        <v>79683</v>
      </c>
      <c r="I33" s="29">
        <f t="shared" si="17"/>
        <v>83924</v>
      </c>
      <c r="J33" s="29">
        <f t="shared" si="17"/>
        <v>92189</v>
      </c>
      <c r="K33" s="29">
        <f t="shared" si="17"/>
        <v>101269</v>
      </c>
      <c r="L33" s="29">
        <f t="shared" si="17"/>
        <v>111242</v>
      </c>
      <c r="M33" s="29">
        <f t="shared" si="17"/>
        <v>122198</v>
      </c>
      <c r="N33" s="29">
        <f t="shared" si="17"/>
        <v>134233</v>
      </c>
      <c r="O33" s="29">
        <f t="shared" si="17"/>
        <v>0</v>
      </c>
      <c r="P33" s="29">
        <f t="shared" si="17"/>
        <v>0</v>
      </c>
      <c r="Q33" s="29">
        <f t="shared" si="17"/>
        <v>0</v>
      </c>
      <c r="R33" s="29">
        <f t="shared" si="17"/>
        <v>0</v>
      </c>
      <c r="S33" s="29">
        <f t="shared" si="17"/>
        <v>0</v>
      </c>
      <c r="T33" s="29" t="str">
        <f t="shared" si="17"/>
        <v/>
      </c>
    </row>
    <row r="34" spans="1:20" outlineLevel="1" x14ac:dyDescent="0.3">
      <c r="A34" t="s">
        <v>3</v>
      </c>
      <c r="B34" s="5">
        <f ca="1">SUM(E34:OFFSET(E34,0,$I$1-1))</f>
        <v>78460</v>
      </c>
      <c r="C34" s="14">
        <f ca="1">IFERROR(AVERAGE(E34:OFFSET(E34,0,$I$2-1)),"na")</f>
        <v>26153.333333333332</v>
      </c>
      <c r="E34" s="18">
        <f t="shared" si="14"/>
        <v>23789</v>
      </c>
      <c r="F34" s="18">
        <f t="shared" ref="F34:T34" si="18">IF(F$5&lt;=YEAR($F$2),F19,"")</f>
        <v>26812</v>
      </c>
      <c r="G34" s="18">
        <f t="shared" si="18"/>
        <v>27859</v>
      </c>
      <c r="H34" s="18">
        <f t="shared" si="18"/>
        <v>28859</v>
      </c>
      <c r="I34" s="18">
        <f t="shared" si="18"/>
        <v>29659</v>
      </c>
      <c r="J34" s="18">
        <f t="shared" si="18"/>
        <v>32580</v>
      </c>
      <c r="K34" s="18">
        <f t="shared" si="18"/>
        <v>35789</v>
      </c>
      <c r="L34" s="18">
        <f t="shared" si="18"/>
        <v>39313</v>
      </c>
      <c r="M34" s="18">
        <f t="shared" si="18"/>
        <v>43185</v>
      </c>
      <c r="N34" s="18">
        <f t="shared" si="18"/>
        <v>47438</v>
      </c>
      <c r="O34" s="18">
        <f t="shared" si="18"/>
        <v>0</v>
      </c>
      <c r="P34" s="18">
        <f t="shared" si="18"/>
        <v>0</v>
      </c>
      <c r="Q34" s="18">
        <f t="shared" si="18"/>
        <v>0</v>
      </c>
      <c r="R34" s="18">
        <f t="shared" si="18"/>
        <v>0</v>
      </c>
      <c r="S34" s="18">
        <f t="shared" si="18"/>
        <v>0</v>
      </c>
      <c r="T34" s="18" t="str">
        <f t="shared" si="18"/>
        <v/>
      </c>
    </row>
    <row r="35" spans="1:20" outlineLevel="1" x14ac:dyDescent="0.3">
      <c r="A35" t="s">
        <v>4</v>
      </c>
      <c r="B35" s="5">
        <f ca="1">SUM(E35:OFFSET(E35,0,$I$1-1))</f>
        <v>45420</v>
      </c>
      <c r="C35" s="14">
        <f ca="1">IFERROR(AVERAGE(E35:OFFSET(E35,0,$I$2-1)),"na")</f>
        <v>15140</v>
      </c>
      <c r="E35" s="18">
        <f t="shared" si="14"/>
        <v>12871</v>
      </c>
      <c r="F35" s="18">
        <f t="shared" ref="F35:T35" si="19">IF(F$5&lt;=YEAR($F$2),F20,"")</f>
        <v>13897</v>
      </c>
      <c r="G35" s="18">
        <f t="shared" si="19"/>
        <v>18652</v>
      </c>
      <c r="H35" s="18">
        <f t="shared" si="19"/>
        <v>18952</v>
      </c>
      <c r="I35" s="18">
        <f t="shared" si="19"/>
        <v>19652</v>
      </c>
      <c r="J35" s="18">
        <f t="shared" si="19"/>
        <v>21587</v>
      </c>
      <c r="K35" s="18">
        <f t="shared" si="19"/>
        <v>23714</v>
      </c>
      <c r="L35" s="18">
        <f t="shared" si="19"/>
        <v>26049</v>
      </c>
      <c r="M35" s="18">
        <f t="shared" si="19"/>
        <v>28614</v>
      </c>
      <c r="N35" s="18">
        <f t="shared" si="19"/>
        <v>31433</v>
      </c>
      <c r="O35" s="18">
        <f t="shared" si="19"/>
        <v>0</v>
      </c>
      <c r="P35" s="18">
        <f t="shared" si="19"/>
        <v>0</v>
      </c>
      <c r="Q35" s="18">
        <f t="shared" si="19"/>
        <v>0</v>
      </c>
      <c r="R35" s="18">
        <f t="shared" si="19"/>
        <v>0</v>
      </c>
      <c r="S35" s="18">
        <f t="shared" si="19"/>
        <v>0</v>
      </c>
      <c r="T35" s="18" t="str">
        <f t="shared" si="19"/>
        <v/>
      </c>
    </row>
    <row r="36" spans="1:20" outlineLevel="1" x14ac:dyDescent="0.3">
      <c r="A36" t="s">
        <v>5</v>
      </c>
      <c r="B36" s="5">
        <f ca="1">SUM(E36:OFFSET(E36,0,$I$1-1))</f>
        <v>15000</v>
      </c>
      <c r="C36" s="14">
        <f ca="1">IFERROR(AVERAGE(E36:OFFSET(E36,0,$I$2-1)),"na")</f>
        <v>5000</v>
      </c>
      <c r="E36" s="18">
        <f t="shared" si="14"/>
        <v>5000</v>
      </c>
      <c r="F36" s="18">
        <f t="shared" ref="F36:T36" si="20">IF(F$5&lt;=YEAR($F$2),F21,"")</f>
        <v>5000</v>
      </c>
      <c r="G36" s="18">
        <f t="shared" si="20"/>
        <v>5000</v>
      </c>
      <c r="H36" s="18">
        <f t="shared" si="20"/>
        <v>5100</v>
      </c>
      <c r="I36" s="18">
        <f t="shared" si="20"/>
        <v>5100</v>
      </c>
      <c r="J36" s="18">
        <f t="shared" si="20"/>
        <v>5602</v>
      </c>
      <c r="K36" s="18">
        <f t="shared" si="20"/>
        <v>6154</v>
      </c>
      <c r="L36" s="18">
        <f t="shared" si="20"/>
        <v>6760</v>
      </c>
      <c r="M36" s="18">
        <f t="shared" si="20"/>
        <v>7426</v>
      </c>
      <c r="N36" s="18">
        <f t="shared" si="20"/>
        <v>8157</v>
      </c>
      <c r="O36" s="18">
        <f t="shared" si="20"/>
        <v>0</v>
      </c>
      <c r="P36" s="18">
        <f t="shared" si="20"/>
        <v>0</v>
      </c>
      <c r="Q36" s="18">
        <f t="shared" si="20"/>
        <v>0</v>
      </c>
      <c r="R36" s="18">
        <f t="shared" si="20"/>
        <v>0</v>
      </c>
      <c r="S36" s="18">
        <f t="shared" si="20"/>
        <v>0</v>
      </c>
      <c r="T36" s="18" t="str">
        <f t="shared" si="20"/>
        <v/>
      </c>
    </row>
    <row r="37" spans="1:20" outlineLevel="1" x14ac:dyDescent="0.3">
      <c r="A37" s="26" t="s">
        <v>6</v>
      </c>
      <c r="B37" s="27">
        <f ca="1">SUM(E37:OFFSET(E37,0,$I$1-1))</f>
        <v>62109</v>
      </c>
      <c r="C37" s="28">
        <f ca="1">IFERROR(AVERAGE(E37:OFFSET(E37,0,$I$2-1)),"na")</f>
        <v>20703</v>
      </c>
      <c r="D37" s="26"/>
      <c r="E37" s="29">
        <f t="shared" si="14"/>
        <v>20168</v>
      </c>
      <c r="F37" s="29">
        <f t="shared" ref="F37:T37" si="21">IF(F$5&lt;=YEAR($F$2),F22,"")</f>
        <v>20953</v>
      </c>
      <c r="G37" s="29">
        <f t="shared" si="21"/>
        <v>20988</v>
      </c>
      <c r="H37" s="29">
        <f t="shared" si="21"/>
        <v>26772</v>
      </c>
      <c r="I37" s="29">
        <f t="shared" si="21"/>
        <v>29513</v>
      </c>
      <c r="J37" s="29">
        <f t="shared" si="21"/>
        <v>32420</v>
      </c>
      <c r="K37" s="29">
        <f t="shared" si="21"/>
        <v>35612</v>
      </c>
      <c r="L37" s="29">
        <f t="shared" si="21"/>
        <v>39120</v>
      </c>
      <c r="M37" s="29">
        <f t="shared" si="21"/>
        <v>42973</v>
      </c>
      <c r="N37" s="29">
        <f t="shared" si="21"/>
        <v>47205</v>
      </c>
      <c r="O37" s="29">
        <f t="shared" si="21"/>
        <v>0</v>
      </c>
      <c r="P37" s="29">
        <f t="shared" si="21"/>
        <v>0</v>
      </c>
      <c r="Q37" s="29">
        <f t="shared" si="21"/>
        <v>0</v>
      </c>
      <c r="R37" s="29">
        <f t="shared" si="21"/>
        <v>0</v>
      </c>
      <c r="S37" s="29">
        <f t="shared" si="21"/>
        <v>0</v>
      </c>
      <c r="T37" s="29" t="str">
        <f t="shared" si="21"/>
        <v/>
      </c>
    </row>
    <row r="38" spans="1:20" outlineLevel="1" x14ac:dyDescent="0.3">
      <c r="A38" t="s">
        <v>7</v>
      </c>
      <c r="B38" s="5">
        <f ca="1">SUM(E38:OFFSET(E38,0,$I$1-1))</f>
        <v>17189</v>
      </c>
      <c r="C38" s="14">
        <f ca="1">IFERROR(AVERAGE(E38:OFFSET(E38,0,$I$2-1)),"na")</f>
        <v>5729.666666666667</v>
      </c>
      <c r="E38" s="18">
        <f t="shared" si="14"/>
        <v>5445</v>
      </c>
      <c r="F38" s="18">
        <f t="shared" ref="F38:T38" si="22">IF(F$5&lt;=YEAR($F$2),F23,"")</f>
        <v>5867</v>
      </c>
      <c r="G38" s="18">
        <f t="shared" si="22"/>
        <v>5877</v>
      </c>
      <c r="H38" s="18">
        <f t="shared" si="22"/>
        <v>7737</v>
      </c>
      <c r="I38" s="18">
        <f t="shared" si="22"/>
        <v>8854</v>
      </c>
      <c r="J38" s="18">
        <f t="shared" si="22"/>
        <v>9726</v>
      </c>
      <c r="K38" s="18">
        <f t="shared" si="22"/>
        <v>10684</v>
      </c>
      <c r="L38" s="18">
        <f t="shared" si="22"/>
        <v>11736</v>
      </c>
      <c r="M38" s="18">
        <f t="shared" si="22"/>
        <v>12892</v>
      </c>
      <c r="N38" s="18">
        <f t="shared" si="22"/>
        <v>14161</v>
      </c>
      <c r="O38" s="18">
        <f t="shared" si="22"/>
        <v>0</v>
      </c>
      <c r="P38" s="18">
        <f t="shared" si="22"/>
        <v>0</v>
      </c>
      <c r="Q38" s="18">
        <f t="shared" si="22"/>
        <v>0</v>
      </c>
      <c r="R38" s="18">
        <f t="shared" si="22"/>
        <v>0</v>
      </c>
      <c r="S38" s="18">
        <f t="shared" si="22"/>
        <v>0</v>
      </c>
      <c r="T38" s="18" t="str">
        <f t="shared" si="22"/>
        <v/>
      </c>
    </row>
    <row r="39" spans="1:20" ht="14.5" outlineLevel="1" thickBot="1" x14ac:dyDescent="0.35">
      <c r="A39" s="30" t="s">
        <v>8</v>
      </c>
      <c r="B39" s="31">
        <f ca="1">SUM(E39:OFFSET(E39,0,$I$1-1))</f>
        <v>44920</v>
      </c>
      <c r="C39" s="32">
        <f ca="1">IFERROR(AVERAGE(E39:OFFSET(E39,0,$I$2-1)),"na")</f>
        <v>14973.333333333334</v>
      </c>
      <c r="D39" s="30"/>
      <c r="E39" s="33">
        <f t="shared" si="14"/>
        <v>14723</v>
      </c>
      <c r="F39" s="33">
        <f t="shared" ref="F39:T39" si="23">IF(F$5&lt;=YEAR($F$2),F24,"")</f>
        <v>15086</v>
      </c>
      <c r="G39" s="33">
        <f t="shared" si="23"/>
        <v>15111</v>
      </c>
      <c r="H39" s="33">
        <f t="shared" si="23"/>
        <v>19035</v>
      </c>
      <c r="I39" s="33">
        <f t="shared" si="23"/>
        <v>20659</v>
      </c>
      <c r="J39" s="33">
        <f t="shared" si="23"/>
        <v>22694</v>
      </c>
      <c r="K39" s="33">
        <f t="shared" si="23"/>
        <v>24928</v>
      </c>
      <c r="L39" s="33">
        <f t="shared" si="23"/>
        <v>27384</v>
      </c>
      <c r="M39" s="33">
        <f t="shared" si="23"/>
        <v>30081</v>
      </c>
      <c r="N39" s="33">
        <f t="shared" si="23"/>
        <v>33044</v>
      </c>
      <c r="O39" s="33">
        <f t="shared" si="23"/>
        <v>0</v>
      </c>
      <c r="P39" s="33">
        <f t="shared" si="23"/>
        <v>0</v>
      </c>
      <c r="Q39" s="33">
        <f t="shared" si="23"/>
        <v>0</v>
      </c>
      <c r="R39" s="33">
        <f t="shared" si="23"/>
        <v>0</v>
      </c>
      <c r="S39" s="33">
        <f t="shared" si="23"/>
        <v>0</v>
      </c>
      <c r="T39" s="33" t="str">
        <f t="shared" si="23"/>
        <v/>
      </c>
    </row>
    <row r="40" spans="1:20" ht="14.5" outlineLevel="1" thickTop="1" x14ac:dyDescent="0.3"/>
    <row r="42" spans="1:20" x14ac:dyDescent="0.3">
      <c r="A42" s="21" t="s">
        <v>22</v>
      </c>
      <c r="B42" s="22"/>
      <c r="C42" s="2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outlineLevel="1" x14ac:dyDescent="0.3"/>
    <row r="44" spans="1:20" outlineLevel="1" x14ac:dyDescent="0.3">
      <c r="A44" s="19" t="s">
        <v>23</v>
      </c>
    </row>
    <row r="45" spans="1:20" outlineLevel="1" x14ac:dyDescent="0.3">
      <c r="A45" t="s">
        <v>24</v>
      </c>
      <c r="B45" s="7">
        <v>5000</v>
      </c>
    </row>
    <row r="46" spans="1:20" outlineLevel="1" x14ac:dyDescent="0.3">
      <c r="A46" t="s">
        <v>25</v>
      </c>
      <c r="B46" s="7">
        <v>7</v>
      </c>
    </row>
    <row r="47" spans="1:20" outlineLevel="1" x14ac:dyDescent="0.3">
      <c r="A47" t="s">
        <v>26</v>
      </c>
      <c r="B47" s="35">
        <v>4.4999999999999998E-2</v>
      </c>
    </row>
    <row r="48" spans="1:20" outlineLevel="1" x14ac:dyDescent="0.3"/>
    <row r="49" spans="1:20" outlineLevel="1" x14ac:dyDescent="0.3">
      <c r="A49" t="s">
        <v>27</v>
      </c>
      <c r="E49">
        <v>1</v>
      </c>
      <c r="F49">
        <f>IF(E49&lt;$B$46,E49+1,"")</f>
        <v>2</v>
      </c>
      <c r="G49">
        <f t="shared" ref="G49:T49" si="24">IF(F49&lt;$B$46,F49+1,"")</f>
        <v>3</v>
      </c>
      <c r="H49">
        <f t="shared" si="24"/>
        <v>4</v>
      </c>
      <c r="I49">
        <f t="shared" si="24"/>
        <v>5</v>
      </c>
      <c r="J49">
        <f t="shared" si="24"/>
        <v>6</v>
      </c>
      <c r="K49">
        <f t="shared" si="24"/>
        <v>7</v>
      </c>
      <c r="L49" t="str">
        <f t="shared" si="24"/>
        <v/>
      </c>
      <c r="M49" t="str">
        <f t="shared" si="24"/>
        <v/>
      </c>
      <c r="N49" t="str">
        <f t="shared" si="24"/>
        <v/>
      </c>
      <c r="O49" t="str">
        <f t="shared" si="24"/>
        <v/>
      </c>
      <c r="P49" t="str">
        <f t="shared" si="24"/>
        <v/>
      </c>
      <c r="Q49" t="str">
        <f t="shared" si="24"/>
        <v/>
      </c>
      <c r="R49" t="str">
        <f t="shared" si="24"/>
        <v/>
      </c>
      <c r="S49" t="str">
        <f t="shared" si="24"/>
        <v/>
      </c>
      <c r="T49" t="str">
        <f t="shared" si="24"/>
        <v/>
      </c>
    </row>
    <row r="50" spans="1:20" outlineLevel="1" x14ac:dyDescent="0.3"/>
    <row r="51" spans="1:20" outlineLevel="1" x14ac:dyDescent="0.3">
      <c r="A51" t="s">
        <v>28</v>
      </c>
      <c r="E51">
        <f>$B$45</f>
        <v>5000</v>
      </c>
      <c r="F51" s="5">
        <f>E55</f>
        <v>4376.4926600586678</v>
      </c>
      <c r="G51" s="5">
        <f t="shared" ref="G51:T51" si="25">F55</f>
        <v>3724.9274898199751</v>
      </c>
      <c r="H51" s="5">
        <f t="shared" si="25"/>
        <v>3044.0418869205414</v>
      </c>
      <c r="I51" s="5">
        <f t="shared" si="25"/>
        <v>2332.5164318906332</v>
      </c>
      <c r="J51" s="5">
        <f t="shared" si="25"/>
        <v>1588.972331384379</v>
      </c>
      <c r="K51" s="5">
        <f t="shared" si="25"/>
        <v>811.96874635534346</v>
      </c>
      <c r="L51" s="5">
        <f t="shared" si="25"/>
        <v>1.2505552149377763E-12</v>
      </c>
      <c r="M51" s="5">
        <f t="shared" si="25"/>
        <v>1.2505552149377763E-12</v>
      </c>
      <c r="N51" s="5">
        <f t="shared" si="25"/>
        <v>1.2505552149377763E-12</v>
      </c>
      <c r="O51" s="5">
        <f t="shared" si="25"/>
        <v>1.2505552149377763E-12</v>
      </c>
      <c r="P51" s="5">
        <f t="shared" si="25"/>
        <v>1.2505552149377763E-12</v>
      </c>
      <c r="Q51" s="5">
        <f t="shared" si="25"/>
        <v>1.2505552149377763E-12</v>
      </c>
      <c r="R51" s="5">
        <f t="shared" si="25"/>
        <v>1.2505552149377763E-12</v>
      </c>
      <c r="S51" s="5">
        <f t="shared" si="25"/>
        <v>1.2505552149377763E-12</v>
      </c>
      <c r="T51" s="5">
        <f t="shared" si="25"/>
        <v>1.2505552149377763E-12</v>
      </c>
    </row>
    <row r="52" spans="1:20" outlineLevel="1" x14ac:dyDescent="0.3">
      <c r="A52" t="s">
        <v>29</v>
      </c>
      <c r="E52" s="5">
        <f>IF(E49&lt;=$B$46,PMT($B$47,$B$46,$B$45),0)</f>
        <v>-848.50733994133259</v>
      </c>
      <c r="F52" s="5">
        <f t="shared" ref="F52:T52" si="26">IF(F49&lt;=$B$46,PMT($B$47,$B$46,$B$45),0)</f>
        <v>-848.50733994133259</v>
      </c>
      <c r="G52" s="5">
        <f t="shared" si="26"/>
        <v>-848.50733994133259</v>
      </c>
      <c r="H52" s="5">
        <f t="shared" si="26"/>
        <v>-848.50733994133259</v>
      </c>
      <c r="I52" s="5">
        <f t="shared" si="26"/>
        <v>-848.50733994133259</v>
      </c>
      <c r="J52" s="5">
        <f t="shared" si="26"/>
        <v>-848.50733994133259</v>
      </c>
      <c r="K52" s="5">
        <f t="shared" si="26"/>
        <v>-848.50733994133259</v>
      </c>
      <c r="L52" s="5">
        <f t="shared" si="26"/>
        <v>0</v>
      </c>
      <c r="M52" s="5">
        <f t="shared" si="26"/>
        <v>0</v>
      </c>
      <c r="N52" s="5">
        <f t="shared" si="26"/>
        <v>0</v>
      </c>
      <c r="O52" s="5">
        <f t="shared" si="26"/>
        <v>0</v>
      </c>
      <c r="P52" s="5">
        <f t="shared" si="26"/>
        <v>0</v>
      </c>
      <c r="Q52" s="5">
        <f t="shared" si="26"/>
        <v>0</v>
      </c>
      <c r="R52" s="5">
        <f t="shared" si="26"/>
        <v>0</v>
      </c>
      <c r="S52" s="5">
        <f t="shared" si="26"/>
        <v>0</v>
      </c>
      <c r="T52" s="5">
        <f t="shared" si="26"/>
        <v>0</v>
      </c>
    </row>
    <row r="53" spans="1:20" outlineLevel="1" x14ac:dyDescent="0.3">
      <c r="A53" t="s">
        <v>30</v>
      </c>
      <c r="E53" s="5">
        <f>IF(E49&lt;=$B$46,IPMT($B$47,E49,$B$46,$B$45),0)</f>
        <v>-225</v>
      </c>
      <c r="F53" s="5">
        <f t="shared" ref="F53:T53" si="27">IF(F49&lt;=$B$46,IPMT($B$47,F49,$B$46,$B$45),0)</f>
        <v>-196.94216970263997</v>
      </c>
      <c r="G53" s="5">
        <f t="shared" si="27"/>
        <v>-167.62173704189885</v>
      </c>
      <c r="H53" s="5">
        <f t="shared" si="27"/>
        <v>-136.98188491142432</v>
      </c>
      <c r="I53" s="5">
        <f t="shared" si="27"/>
        <v>-104.96323943507842</v>
      </c>
      <c r="J53" s="5">
        <f t="shared" si="27"/>
        <v>-71.503754912297012</v>
      </c>
      <c r="K53" s="5">
        <f t="shared" si="27"/>
        <v>-36.538593585990405</v>
      </c>
      <c r="L53" s="5">
        <f t="shared" si="27"/>
        <v>0</v>
      </c>
      <c r="M53" s="5">
        <f t="shared" si="27"/>
        <v>0</v>
      </c>
      <c r="N53" s="5">
        <f t="shared" si="27"/>
        <v>0</v>
      </c>
      <c r="O53" s="5">
        <f t="shared" si="27"/>
        <v>0</v>
      </c>
      <c r="P53" s="5">
        <f t="shared" si="27"/>
        <v>0</v>
      </c>
      <c r="Q53" s="5">
        <f t="shared" si="27"/>
        <v>0</v>
      </c>
      <c r="R53" s="5">
        <f t="shared" si="27"/>
        <v>0</v>
      </c>
      <c r="S53" s="5">
        <f t="shared" si="27"/>
        <v>0</v>
      </c>
      <c r="T53" s="5">
        <f t="shared" si="27"/>
        <v>0</v>
      </c>
    </row>
    <row r="54" spans="1:20" outlineLevel="1" x14ac:dyDescent="0.3">
      <c r="A54" t="s">
        <v>75</v>
      </c>
      <c r="E54" s="5">
        <f>E52-E53</f>
        <v>-623.50733994133259</v>
      </c>
      <c r="F54" s="5">
        <f>F52-F53</f>
        <v>-651.56517023869264</v>
      </c>
      <c r="G54" s="5">
        <f t="shared" ref="G54:T54" si="28">G52-G53</f>
        <v>-680.88560289943371</v>
      </c>
      <c r="H54" s="5">
        <f t="shared" si="28"/>
        <v>-711.52545502990824</v>
      </c>
      <c r="I54" s="5">
        <f t="shared" si="28"/>
        <v>-743.54410050625415</v>
      </c>
      <c r="J54" s="5">
        <f t="shared" si="28"/>
        <v>-777.00358502903555</v>
      </c>
      <c r="K54" s="5">
        <f t="shared" si="28"/>
        <v>-811.9687463553422</v>
      </c>
      <c r="L54" s="5">
        <f t="shared" si="28"/>
        <v>0</v>
      </c>
      <c r="M54" s="5">
        <f t="shared" si="28"/>
        <v>0</v>
      </c>
      <c r="N54" s="5">
        <f t="shared" si="28"/>
        <v>0</v>
      </c>
      <c r="O54" s="5">
        <f t="shared" si="28"/>
        <v>0</v>
      </c>
      <c r="P54" s="5">
        <f t="shared" si="28"/>
        <v>0</v>
      </c>
      <c r="Q54" s="5">
        <f t="shared" si="28"/>
        <v>0</v>
      </c>
      <c r="R54" s="5">
        <f t="shared" si="28"/>
        <v>0</v>
      </c>
      <c r="S54" s="5">
        <f t="shared" si="28"/>
        <v>0</v>
      </c>
      <c r="T54" s="5">
        <f t="shared" si="28"/>
        <v>0</v>
      </c>
    </row>
    <row r="55" spans="1:20" outlineLevel="1" x14ac:dyDescent="0.3">
      <c r="A55" t="s">
        <v>31</v>
      </c>
      <c r="E55" s="5">
        <f>E51+E54</f>
        <v>4376.4926600586678</v>
      </c>
      <c r="F55" s="5">
        <f t="shared" ref="F55:T55" si="29">F51+F54</f>
        <v>3724.9274898199751</v>
      </c>
      <c r="G55" s="5">
        <f t="shared" si="29"/>
        <v>3044.0418869205414</v>
      </c>
      <c r="H55" s="5">
        <f t="shared" si="29"/>
        <v>2332.5164318906332</v>
      </c>
      <c r="I55" s="5">
        <f t="shared" si="29"/>
        <v>1588.972331384379</v>
      </c>
      <c r="J55" s="5">
        <f t="shared" si="29"/>
        <v>811.96874635534346</v>
      </c>
      <c r="K55" s="5">
        <f t="shared" si="29"/>
        <v>1.2505552149377763E-12</v>
      </c>
      <c r="L55" s="5">
        <f t="shared" si="29"/>
        <v>1.2505552149377763E-12</v>
      </c>
      <c r="M55" s="5">
        <f t="shared" si="29"/>
        <v>1.2505552149377763E-12</v>
      </c>
      <c r="N55" s="5">
        <f t="shared" si="29"/>
        <v>1.2505552149377763E-12</v>
      </c>
      <c r="O55" s="5">
        <f t="shared" si="29"/>
        <v>1.2505552149377763E-12</v>
      </c>
      <c r="P55" s="5">
        <f t="shared" si="29"/>
        <v>1.2505552149377763E-12</v>
      </c>
      <c r="Q55" s="5">
        <f t="shared" si="29"/>
        <v>1.2505552149377763E-12</v>
      </c>
      <c r="R55" s="5">
        <f t="shared" si="29"/>
        <v>1.2505552149377763E-12</v>
      </c>
      <c r="S55" s="5">
        <f t="shared" si="29"/>
        <v>1.2505552149377763E-12</v>
      </c>
      <c r="T55" s="5">
        <f t="shared" si="29"/>
        <v>1.2505552149377763E-12</v>
      </c>
    </row>
    <row r="56" spans="1:20" outlineLevel="1" x14ac:dyDescent="0.3"/>
    <row r="58" spans="1:20" x14ac:dyDescent="0.3">
      <c r="A58" s="21" t="s">
        <v>32</v>
      </c>
      <c r="B58" s="22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outlineLevel="1" x14ac:dyDescent="0.3"/>
    <row r="60" spans="1:20" ht="14" customHeight="1" outlineLevel="1" x14ac:dyDescent="0.3">
      <c r="A60" t="s">
        <v>33</v>
      </c>
      <c r="B60" s="70">
        <f ca="1">XNPV(C60,E63:OFFSET(E63,0,$F$3-1),E6:OFFSET(E6,0,$F$3-1))</f>
        <v>2250.1019671114414</v>
      </c>
      <c r="C60" s="35">
        <v>0.15</v>
      </c>
    </row>
    <row r="61" spans="1:20" outlineLevel="1" x14ac:dyDescent="0.3">
      <c r="A61" t="s">
        <v>34</v>
      </c>
      <c r="B61" s="34">
        <f ca="1">XIRR(E63:OFFSET(E63,0,$F$3-1),E6:OFFSET(E6,0,$F$3-1))</f>
        <v>0.5195807874202728</v>
      </c>
    </row>
    <row r="62" spans="1:20" outlineLevel="1" x14ac:dyDescent="0.3">
      <c r="B62" s="34"/>
    </row>
    <row r="63" spans="1:20" outlineLevel="1" x14ac:dyDescent="0.3">
      <c r="A63" t="s">
        <v>35</v>
      </c>
      <c r="E63" s="5">
        <f>IF(E$5&lt;=YEAR($F$2),E26,"")</f>
        <v>-1000</v>
      </c>
      <c r="F63" s="5">
        <f t="shared" ref="F63:T63" si="30">IF(F$5&lt;=YEAR($F$2),F26,"")</f>
        <v>200</v>
      </c>
      <c r="G63" s="5">
        <f t="shared" si="30"/>
        <v>500</v>
      </c>
      <c r="H63" s="5">
        <f t="shared" si="30"/>
        <v>700</v>
      </c>
      <c r="I63" s="5">
        <f t="shared" si="30"/>
        <v>900</v>
      </c>
      <c r="J63" s="5">
        <f t="shared" si="30"/>
        <v>900</v>
      </c>
      <c r="K63" s="5">
        <f t="shared" si="30"/>
        <v>900</v>
      </c>
      <c r="L63" s="5">
        <f t="shared" si="30"/>
        <v>900</v>
      </c>
      <c r="M63" s="5">
        <f t="shared" si="30"/>
        <v>900</v>
      </c>
      <c r="N63" s="5">
        <f t="shared" si="30"/>
        <v>900</v>
      </c>
      <c r="O63" s="5">
        <f t="shared" si="30"/>
        <v>0</v>
      </c>
      <c r="P63" s="5">
        <f t="shared" si="30"/>
        <v>0</v>
      </c>
      <c r="Q63" s="5">
        <f t="shared" si="30"/>
        <v>0</v>
      </c>
      <c r="R63" s="5">
        <f t="shared" si="30"/>
        <v>0</v>
      </c>
      <c r="S63" s="5">
        <f t="shared" si="30"/>
        <v>0</v>
      </c>
      <c r="T63" s="5" t="str">
        <f t="shared" si="30"/>
        <v/>
      </c>
    </row>
    <row r="64" spans="1:20" outlineLevel="1" x14ac:dyDescent="0.3"/>
    <row r="65" spans="1:20" outlineLevel="1" x14ac:dyDescent="0.3">
      <c r="D65" s="19" t="s">
        <v>46</v>
      </c>
    </row>
    <row r="66" spans="1:20" outlineLevel="1" x14ac:dyDescent="0.3">
      <c r="D66" s="26" t="s">
        <v>41</v>
      </c>
      <c r="E66" s="40" t="s">
        <v>44</v>
      </c>
      <c r="F66" s="26"/>
      <c r="G66" s="27">
        <f>SUM(E63:J63)</f>
        <v>2200</v>
      </c>
      <c r="I66">
        <f>COUNT(E63:T63)</f>
        <v>15</v>
      </c>
      <c r="K66" t="s">
        <v>49</v>
      </c>
      <c r="M66" t="s">
        <v>53</v>
      </c>
      <c r="N66" s="35">
        <v>0.3</v>
      </c>
      <c r="P66" t="str">
        <f ca="1">IF(OR(B61&gt;=N66,B60&gt;=N67),N68,N69)</f>
        <v>Invest</v>
      </c>
    </row>
    <row r="67" spans="1:20" outlineLevel="1" x14ac:dyDescent="0.3">
      <c r="D67" t="s">
        <v>42</v>
      </c>
      <c r="E67" s="39" t="s">
        <v>45</v>
      </c>
      <c r="G67" s="5">
        <f ca="1">SUM(INDIRECT(E66&amp;E68):INDIRECT(E67&amp;E68))</f>
        <v>2200</v>
      </c>
      <c r="I67">
        <f>COUNTA(E63:T63)</f>
        <v>16</v>
      </c>
      <c r="K67" t="s">
        <v>50</v>
      </c>
      <c r="M67" t="s">
        <v>54</v>
      </c>
      <c r="N67" s="7">
        <v>800</v>
      </c>
    </row>
    <row r="68" spans="1:20" outlineLevel="1" x14ac:dyDescent="0.3">
      <c r="D68" t="s">
        <v>43</v>
      </c>
      <c r="E68" s="41">
        <f ca="1">CELL("row",E63)</f>
        <v>63</v>
      </c>
      <c r="K68" t="s">
        <v>51</v>
      </c>
      <c r="N68" s="39" t="s">
        <v>55</v>
      </c>
    </row>
    <row r="69" spans="1:20" outlineLevel="1" x14ac:dyDescent="0.3">
      <c r="E69" s="41"/>
      <c r="K69" t="s">
        <v>52</v>
      </c>
      <c r="N69" s="39" t="s">
        <v>56</v>
      </c>
    </row>
    <row r="71" spans="1:20" x14ac:dyDescent="0.3">
      <c r="A71" s="21" t="s">
        <v>36</v>
      </c>
      <c r="B71" s="22"/>
      <c r="C71" s="22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outlineLevel="1" x14ac:dyDescent="0.3"/>
    <row r="73" spans="1:20" outlineLevel="1" x14ac:dyDescent="0.3">
      <c r="E73" s="19">
        <v>2018</v>
      </c>
      <c r="F73" s="19">
        <f>+E73+4</f>
        <v>2022</v>
      </c>
      <c r="G73" s="19">
        <v>2025</v>
      </c>
      <c r="I73" s="19" t="s">
        <v>40</v>
      </c>
    </row>
    <row r="74" spans="1:20" outlineLevel="1" x14ac:dyDescent="0.3">
      <c r="C74" s="37" t="s">
        <v>0</v>
      </c>
      <c r="D74" s="27"/>
      <c r="E74" s="27">
        <f>IFERROR(INDEX($A$31:$T$39,MATCH($C74,$A$31:$A$39,0),MATCH(E$73,$A$5:$T$5,0)),"")</f>
        <v>100500</v>
      </c>
      <c r="F74" s="27">
        <f t="shared" ref="F74:G76" si="31">IFERROR(INDEX($A$31:$T$39,MATCH($C74,$A$31:$A$39,0),MATCH(F$73,$A$5:$T$5,0)),"")</f>
        <v>142244</v>
      </c>
      <c r="G74" s="27">
        <f t="shared" si="31"/>
        <v>188546</v>
      </c>
      <c r="I74" s="26" t="s">
        <v>33</v>
      </c>
      <c r="J74" s="38">
        <v>2000</v>
      </c>
      <c r="K74" s="26"/>
      <c r="L74" s="26" t="s">
        <v>38</v>
      </c>
      <c r="M74" s="26"/>
      <c r="N74" s="38">
        <v>0</v>
      </c>
    </row>
    <row r="75" spans="1:20" outlineLevel="1" x14ac:dyDescent="0.3">
      <c r="C75" s="19" t="s">
        <v>2</v>
      </c>
      <c r="D75" s="5"/>
      <c r="E75" s="54">
        <f t="shared" ref="E75:E76" si="32">IFERROR(INDEX($A$31:$T$39,MATCH($C75,$A$31:$A$39,0),MATCH(E$73,$A$5:$T$5,0)),"")</f>
        <v>61828</v>
      </c>
      <c r="F75" s="54">
        <f t="shared" si="31"/>
        <v>83924</v>
      </c>
      <c r="G75" s="54">
        <f t="shared" si="31"/>
        <v>111242</v>
      </c>
      <c r="I75" t="s">
        <v>37</v>
      </c>
      <c r="J75" s="35">
        <v>0.122</v>
      </c>
      <c r="L75" t="s">
        <v>39</v>
      </c>
      <c r="N75" s="6">
        <v>121558</v>
      </c>
    </row>
    <row r="76" spans="1:20" outlineLevel="1" x14ac:dyDescent="0.3">
      <c r="C76" s="19" t="s">
        <v>8</v>
      </c>
      <c r="D76" s="5"/>
      <c r="E76" s="54">
        <f>IFERROR(INDEX($A$31:$T$39,MATCH($C76,$A$31:$A$39,0),MATCH(E$73,$A$5:$T$5,0)),"")</f>
        <v>14723</v>
      </c>
      <c r="F76" s="54">
        <f t="shared" si="31"/>
        <v>20659</v>
      </c>
      <c r="G76" s="54">
        <f t="shared" si="31"/>
        <v>27384</v>
      </c>
    </row>
    <row r="77" spans="1:20" outlineLevel="1" x14ac:dyDescent="0.3">
      <c r="D77" s="5"/>
      <c r="E77" s="5"/>
      <c r="F77" s="5"/>
    </row>
    <row r="78" spans="1:20" x14ac:dyDescent="0.3">
      <c r="D78" s="5"/>
      <c r="E78" s="5"/>
      <c r="F78" s="5"/>
    </row>
    <row r="79" spans="1:20" x14ac:dyDescent="0.3">
      <c r="A79" s="21" t="s">
        <v>57</v>
      </c>
      <c r="B79" s="22"/>
      <c r="C79" s="2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outlineLevel="1" x14ac:dyDescent="0.3"/>
    <row r="81" spans="1:20" outlineLevel="1" x14ac:dyDescent="0.3">
      <c r="B81" s="50" t="s">
        <v>60</v>
      </c>
      <c r="C81" s="50"/>
      <c r="D81" s="50"/>
      <c r="E81" s="50"/>
      <c r="F81" s="50"/>
      <c r="G81" s="50"/>
      <c r="H81" s="50"/>
    </row>
    <row r="82" spans="1:20" outlineLevel="1" x14ac:dyDescent="0.3">
      <c r="D82" s="47" t="s">
        <v>58</v>
      </c>
      <c r="E82" s="48"/>
      <c r="F82" s="48"/>
      <c r="G82" s="48"/>
      <c r="H82" s="48"/>
    </row>
    <row r="83" spans="1:20" outlineLevel="1" x14ac:dyDescent="0.3">
      <c r="C83" s="45">
        <f ca="1">B60</f>
        <v>2250.1019671114414</v>
      </c>
      <c r="D83" s="49">
        <v>0.25</v>
      </c>
      <c r="E83" s="49">
        <f>+D83-0.05</f>
        <v>0.2</v>
      </c>
      <c r="F83" s="49">
        <f t="shared" ref="F83:H83" si="33">+E83-0.05</f>
        <v>0.15000000000000002</v>
      </c>
      <c r="G83" s="49">
        <f t="shared" si="33"/>
        <v>0.10000000000000002</v>
      </c>
      <c r="H83" s="49">
        <f t="shared" si="33"/>
        <v>5.0000000000000017E-2</v>
      </c>
    </row>
    <row r="84" spans="1:20" outlineLevel="1" x14ac:dyDescent="0.3">
      <c r="B84" s="51" t="s">
        <v>59</v>
      </c>
      <c r="C84" s="46">
        <v>-2000</v>
      </c>
      <c r="D84" s="27">
        <f t="dataTable" ref="D84:H88" dt2D="1" dtr="1" r1="C60" r2="E26" ca="1"/>
        <v>196.74497521293489</v>
      </c>
      <c r="E84" s="27">
        <v>649.30999791141267</v>
      </c>
      <c r="F84" s="27">
        <v>1250.1019671114414</v>
      </c>
      <c r="G84" s="27">
        <v>2064.4398507172145</v>
      </c>
      <c r="H84" s="27">
        <v>3193.7904590765029</v>
      </c>
    </row>
    <row r="85" spans="1:20" outlineLevel="1" x14ac:dyDescent="0.3">
      <c r="B85" s="52"/>
      <c r="C85" s="46">
        <f>+C84+500</f>
        <v>-1500</v>
      </c>
      <c r="D85" s="5">
        <v>696.74497521293483</v>
      </c>
      <c r="E85" s="5">
        <v>1149.3099979114129</v>
      </c>
      <c r="F85" s="5">
        <v>1750.1019671114414</v>
      </c>
      <c r="G85" s="5">
        <v>2564.4398507172145</v>
      </c>
      <c r="H85" s="5">
        <v>3693.790459076502</v>
      </c>
    </row>
    <row r="86" spans="1:20" outlineLevel="1" x14ac:dyDescent="0.3">
      <c r="B86" s="52"/>
      <c r="C86" s="46">
        <f t="shared" ref="C86:C88" si="34">+C85+500</f>
        <v>-1000</v>
      </c>
      <c r="D86" s="5">
        <v>1196.7449752129348</v>
      </c>
      <c r="E86" s="5">
        <v>1649.3099979114127</v>
      </c>
      <c r="F86" s="5">
        <v>2250.1019671114414</v>
      </c>
      <c r="G86" s="5">
        <v>3064.4398507172141</v>
      </c>
      <c r="H86" s="5">
        <v>4193.7904590765029</v>
      </c>
    </row>
    <row r="87" spans="1:20" outlineLevel="1" x14ac:dyDescent="0.3">
      <c r="B87" s="52"/>
      <c r="C87" s="46">
        <f t="shared" si="34"/>
        <v>-500</v>
      </c>
      <c r="D87" s="5">
        <v>1696.7449752129346</v>
      </c>
      <c r="E87" s="5">
        <v>2149.3099979114127</v>
      </c>
      <c r="F87" s="5">
        <v>2750.1019671114418</v>
      </c>
      <c r="G87" s="5">
        <v>3564.4398507172141</v>
      </c>
      <c r="H87" s="5">
        <v>4693.790459076502</v>
      </c>
    </row>
    <row r="88" spans="1:20" outlineLevel="1" x14ac:dyDescent="0.3">
      <c r="B88" s="52"/>
      <c r="C88" s="46">
        <f t="shared" si="34"/>
        <v>0</v>
      </c>
      <c r="D88" s="5">
        <v>2196.7449752129346</v>
      </c>
      <c r="E88" s="5">
        <v>2649.3099979114127</v>
      </c>
      <c r="F88" s="5">
        <v>3250.1019671114409</v>
      </c>
      <c r="G88" s="5">
        <v>4064.4398507172141</v>
      </c>
      <c r="H88" s="5">
        <v>5193.790459076502</v>
      </c>
    </row>
    <row r="89" spans="1:20" outlineLevel="1" x14ac:dyDescent="0.3"/>
    <row r="90" spans="1:20" outlineLevel="1" x14ac:dyDescent="0.3"/>
    <row r="92" spans="1:20" x14ac:dyDescent="0.3">
      <c r="A92" s="21" t="s">
        <v>61</v>
      </c>
      <c r="B92" s="22"/>
      <c r="C92" s="22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outlineLevel="1" x14ac:dyDescent="0.3"/>
    <row r="94" spans="1:20" outlineLevel="1" x14ac:dyDescent="0.3">
      <c r="A94" t="s">
        <v>0</v>
      </c>
      <c r="B94" s="55"/>
      <c r="E94" s="5">
        <f>E31</f>
        <v>100500</v>
      </c>
      <c r="F94" s="5">
        <f t="shared" ref="F94:T94" si="35">F31</f>
        <v>110148</v>
      </c>
      <c r="G94" s="5">
        <f t="shared" si="35"/>
        <v>120832</v>
      </c>
      <c r="H94" s="5">
        <f t="shared" si="35"/>
        <v>131707</v>
      </c>
      <c r="I94" s="5">
        <f t="shared" si="35"/>
        <v>142244</v>
      </c>
      <c r="J94" s="5">
        <f t="shared" si="35"/>
        <v>156253</v>
      </c>
      <c r="K94" s="5">
        <f t="shared" si="35"/>
        <v>171642</v>
      </c>
      <c r="L94" s="5">
        <f t="shared" si="35"/>
        <v>188546</v>
      </c>
      <c r="M94" s="5">
        <f t="shared" si="35"/>
        <v>207115</v>
      </c>
      <c r="N94" s="5">
        <f t="shared" si="35"/>
        <v>227513</v>
      </c>
      <c r="O94" s="5">
        <f t="shared" si="35"/>
        <v>0</v>
      </c>
      <c r="P94" s="5">
        <f t="shared" si="35"/>
        <v>0</v>
      </c>
      <c r="Q94" s="5">
        <f t="shared" si="35"/>
        <v>0</v>
      </c>
      <c r="R94" s="5">
        <f t="shared" si="35"/>
        <v>0</v>
      </c>
      <c r="S94" s="5">
        <f t="shared" si="35"/>
        <v>0</v>
      </c>
      <c r="T94" s="5" t="str">
        <f t="shared" si="35"/>
        <v/>
      </c>
    </row>
    <row r="95" spans="1:20" outlineLevel="1" x14ac:dyDescent="0.3">
      <c r="A95" t="s">
        <v>62</v>
      </c>
      <c r="E95" s="53">
        <f>IFERROR(E33/E31,"")</f>
        <v>0.6152039800995025</v>
      </c>
      <c r="F95" s="53">
        <f t="shared" ref="F95:T95" si="36">IFERROR(F33/F31,"")</f>
        <v>0.60520390746994956</v>
      </c>
      <c r="G95" s="53">
        <f t="shared" si="36"/>
        <v>0.59999834480932202</v>
      </c>
      <c r="H95" s="53">
        <f t="shared" si="36"/>
        <v>0.60500201204188087</v>
      </c>
      <c r="I95" s="53">
        <f t="shared" si="36"/>
        <v>0.59000028120694015</v>
      </c>
      <c r="J95" s="53">
        <f t="shared" si="36"/>
        <v>0.58999827203317701</v>
      </c>
      <c r="K95" s="53">
        <f t="shared" si="36"/>
        <v>0.59000128173757005</v>
      </c>
      <c r="L95" s="53">
        <f t="shared" si="36"/>
        <v>0.58999925747562931</v>
      </c>
      <c r="M95" s="53">
        <f t="shared" si="36"/>
        <v>0.59000072423532823</v>
      </c>
      <c r="N95" s="53">
        <f t="shared" si="36"/>
        <v>0.59000145046656671</v>
      </c>
      <c r="O95" s="53" t="str">
        <f t="shared" si="36"/>
        <v/>
      </c>
      <c r="P95" s="53" t="str">
        <f t="shared" si="36"/>
        <v/>
      </c>
      <c r="Q95" s="53" t="str">
        <f t="shared" si="36"/>
        <v/>
      </c>
      <c r="R95" s="53" t="str">
        <f t="shared" si="36"/>
        <v/>
      </c>
      <c r="S95" s="53" t="str">
        <f t="shared" si="36"/>
        <v/>
      </c>
      <c r="T95" s="53" t="str">
        <f t="shared" si="36"/>
        <v/>
      </c>
    </row>
    <row r="96" spans="1:20" outlineLevel="1" x14ac:dyDescent="0.3"/>
    <row r="97" spans="1:20" outlineLevel="1" x14ac:dyDescent="0.3">
      <c r="A97" t="s">
        <v>1</v>
      </c>
      <c r="E97" s="5">
        <f>E32</f>
        <v>38672</v>
      </c>
      <c r="F97" s="5">
        <f t="shared" ref="F97:T97" si="37">F32</f>
        <v>43486</v>
      </c>
      <c r="G97" s="5">
        <f t="shared" si="37"/>
        <v>48333</v>
      </c>
      <c r="H97" s="5">
        <f t="shared" si="37"/>
        <v>52024</v>
      </c>
      <c r="I97" s="5">
        <f t="shared" si="37"/>
        <v>58320</v>
      </c>
      <c r="J97" s="5">
        <f t="shared" si="37"/>
        <v>64064</v>
      </c>
      <c r="K97" s="5">
        <f t="shared" si="37"/>
        <v>70373</v>
      </c>
      <c r="L97" s="5">
        <f t="shared" si="37"/>
        <v>77304</v>
      </c>
      <c r="M97" s="5">
        <f t="shared" si="37"/>
        <v>84917</v>
      </c>
      <c r="N97" s="5">
        <f t="shared" si="37"/>
        <v>93280</v>
      </c>
      <c r="O97" s="5">
        <f t="shared" si="37"/>
        <v>0</v>
      </c>
      <c r="P97" s="5">
        <f t="shared" si="37"/>
        <v>0</v>
      </c>
      <c r="Q97" s="5">
        <f t="shared" si="37"/>
        <v>0</v>
      </c>
      <c r="R97" s="5">
        <f t="shared" si="37"/>
        <v>0</v>
      </c>
      <c r="S97" s="5">
        <f t="shared" si="37"/>
        <v>0</v>
      </c>
      <c r="T97" s="5" t="str">
        <f t="shared" si="37"/>
        <v/>
      </c>
    </row>
    <row r="98" spans="1:20" outlineLevel="1" x14ac:dyDescent="0.3">
      <c r="A98" t="s">
        <v>3</v>
      </c>
      <c r="B98" s="55"/>
      <c r="E98" s="5">
        <f>E34</f>
        <v>23789</v>
      </c>
      <c r="F98" s="5">
        <f t="shared" ref="F98:T98" si="38">F34</f>
        <v>26812</v>
      </c>
      <c r="G98" s="5">
        <f t="shared" si="38"/>
        <v>27859</v>
      </c>
      <c r="H98" s="5">
        <f t="shared" si="38"/>
        <v>28859</v>
      </c>
      <c r="I98" s="5">
        <f t="shared" si="38"/>
        <v>29659</v>
      </c>
      <c r="J98" s="5">
        <f t="shared" si="38"/>
        <v>32580</v>
      </c>
      <c r="K98" s="5">
        <f t="shared" si="38"/>
        <v>35789</v>
      </c>
      <c r="L98" s="5">
        <f t="shared" si="38"/>
        <v>39313</v>
      </c>
      <c r="M98" s="5">
        <f t="shared" si="38"/>
        <v>43185</v>
      </c>
      <c r="N98" s="5">
        <f t="shared" si="38"/>
        <v>47438</v>
      </c>
      <c r="O98" s="5">
        <f t="shared" si="38"/>
        <v>0</v>
      </c>
      <c r="P98" s="5">
        <f t="shared" si="38"/>
        <v>0</v>
      </c>
      <c r="Q98" s="5">
        <f t="shared" si="38"/>
        <v>0</v>
      </c>
      <c r="R98" s="5">
        <f t="shared" si="38"/>
        <v>0</v>
      </c>
      <c r="S98" s="5">
        <f t="shared" si="38"/>
        <v>0</v>
      </c>
      <c r="T98" s="5" t="str">
        <f t="shared" si="38"/>
        <v/>
      </c>
    </row>
    <row r="99" spans="1:20" outlineLevel="1" x14ac:dyDescent="0.3">
      <c r="A99" t="s">
        <v>4</v>
      </c>
      <c r="B99" s="55"/>
      <c r="E99" s="5">
        <f t="shared" ref="E99:T100" si="39">E35</f>
        <v>12871</v>
      </c>
      <c r="F99" s="5">
        <f t="shared" si="39"/>
        <v>13897</v>
      </c>
      <c r="G99" s="5">
        <f t="shared" si="39"/>
        <v>18652</v>
      </c>
      <c r="H99" s="5">
        <f t="shared" si="39"/>
        <v>18952</v>
      </c>
      <c r="I99" s="5">
        <f t="shared" si="39"/>
        <v>19652</v>
      </c>
      <c r="J99" s="5">
        <f t="shared" si="39"/>
        <v>21587</v>
      </c>
      <c r="K99" s="5">
        <f t="shared" si="39"/>
        <v>23714</v>
      </c>
      <c r="L99" s="5">
        <f t="shared" si="39"/>
        <v>26049</v>
      </c>
      <c r="M99" s="5">
        <f t="shared" si="39"/>
        <v>28614</v>
      </c>
      <c r="N99" s="5">
        <f t="shared" si="39"/>
        <v>31433</v>
      </c>
      <c r="O99" s="5">
        <f t="shared" si="39"/>
        <v>0</v>
      </c>
      <c r="P99" s="5">
        <f t="shared" si="39"/>
        <v>0</v>
      </c>
      <c r="Q99" s="5">
        <f t="shared" si="39"/>
        <v>0</v>
      </c>
      <c r="R99" s="5">
        <f t="shared" si="39"/>
        <v>0</v>
      </c>
      <c r="S99" s="5">
        <f t="shared" si="39"/>
        <v>0</v>
      </c>
      <c r="T99" s="5" t="str">
        <f t="shared" si="39"/>
        <v/>
      </c>
    </row>
    <row r="100" spans="1:20" outlineLevel="1" x14ac:dyDescent="0.3">
      <c r="A100" t="s">
        <v>5</v>
      </c>
      <c r="B100" s="55"/>
      <c r="E100" s="5">
        <f t="shared" si="39"/>
        <v>5000</v>
      </c>
      <c r="F100" s="5">
        <f t="shared" si="39"/>
        <v>5000</v>
      </c>
      <c r="G100" s="5">
        <f t="shared" si="39"/>
        <v>5000</v>
      </c>
      <c r="H100" s="5">
        <f t="shared" si="39"/>
        <v>5100</v>
      </c>
      <c r="I100" s="5">
        <f t="shared" si="39"/>
        <v>5100</v>
      </c>
      <c r="J100" s="5">
        <f t="shared" si="39"/>
        <v>5602</v>
      </c>
      <c r="K100" s="5">
        <f t="shared" si="39"/>
        <v>6154</v>
      </c>
      <c r="L100" s="5">
        <f t="shared" si="39"/>
        <v>6760</v>
      </c>
      <c r="M100" s="5">
        <f t="shared" si="39"/>
        <v>7426</v>
      </c>
      <c r="N100" s="5">
        <f t="shared" si="39"/>
        <v>8157</v>
      </c>
      <c r="O100" s="5">
        <f t="shared" si="39"/>
        <v>0</v>
      </c>
      <c r="P100" s="5">
        <f t="shared" si="39"/>
        <v>0</v>
      </c>
      <c r="Q100" s="5">
        <f t="shared" si="39"/>
        <v>0</v>
      </c>
      <c r="R100" s="5">
        <f t="shared" si="39"/>
        <v>0</v>
      </c>
      <c r="S100" s="5">
        <f t="shared" si="39"/>
        <v>0</v>
      </c>
      <c r="T100" s="5" t="str">
        <f t="shared" si="39"/>
        <v/>
      </c>
    </row>
    <row r="101" spans="1:20" outlineLevel="1" x14ac:dyDescent="0.3">
      <c r="A101" t="s">
        <v>7</v>
      </c>
      <c r="B101" s="55"/>
      <c r="E101" s="5">
        <f>E38</f>
        <v>5445</v>
      </c>
      <c r="F101" s="5">
        <f t="shared" ref="F101:T101" si="40">F38</f>
        <v>5867</v>
      </c>
      <c r="G101" s="5">
        <f t="shared" si="40"/>
        <v>5877</v>
      </c>
      <c r="H101" s="5">
        <f t="shared" si="40"/>
        <v>7737</v>
      </c>
      <c r="I101" s="5">
        <f t="shared" si="40"/>
        <v>8854</v>
      </c>
      <c r="J101" s="5">
        <f t="shared" si="40"/>
        <v>9726</v>
      </c>
      <c r="K101" s="5">
        <f t="shared" si="40"/>
        <v>10684</v>
      </c>
      <c r="L101" s="5">
        <f t="shared" si="40"/>
        <v>11736</v>
      </c>
      <c r="M101" s="5">
        <f t="shared" si="40"/>
        <v>12892</v>
      </c>
      <c r="N101" s="5">
        <f t="shared" si="40"/>
        <v>14161</v>
      </c>
      <c r="O101" s="5">
        <f t="shared" si="40"/>
        <v>0</v>
      </c>
      <c r="P101" s="5">
        <f t="shared" si="40"/>
        <v>0</v>
      </c>
      <c r="Q101" s="5">
        <f t="shared" si="40"/>
        <v>0</v>
      </c>
      <c r="R101" s="5">
        <f t="shared" si="40"/>
        <v>0</v>
      </c>
      <c r="S101" s="5">
        <f t="shared" si="40"/>
        <v>0</v>
      </c>
      <c r="T101" s="5" t="str">
        <f t="shared" si="40"/>
        <v/>
      </c>
    </row>
    <row r="102" spans="1:20" outlineLevel="1" x14ac:dyDescent="0.3">
      <c r="A102" t="s">
        <v>8</v>
      </c>
      <c r="B102" s="55"/>
      <c r="E102" s="5">
        <f>E39</f>
        <v>14723</v>
      </c>
      <c r="F102" s="5">
        <f t="shared" ref="F102:T102" si="41">F39</f>
        <v>15086</v>
      </c>
      <c r="G102" s="5">
        <f t="shared" si="41"/>
        <v>15111</v>
      </c>
      <c r="H102" s="5">
        <f t="shared" si="41"/>
        <v>19035</v>
      </c>
      <c r="I102" s="5">
        <f t="shared" si="41"/>
        <v>20659</v>
      </c>
      <c r="J102" s="5">
        <f t="shared" si="41"/>
        <v>22694</v>
      </c>
      <c r="K102" s="5">
        <f t="shared" si="41"/>
        <v>24928</v>
      </c>
      <c r="L102" s="5">
        <f t="shared" si="41"/>
        <v>27384</v>
      </c>
      <c r="M102" s="5">
        <f t="shared" si="41"/>
        <v>30081</v>
      </c>
      <c r="N102" s="5">
        <f t="shared" si="41"/>
        <v>33044</v>
      </c>
      <c r="O102" s="5">
        <f t="shared" si="41"/>
        <v>0</v>
      </c>
      <c r="P102" s="5">
        <f t="shared" si="41"/>
        <v>0</v>
      </c>
      <c r="Q102" s="5">
        <f t="shared" si="41"/>
        <v>0</v>
      </c>
      <c r="R102" s="5">
        <f t="shared" si="41"/>
        <v>0</v>
      </c>
      <c r="S102" s="5">
        <f t="shared" si="41"/>
        <v>0</v>
      </c>
      <c r="T102" s="5" t="str">
        <f t="shared" si="41"/>
        <v/>
      </c>
    </row>
    <row r="103" spans="1:20" outlineLevel="1" x14ac:dyDescent="0.3">
      <c r="E103" s="5"/>
    </row>
    <row r="104" spans="1:20" outlineLevel="1" x14ac:dyDescent="0.3"/>
    <row r="105" spans="1:20" outlineLevel="1" x14ac:dyDescent="0.3"/>
    <row r="106" spans="1:20" outlineLevel="1" x14ac:dyDescent="0.3"/>
    <row r="107" spans="1:20" outlineLevel="1" x14ac:dyDescent="0.3"/>
    <row r="108" spans="1:20" outlineLevel="1" x14ac:dyDescent="0.3"/>
    <row r="109" spans="1:20" outlineLevel="1" x14ac:dyDescent="0.3"/>
    <row r="110" spans="1:20" outlineLevel="1" x14ac:dyDescent="0.3"/>
    <row r="111" spans="1:20" outlineLevel="1" x14ac:dyDescent="0.3"/>
    <row r="112" spans="1:20" outlineLevel="1" x14ac:dyDescent="0.3"/>
    <row r="113" outlineLevel="1" x14ac:dyDescent="0.3"/>
    <row r="114" outlineLevel="1" x14ac:dyDescent="0.3"/>
    <row r="115" outlineLevel="1" x14ac:dyDescent="0.3"/>
    <row r="116" outlineLevel="1" x14ac:dyDescent="0.3"/>
    <row r="117" outlineLevel="1" x14ac:dyDescent="0.3"/>
    <row r="118" outlineLevel="1" x14ac:dyDescent="0.3"/>
    <row r="119" outlineLevel="1" x14ac:dyDescent="0.3"/>
    <row r="120" outlineLevel="1" x14ac:dyDescent="0.3"/>
  </sheetData>
  <conditionalFormatting sqref="E5:T5">
    <cfRule type="cellIs" dxfId="0" priority="1" operator="lessThan">
      <formula>2090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3" name="Drop Down 11">
              <controlPr defaultSize="0" autoLine="0" autoPict="0">
                <anchor moveWithCells="1">
                  <from>
                    <xdr:col>9</xdr:col>
                    <xdr:colOff>679450</xdr:colOff>
                    <xdr:row>2</xdr:row>
                    <xdr:rowOff>38100</xdr:rowOff>
                  </from>
                  <to>
                    <xdr:col>11</xdr:col>
                    <xdr:colOff>273050</xdr:colOff>
                    <xdr:row>3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" name="Drop Down 17">
              <controlPr defaultSize="0" autoLine="0" autoPict="0">
                <anchor moveWithCells="1">
                  <from>
                    <xdr:col>12</xdr:col>
                    <xdr:colOff>44450</xdr:colOff>
                    <xdr:row>2</xdr:row>
                    <xdr:rowOff>38100</xdr:rowOff>
                  </from>
                  <to>
                    <xdr:col>13</xdr:col>
                    <xdr:colOff>317500</xdr:colOff>
                    <xdr:row>3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30"/>
  <sheetViews>
    <sheetView workbookViewId="0"/>
  </sheetViews>
  <sheetFormatPr defaultRowHeight="14" x14ac:dyDescent="0.3"/>
  <cols>
    <col min="1" max="1" width="17.8984375" bestFit="1" customWidth="1"/>
    <col min="2" max="11" width="9.296875" customWidth="1"/>
  </cols>
  <sheetData>
    <row r="1" spans="1:11" x14ac:dyDescent="0.3">
      <c r="A1" t="s">
        <v>9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</row>
    <row r="3" spans="1:11" x14ac:dyDescent="0.3">
      <c r="A3" t="s">
        <v>0</v>
      </c>
      <c r="B3" s="1">
        <v>100500</v>
      </c>
      <c r="C3" s="1">
        <v>110148</v>
      </c>
      <c r="D3" s="1">
        <v>120832</v>
      </c>
      <c r="E3" s="1">
        <v>131707</v>
      </c>
      <c r="F3" s="1">
        <v>142244</v>
      </c>
      <c r="G3">
        <v>156253</v>
      </c>
      <c r="H3">
        <v>171642</v>
      </c>
      <c r="I3">
        <v>188546</v>
      </c>
      <c r="J3">
        <v>207115</v>
      </c>
      <c r="K3">
        <v>227513</v>
      </c>
    </row>
    <row r="4" spans="1:11" x14ac:dyDescent="0.3">
      <c r="A4" t="s">
        <v>1</v>
      </c>
      <c r="B4" s="1">
        <v>38672</v>
      </c>
      <c r="C4" s="1">
        <v>43486</v>
      </c>
      <c r="D4" s="1">
        <v>48333</v>
      </c>
      <c r="E4" s="1">
        <v>52024</v>
      </c>
      <c r="F4" s="1">
        <v>58320</v>
      </c>
      <c r="G4">
        <v>64064</v>
      </c>
      <c r="H4">
        <v>70373</v>
      </c>
      <c r="I4">
        <v>77304</v>
      </c>
      <c r="J4">
        <v>84917</v>
      </c>
      <c r="K4">
        <v>93280</v>
      </c>
    </row>
    <row r="5" spans="1:11" x14ac:dyDescent="0.3">
      <c r="A5" t="s">
        <v>2</v>
      </c>
      <c r="B5" s="1">
        <v>61828</v>
      </c>
      <c r="C5" s="1">
        <v>66662</v>
      </c>
      <c r="D5" s="1">
        <v>72499</v>
      </c>
      <c r="E5" s="1">
        <v>79683</v>
      </c>
      <c r="F5" s="1">
        <v>83924</v>
      </c>
      <c r="G5" s="1">
        <v>92189</v>
      </c>
      <c r="H5" s="1">
        <v>101269</v>
      </c>
      <c r="I5" s="1">
        <v>111242</v>
      </c>
      <c r="J5" s="1">
        <v>122198</v>
      </c>
      <c r="K5" s="1">
        <v>134233</v>
      </c>
    </row>
    <row r="6" spans="1:11" x14ac:dyDescent="0.3">
      <c r="A6" t="s">
        <v>3</v>
      </c>
      <c r="B6" s="1">
        <v>23789</v>
      </c>
      <c r="C6" s="1">
        <v>26812</v>
      </c>
      <c r="D6" s="1">
        <v>27859</v>
      </c>
      <c r="E6" s="1">
        <v>28859</v>
      </c>
      <c r="F6" s="1">
        <v>29659</v>
      </c>
      <c r="G6">
        <v>32580</v>
      </c>
      <c r="H6">
        <v>35789</v>
      </c>
      <c r="I6">
        <v>39313</v>
      </c>
      <c r="J6">
        <v>43185</v>
      </c>
      <c r="K6">
        <v>47438</v>
      </c>
    </row>
    <row r="7" spans="1:11" x14ac:dyDescent="0.3">
      <c r="A7" t="s">
        <v>4</v>
      </c>
      <c r="B7" s="1">
        <v>12871</v>
      </c>
      <c r="C7" s="1">
        <v>13897</v>
      </c>
      <c r="D7" s="1">
        <v>18652</v>
      </c>
      <c r="E7" s="1">
        <v>18952</v>
      </c>
      <c r="F7" s="1">
        <v>19652</v>
      </c>
      <c r="G7">
        <v>21587</v>
      </c>
      <c r="H7">
        <v>23714</v>
      </c>
      <c r="I7">
        <v>26049</v>
      </c>
      <c r="J7">
        <v>28614</v>
      </c>
      <c r="K7">
        <v>31433</v>
      </c>
    </row>
    <row r="8" spans="1:11" x14ac:dyDescent="0.3">
      <c r="A8" t="s">
        <v>5</v>
      </c>
      <c r="B8" s="1">
        <v>5000</v>
      </c>
      <c r="C8" s="1">
        <v>5000</v>
      </c>
      <c r="D8" s="1">
        <v>5000</v>
      </c>
      <c r="E8" s="1">
        <v>5100</v>
      </c>
      <c r="F8" s="1">
        <v>5100</v>
      </c>
      <c r="G8">
        <v>5602</v>
      </c>
      <c r="H8">
        <v>6154</v>
      </c>
      <c r="I8">
        <v>6760</v>
      </c>
      <c r="J8">
        <v>7426</v>
      </c>
      <c r="K8">
        <v>8157</v>
      </c>
    </row>
    <row r="9" spans="1:11" x14ac:dyDescent="0.3">
      <c r="A9" t="s">
        <v>6</v>
      </c>
      <c r="B9" s="1">
        <v>20168</v>
      </c>
      <c r="C9" s="1">
        <v>20953</v>
      </c>
      <c r="D9" s="1">
        <v>20988</v>
      </c>
      <c r="E9" s="1">
        <v>26772</v>
      </c>
      <c r="F9" s="1">
        <v>29513</v>
      </c>
      <c r="G9" s="1">
        <v>32420</v>
      </c>
      <c r="H9" s="1">
        <v>35612</v>
      </c>
      <c r="I9" s="1">
        <v>39120</v>
      </c>
      <c r="J9" s="1">
        <v>42973</v>
      </c>
      <c r="K9" s="1">
        <v>47205</v>
      </c>
    </row>
    <row r="10" spans="1:11" x14ac:dyDescent="0.3">
      <c r="A10" t="s">
        <v>7</v>
      </c>
      <c r="B10" s="1">
        <v>5445</v>
      </c>
      <c r="C10" s="1">
        <v>5867</v>
      </c>
      <c r="D10" s="1">
        <v>5877</v>
      </c>
      <c r="E10" s="1">
        <v>7737</v>
      </c>
      <c r="F10" s="1">
        <v>8854</v>
      </c>
      <c r="G10">
        <v>9726</v>
      </c>
      <c r="H10">
        <v>10684</v>
      </c>
      <c r="I10">
        <v>11736</v>
      </c>
      <c r="J10">
        <v>12892</v>
      </c>
      <c r="K10">
        <v>14161</v>
      </c>
    </row>
    <row r="11" spans="1:11" x14ac:dyDescent="0.3">
      <c r="A11" t="s">
        <v>8</v>
      </c>
      <c r="B11" s="1">
        <v>14723</v>
      </c>
      <c r="C11" s="1">
        <v>15086</v>
      </c>
      <c r="D11" s="1">
        <v>15111</v>
      </c>
      <c r="E11" s="1">
        <v>19035</v>
      </c>
      <c r="F11" s="1">
        <v>20659</v>
      </c>
      <c r="G11" s="1">
        <v>22694</v>
      </c>
      <c r="H11" s="1">
        <v>24928</v>
      </c>
      <c r="I11" s="1">
        <v>27384</v>
      </c>
      <c r="J11" s="1">
        <v>30081</v>
      </c>
      <c r="K11" s="1">
        <v>33044</v>
      </c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t="s">
        <v>64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>
        <f>+A16+1</f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>
        <f t="shared" ref="A18:A30" si="0">+A17+1</f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>
        <f t="shared" si="0"/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>
        <f t="shared" si="0"/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>
        <f t="shared" si="0"/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>
        <f t="shared" si="0"/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>
        <f t="shared" si="0"/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>
        <f t="shared" si="0"/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>
        <f t="shared" si="0"/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>
        <f t="shared" si="0"/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>
        <f t="shared" si="0"/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>
        <f t="shared" si="0"/>
        <v>13</v>
      </c>
    </row>
    <row r="29" spans="1:11" x14ac:dyDescent="0.3">
      <c r="A29">
        <f t="shared" si="0"/>
        <v>14</v>
      </c>
    </row>
    <row r="30" spans="1:11" x14ac:dyDescent="0.3">
      <c r="A30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Copyright</vt:lpstr>
      <vt:lpstr>Cover Page</vt:lpstr>
      <vt:lpstr>Analysis &amp; Calculations</vt:lpstr>
      <vt:lpstr>Raw Data</vt:lpstr>
      <vt:lpstr>Copyright!Print_Area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Frankline Misango</cp:lastModifiedBy>
  <dcterms:created xsi:type="dcterms:W3CDTF">2017-03-02T21:48:17Z</dcterms:created>
  <dcterms:modified xsi:type="dcterms:W3CDTF">2022-06-29T06:05:41Z</dcterms:modified>
</cp:coreProperties>
</file>