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1. Business Valuation Part II\Attachments\"/>
    </mc:Choice>
  </mc:AlternateContent>
  <xr:revisionPtr revIDLastSave="0" documentId="13_ncr:1_{94BCC4C3-0C57-40BA-AA92-15FDDEAA829D}" xr6:coauthVersionLast="46" xr6:coauthVersionMax="46" xr10:uidLastSave="{00000000-0000-0000-0000-000000000000}"/>
  <bookViews>
    <workbookView xWindow="-110" yWindow="-110" windowWidth="38620" windowHeight="21220" firstSheet="1" activeTab="1" xr2:uid="{FED1C20F-AE0D-417B-A7E2-FF11FEC31890}"/>
  </bookViews>
  <sheets>
    <sheet name="_CIQHiddenCacheSheet" sheetId="19" state="veryHidden" r:id="rId1"/>
    <sheet name="Cover Page" sheetId="5" r:id="rId2"/>
    <sheet name="Comps Table" sheetId="2" r:id="rId3"/>
    <sheet name="AMZN" sheetId="7" r:id="rId4"/>
    <sheet name="GOOG.L" sheetId="8" r:id="rId5"/>
    <sheet name="FB" sheetId="9" r:id="rId6"/>
    <sheet name="WMT" sheetId="10" r:id="rId7"/>
    <sheet name="TWTR" sheetId="11" r:id="rId8"/>
    <sheet name="EBAY" sheetId="12" r:id="rId9"/>
    <sheet name="SNAP" sheetId="13" r:id="rId10"/>
    <sheet name="EXPE" sheetId="14" r:id="rId11"/>
    <sheet name="Company Template" sheetId="4" r:id="rId12"/>
    <sheet name="List" sheetId="6" r:id="rId13"/>
  </sheets>
  <definedNames>
    <definedName name="CIQWBGuid" hidden="1">"7a028247-2ba4-4968-b42b-6e8029e84ef8"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9" i="2" l="1"/>
  <c r="AC18" i="2"/>
  <c r="AB19" i="2"/>
  <c r="AB18" i="2"/>
  <c r="T19" i="2"/>
  <c r="U19" i="2"/>
  <c r="V19" i="2"/>
  <c r="W19" i="2"/>
  <c r="X19" i="2"/>
  <c r="Y19" i="2"/>
  <c r="Z19" i="2"/>
  <c r="S19" i="2"/>
  <c r="T18" i="2"/>
  <c r="U18" i="2"/>
  <c r="V18" i="2"/>
  <c r="W18" i="2"/>
  <c r="X18" i="2"/>
  <c r="Y18" i="2"/>
  <c r="Z18" i="2"/>
  <c r="S18" i="2"/>
  <c r="D71" i="13"/>
  <c r="C41" i="13"/>
  <c r="E27" i="4"/>
  <c r="E41" i="4"/>
  <c r="F41" i="4" s="1"/>
  <c r="E42" i="4"/>
  <c r="F42" i="4"/>
  <c r="E43" i="4"/>
  <c r="F43" i="4" s="1"/>
  <c r="E44" i="4"/>
  <c r="F44" i="4"/>
  <c r="E45" i="4"/>
  <c r="F45" i="4"/>
  <c r="E46" i="4"/>
  <c r="F46" i="4" s="1"/>
  <c r="E47" i="4"/>
  <c r="F49" i="4" s="1"/>
  <c r="E64" i="4"/>
  <c r="E16" i="4" s="1"/>
  <c r="E71" i="4"/>
  <c r="E72" i="4"/>
  <c r="E73" i="4"/>
  <c r="E74" i="4"/>
  <c r="E75" i="4"/>
  <c r="C76" i="4"/>
  <c r="E79" i="4" s="1"/>
  <c r="E28" i="4" s="1"/>
  <c r="E29" i="4" s="1"/>
  <c r="E76" i="4"/>
  <c r="E18" i="4" s="1"/>
  <c r="E78" i="4"/>
  <c r="E16" i="14"/>
  <c r="C41" i="14"/>
  <c r="E64" i="14"/>
  <c r="E71" i="14"/>
  <c r="E72" i="14"/>
  <c r="E73" i="14"/>
  <c r="E74" i="14"/>
  <c r="E76" i="14" s="1"/>
  <c r="E18" i="14" s="1"/>
  <c r="E75" i="14"/>
  <c r="C76" i="14"/>
  <c r="E64" i="13"/>
  <c r="E16" i="13" s="1"/>
  <c r="E73" i="13"/>
  <c r="E74" i="13"/>
  <c r="E75" i="13"/>
  <c r="C76" i="13"/>
  <c r="E64" i="12"/>
  <c r="E16" i="12" s="1"/>
  <c r="E71" i="12"/>
  <c r="E72" i="12"/>
  <c r="E76" i="12" s="1"/>
  <c r="E18" i="12" s="1"/>
  <c r="E73" i="12"/>
  <c r="E74" i="12"/>
  <c r="E75" i="12"/>
  <c r="C76" i="12"/>
  <c r="E64" i="11"/>
  <c r="E16" i="11" s="1"/>
  <c r="E74" i="11"/>
  <c r="E75" i="11"/>
  <c r="C76" i="11"/>
  <c r="E64" i="10"/>
  <c r="E16" i="10" s="1"/>
  <c r="E71" i="10"/>
  <c r="E76" i="10" s="1"/>
  <c r="E18" i="10" s="1"/>
  <c r="E72" i="10"/>
  <c r="E73" i="10"/>
  <c r="E74" i="10"/>
  <c r="E75" i="10"/>
  <c r="C76" i="10"/>
  <c r="E64" i="9"/>
  <c r="E16" i="9" s="1"/>
  <c r="E71" i="9"/>
  <c r="E76" i="9" s="1"/>
  <c r="E18" i="9" s="1"/>
  <c r="E72" i="9"/>
  <c r="E73" i="9"/>
  <c r="E74" i="9"/>
  <c r="E75" i="9"/>
  <c r="C76" i="9"/>
  <c r="E64" i="8"/>
  <c r="E16" i="8" s="1"/>
  <c r="E71" i="8"/>
  <c r="E72" i="8"/>
  <c r="E73" i="8"/>
  <c r="E74" i="8"/>
  <c r="E75" i="8"/>
  <c r="C76" i="8"/>
  <c r="E76" i="8"/>
  <c r="E18" i="8" s="1"/>
  <c r="E64" i="7"/>
  <c r="E16" i="7" s="1"/>
  <c r="E71" i="7"/>
  <c r="E72" i="7"/>
  <c r="E73" i="7"/>
  <c r="E74" i="7"/>
  <c r="E76" i="7" s="1"/>
  <c r="E18" i="7" s="1"/>
  <c r="E75" i="7"/>
  <c r="C76" i="7"/>
  <c r="E10" i="14"/>
  <c r="H12" i="13"/>
  <c r="E23" i="14"/>
  <c r="A2" i="14"/>
  <c r="I12" i="13"/>
  <c r="E10" i="10"/>
  <c r="E11" i="14"/>
  <c r="H13" i="10"/>
  <c r="B6" i="14"/>
  <c r="H13" i="13"/>
  <c r="A2" i="10"/>
  <c r="H11" i="14"/>
  <c r="I13" i="10"/>
  <c r="E23" i="13"/>
  <c r="A2" i="13"/>
  <c r="B6" i="10"/>
  <c r="I11" i="14"/>
  <c r="E25" i="14"/>
  <c r="H14" i="10"/>
  <c r="E25" i="13"/>
  <c r="B6" i="13"/>
  <c r="E10" i="9"/>
  <c r="H12" i="14"/>
  <c r="I14" i="10"/>
  <c r="I13" i="9"/>
  <c r="E25" i="10"/>
  <c r="E26" i="13"/>
  <c r="E11" i="13"/>
  <c r="A2" i="9"/>
  <c r="I12" i="14"/>
  <c r="E26" i="14"/>
  <c r="E15" i="10"/>
  <c r="H14" i="9"/>
  <c r="E10" i="11"/>
  <c r="E34" i="13"/>
  <c r="H11" i="13"/>
  <c r="B6" i="9"/>
  <c r="H13" i="14"/>
  <c r="E11" i="11"/>
  <c r="E34" i="10"/>
  <c r="I14" i="9"/>
  <c r="E11" i="9"/>
  <c r="I13" i="13"/>
  <c r="E10" i="12"/>
  <c r="E10" i="8"/>
  <c r="I13" i="14"/>
  <c r="H12" i="12"/>
  <c r="H11" i="11"/>
  <c r="E23" i="10"/>
  <c r="E15" i="9"/>
  <c r="H14" i="8"/>
  <c r="E15" i="14"/>
  <c r="I12" i="11"/>
  <c r="I11" i="10"/>
  <c r="H13" i="11"/>
  <c r="H14" i="13"/>
  <c r="A2" i="12"/>
  <c r="A2" i="8"/>
  <c r="H14" i="14"/>
  <c r="I12" i="12"/>
  <c r="E26" i="12"/>
  <c r="I11" i="11"/>
  <c r="E25" i="11"/>
  <c r="E11" i="10"/>
  <c r="E34" i="9"/>
  <c r="I14" i="8"/>
  <c r="E10" i="7"/>
  <c r="E26" i="11"/>
  <c r="H12" i="10"/>
  <c r="I14" i="13"/>
  <c r="B6" i="12"/>
  <c r="B6" i="8"/>
  <c r="I14" i="14"/>
  <c r="H13" i="12"/>
  <c r="H12" i="11"/>
  <c r="H11" i="10"/>
  <c r="E23" i="9"/>
  <c r="E15" i="8"/>
  <c r="H14" i="7"/>
  <c r="E15" i="13"/>
  <c r="E34" i="8"/>
  <c r="I11" i="13"/>
  <c r="A2" i="11"/>
  <c r="A2" i="7"/>
  <c r="E34" i="14"/>
  <c r="H14" i="12"/>
  <c r="H11" i="9"/>
  <c r="E26" i="10"/>
  <c r="I12" i="10"/>
  <c r="H13" i="9"/>
  <c r="E26" i="9"/>
  <c r="H12" i="9"/>
  <c r="I12" i="9"/>
  <c r="E25" i="9"/>
  <c r="I11" i="9"/>
  <c r="E23" i="11"/>
  <c r="E34" i="11"/>
  <c r="E15" i="11"/>
  <c r="I14" i="11"/>
  <c r="H14" i="11"/>
  <c r="I13" i="11"/>
  <c r="B6" i="11"/>
  <c r="E25" i="12"/>
  <c r="I11" i="12"/>
  <c r="I13" i="12"/>
  <c r="H11" i="12"/>
  <c r="E11" i="12"/>
  <c r="E23" i="12"/>
  <c r="E34" i="12"/>
  <c r="E15" i="12"/>
  <c r="I14" i="12"/>
  <c r="I13" i="8"/>
  <c r="H13" i="8"/>
  <c r="E26" i="8"/>
  <c r="I12" i="8"/>
  <c r="H12" i="8"/>
  <c r="E25" i="8"/>
  <c r="I11" i="8"/>
  <c r="H11" i="8"/>
  <c r="E23" i="8"/>
  <c r="E11" i="8"/>
  <c r="I13" i="7"/>
  <c r="E15" i="7"/>
  <c r="I14" i="7"/>
  <c r="H13" i="7"/>
  <c r="E26" i="7"/>
  <c r="I12" i="7"/>
  <c r="H12" i="7"/>
  <c r="E25" i="7"/>
  <c r="I11" i="7"/>
  <c r="H11" i="7"/>
  <c r="E11" i="7"/>
  <c r="E23" i="7"/>
  <c r="E34" i="7"/>
  <c r="B6" i="7"/>
  <c r="B9" i="2" l="1"/>
  <c r="E41" i="7"/>
  <c r="E78" i="7"/>
  <c r="E79" i="7" s="1"/>
  <c r="E28" i="7" s="1"/>
  <c r="E42" i="7"/>
  <c r="F42" i="7" s="1"/>
  <c r="E43" i="7"/>
  <c r="F43" i="7" s="1"/>
  <c r="D9" i="2"/>
  <c r="E46" i="7"/>
  <c r="F46" i="7" s="1"/>
  <c r="E44" i="7"/>
  <c r="F44" i="7" s="1"/>
  <c r="E45" i="7"/>
  <c r="F45" i="7" s="1"/>
  <c r="J9" i="2"/>
  <c r="K9" i="2"/>
  <c r="E27" i="7"/>
  <c r="L9" i="2"/>
  <c r="M9" i="2"/>
  <c r="N9" i="2"/>
  <c r="Q9" i="2"/>
  <c r="O9" i="2"/>
  <c r="E78" i="8"/>
  <c r="E42" i="8"/>
  <c r="F42" i="8" s="1"/>
  <c r="E43" i="8"/>
  <c r="F43" i="8" s="1"/>
  <c r="E44" i="8"/>
  <c r="F44" i="8" s="1"/>
  <c r="D10" i="2"/>
  <c r="E41" i="8"/>
  <c r="E45" i="8"/>
  <c r="F45" i="8" s="1"/>
  <c r="E46" i="8"/>
  <c r="F46" i="8" s="1"/>
  <c r="J10" i="2"/>
  <c r="K10" i="2"/>
  <c r="E27" i="8"/>
  <c r="L10" i="2"/>
  <c r="M10" i="2"/>
  <c r="N10" i="2"/>
  <c r="O10" i="2"/>
  <c r="Q14" i="2"/>
  <c r="E46" i="12"/>
  <c r="F46" i="12" s="1"/>
  <c r="E41" i="12"/>
  <c r="E78" i="12"/>
  <c r="E79" i="12" s="1"/>
  <c r="E28" i="12" s="1"/>
  <c r="E42" i="12"/>
  <c r="F42" i="12" s="1"/>
  <c r="D14" i="2"/>
  <c r="E43" i="12"/>
  <c r="F43" i="12" s="1"/>
  <c r="E44" i="12"/>
  <c r="F44" i="12" s="1"/>
  <c r="E45" i="12"/>
  <c r="F45" i="12" s="1"/>
  <c r="J14" i="2"/>
  <c r="O14" i="2"/>
  <c r="K14" i="2"/>
  <c r="E27" i="12"/>
  <c r="B15" i="2"/>
  <c r="O15" i="2"/>
  <c r="P15" i="2"/>
  <c r="Q15" i="2"/>
  <c r="K11" i="2"/>
  <c r="E27" i="9"/>
  <c r="M11" i="2"/>
  <c r="L11" i="2"/>
  <c r="N11" i="2"/>
  <c r="M12" i="2"/>
  <c r="J11" i="2"/>
  <c r="P14" i="2"/>
  <c r="K13" i="2"/>
  <c r="P9" i="2"/>
  <c r="J12" i="2"/>
  <c r="L15" i="2"/>
  <c r="N14" i="2"/>
  <c r="Q16" i="2"/>
  <c r="B10" i="2"/>
  <c r="B14" i="2"/>
  <c r="Q13" i="2"/>
  <c r="L12" i="2"/>
  <c r="Q10" i="2"/>
  <c r="E44" i="10"/>
  <c r="F44" i="10" s="1"/>
  <c r="E45" i="10"/>
  <c r="F45" i="10" s="1"/>
  <c r="E46" i="10"/>
  <c r="F46" i="10" s="1"/>
  <c r="D12" i="2"/>
  <c r="E41" i="10"/>
  <c r="E78" i="10"/>
  <c r="E79" i="10" s="1"/>
  <c r="E28" i="10" s="1"/>
  <c r="E42" i="10"/>
  <c r="F42" i="10" s="1"/>
  <c r="E43" i="10"/>
  <c r="F43" i="10" s="1"/>
  <c r="E27" i="11"/>
  <c r="K15" i="2"/>
  <c r="M14" i="2"/>
  <c r="P16" i="2"/>
  <c r="P13" i="2"/>
  <c r="N15" i="2"/>
  <c r="K12" i="2"/>
  <c r="M15" i="2"/>
  <c r="P10" i="2"/>
  <c r="J15" i="2"/>
  <c r="L14" i="2"/>
  <c r="O16" i="2"/>
  <c r="O13" i="2"/>
  <c r="E43" i="9"/>
  <c r="F43" i="9" s="1"/>
  <c r="E44" i="9"/>
  <c r="F44" i="9" s="1"/>
  <c r="E45" i="9"/>
  <c r="F45" i="9" s="1"/>
  <c r="D11" i="2"/>
  <c r="E78" i="9"/>
  <c r="E79" i="9" s="1"/>
  <c r="E28" i="9" s="1"/>
  <c r="E42" i="9"/>
  <c r="F42" i="9" s="1"/>
  <c r="E46" i="9"/>
  <c r="F46" i="9" s="1"/>
  <c r="E41" i="9"/>
  <c r="Q11" i="2"/>
  <c r="E72" i="11"/>
  <c r="E45" i="11"/>
  <c r="F45" i="11" s="1"/>
  <c r="E73" i="11"/>
  <c r="E46" i="11"/>
  <c r="F46" i="11" s="1"/>
  <c r="E41" i="11"/>
  <c r="D15" i="2"/>
  <c r="E71" i="11"/>
  <c r="E78" i="11"/>
  <c r="E79" i="11" s="1"/>
  <c r="E28" i="11" s="1"/>
  <c r="E42" i="11"/>
  <c r="F42" i="11" s="1"/>
  <c r="E43" i="11"/>
  <c r="F43" i="11" s="1"/>
  <c r="E44" i="11"/>
  <c r="F44" i="11" s="1"/>
  <c r="N16" i="2"/>
  <c r="B11" i="2"/>
  <c r="J13" i="2"/>
  <c r="P11" i="2"/>
  <c r="M16" i="2"/>
  <c r="E41" i="13"/>
  <c r="E78" i="13"/>
  <c r="E79" i="13" s="1"/>
  <c r="E28" i="13" s="1"/>
  <c r="E42" i="13"/>
  <c r="F42" i="13" s="1"/>
  <c r="E43" i="13"/>
  <c r="F43" i="13" s="1"/>
  <c r="D13" i="2"/>
  <c r="E44" i="13"/>
  <c r="F44" i="13" s="1"/>
  <c r="E71" i="13"/>
  <c r="E72" i="13"/>
  <c r="E45" i="13"/>
  <c r="F45" i="13" s="1"/>
  <c r="E46" i="13"/>
  <c r="F46" i="13" s="1"/>
  <c r="E27" i="10"/>
  <c r="O11" i="2"/>
  <c r="Q12" i="2"/>
  <c r="L16" i="2"/>
  <c r="B13" i="2"/>
  <c r="E27" i="13"/>
  <c r="P12" i="2"/>
  <c r="E27" i="14"/>
  <c r="E29" i="14" s="1"/>
  <c r="K16" i="2"/>
  <c r="B12" i="2"/>
  <c r="O12" i="2"/>
  <c r="J16" i="2"/>
  <c r="N13" i="2"/>
  <c r="B16" i="2"/>
  <c r="N12" i="2"/>
  <c r="E41" i="14"/>
  <c r="E78" i="14"/>
  <c r="E79" i="14" s="1"/>
  <c r="E28" i="14" s="1"/>
  <c r="E42" i="14"/>
  <c r="F42" i="14" s="1"/>
  <c r="E43" i="14"/>
  <c r="F43" i="14" s="1"/>
  <c r="D16" i="2"/>
  <c r="E44" i="14"/>
  <c r="F44" i="14" s="1"/>
  <c r="E45" i="14"/>
  <c r="F45" i="14" s="1"/>
  <c r="E46" i="14"/>
  <c r="F46" i="14" s="1"/>
  <c r="M13" i="2"/>
  <c r="L13" i="2"/>
  <c r="E79" i="8"/>
  <c r="E28" i="8" s="1"/>
  <c r="I23" i="4"/>
  <c r="I24" i="4"/>
  <c r="E31" i="4"/>
  <c r="F47" i="4"/>
  <c r="F50" i="4" s="1"/>
  <c r="F51" i="4" s="1"/>
  <c r="E17" i="4" s="1"/>
  <c r="E19" i="4" s="1"/>
  <c r="E21" i="4" s="1"/>
  <c r="H21" i="4" l="1"/>
  <c r="I21" i="4"/>
  <c r="I20" i="4"/>
  <c r="H20" i="4"/>
  <c r="E32" i="4"/>
  <c r="I25" i="4"/>
  <c r="E29" i="11"/>
  <c r="E29" i="12"/>
  <c r="E47" i="7"/>
  <c r="F49" i="7" s="1"/>
  <c r="F41" i="7"/>
  <c r="F47" i="7" s="1"/>
  <c r="F50" i="7" s="1"/>
  <c r="E29" i="13"/>
  <c r="F41" i="9"/>
  <c r="F47" i="9" s="1"/>
  <c r="F50" i="9" s="1"/>
  <c r="E47" i="9"/>
  <c r="F49" i="9" s="1"/>
  <c r="F51" i="9" s="1"/>
  <c r="E17" i="9" s="1"/>
  <c r="E19" i="9" s="1"/>
  <c r="F41" i="8"/>
  <c r="F47" i="8" s="1"/>
  <c r="F50" i="8" s="1"/>
  <c r="E47" i="8"/>
  <c r="F49" i="8" s="1"/>
  <c r="F51" i="8" s="1"/>
  <c r="E17" i="8" s="1"/>
  <c r="E19" i="8" s="1"/>
  <c r="E29" i="7"/>
  <c r="E47" i="14"/>
  <c r="F49" i="14" s="1"/>
  <c r="F41" i="14"/>
  <c r="F47" i="14" s="1"/>
  <c r="F50" i="14" s="1"/>
  <c r="E76" i="11"/>
  <c r="E18" i="11" s="1"/>
  <c r="E47" i="10"/>
  <c r="F49" i="10" s="1"/>
  <c r="F41" i="10"/>
  <c r="F47" i="10" s="1"/>
  <c r="F50" i="10" s="1"/>
  <c r="E47" i="13"/>
  <c r="F49" i="13" s="1"/>
  <c r="F41" i="13"/>
  <c r="F47" i="13" s="1"/>
  <c r="F50" i="13" s="1"/>
  <c r="E29" i="9"/>
  <c r="E29" i="10"/>
  <c r="E47" i="11"/>
  <c r="F49" i="11" s="1"/>
  <c r="F51" i="11" s="1"/>
  <c r="E17" i="11" s="1"/>
  <c r="E19" i="11" s="1"/>
  <c r="F41" i="11"/>
  <c r="F47" i="11" s="1"/>
  <c r="F50" i="11" s="1"/>
  <c r="E29" i="8"/>
  <c r="E47" i="12"/>
  <c r="F49" i="12" s="1"/>
  <c r="F41" i="12"/>
  <c r="F47" i="12" s="1"/>
  <c r="F50" i="12" s="1"/>
  <c r="E76" i="13"/>
  <c r="E18" i="13" s="1"/>
  <c r="I23" i="14"/>
  <c r="AB16" i="2" s="1"/>
  <c r="I24" i="14"/>
  <c r="AC16" i="2" s="1"/>
  <c r="E31" i="14"/>
  <c r="G16" i="2" s="1"/>
  <c r="E31" i="10" l="1"/>
  <c r="G12" i="2" s="1"/>
  <c r="I23" i="10"/>
  <c r="AB12" i="2" s="1"/>
  <c r="I24" i="10"/>
  <c r="AC12" i="2" s="1"/>
  <c r="H18" i="4"/>
  <c r="I18" i="4"/>
  <c r="H19" i="4"/>
  <c r="I19" i="4"/>
  <c r="I24" i="9"/>
  <c r="AC11" i="2" s="1"/>
  <c r="E31" i="9"/>
  <c r="G11" i="2" s="1"/>
  <c r="I23" i="9"/>
  <c r="AB11" i="2" s="1"/>
  <c r="E11" i="2"/>
  <c r="F11" i="2" s="1"/>
  <c r="E21" i="9"/>
  <c r="I25" i="9" s="1"/>
  <c r="F51" i="12"/>
  <c r="E17" i="12" s="1"/>
  <c r="E19" i="12" s="1"/>
  <c r="F51" i="13"/>
  <c r="E17" i="13" s="1"/>
  <c r="E19" i="13" s="1"/>
  <c r="I23" i="13"/>
  <c r="AB13" i="2" s="1"/>
  <c r="I24" i="13"/>
  <c r="AC13" i="2" s="1"/>
  <c r="E31" i="13"/>
  <c r="G13" i="2" s="1"/>
  <c r="E15" i="2"/>
  <c r="F15" i="2" s="1"/>
  <c r="E21" i="11"/>
  <c r="I23" i="7"/>
  <c r="AB9" i="2" s="1"/>
  <c r="I24" i="7"/>
  <c r="AC9" i="2" s="1"/>
  <c r="E31" i="7"/>
  <c r="G9" i="2" s="1"/>
  <c r="E10" i="2"/>
  <c r="F10" i="2" s="1"/>
  <c r="E21" i="8"/>
  <c r="I25" i="8" s="1"/>
  <c r="I23" i="8"/>
  <c r="AB10" i="2" s="1"/>
  <c r="I24" i="8"/>
  <c r="AC10" i="2" s="1"/>
  <c r="E31" i="8"/>
  <c r="G10" i="2" s="1"/>
  <c r="F51" i="10"/>
  <c r="E17" i="10" s="1"/>
  <c r="E19" i="10" s="1"/>
  <c r="F51" i="7"/>
  <c r="E17" i="7" s="1"/>
  <c r="E19" i="7" s="1"/>
  <c r="E31" i="12"/>
  <c r="G14" i="2" s="1"/>
  <c r="I23" i="12"/>
  <c r="AB14" i="2" s="1"/>
  <c r="I24" i="12"/>
  <c r="AC14" i="2" s="1"/>
  <c r="E31" i="11"/>
  <c r="G15" i="2" s="1"/>
  <c r="I23" i="11"/>
  <c r="AB15" i="2" s="1"/>
  <c r="I24" i="11"/>
  <c r="AC15" i="2" s="1"/>
  <c r="I25" i="11"/>
  <c r="F51" i="14"/>
  <c r="E17" i="14" s="1"/>
  <c r="E19" i="14" s="1"/>
  <c r="E13" i="2" l="1"/>
  <c r="F13" i="2" s="1"/>
  <c r="E21" i="13"/>
  <c r="E14" i="2"/>
  <c r="F14" i="2" s="1"/>
  <c r="E21" i="12"/>
  <c r="H20" i="11"/>
  <c r="I20" i="11"/>
  <c r="H21" i="11"/>
  <c r="E32" i="11"/>
  <c r="I21" i="11"/>
  <c r="Y15" i="2"/>
  <c r="Z15" i="2"/>
  <c r="X15" i="2"/>
  <c r="W15" i="2"/>
  <c r="H15" i="2"/>
  <c r="E9" i="2"/>
  <c r="F9" i="2" s="1"/>
  <c r="E21" i="7"/>
  <c r="E12" i="2"/>
  <c r="F12" i="2" s="1"/>
  <c r="E21" i="10"/>
  <c r="E16" i="2"/>
  <c r="F16" i="2" s="1"/>
  <c r="E21" i="14"/>
  <c r="H20" i="8"/>
  <c r="I21" i="8"/>
  <c r="I20" i="8"/>
  <c r="H21" i="8"/>
  <c r="E32" i="8"/>
  <c r="Y10" i="2"/>
  <c r="Z10" i="2"/>
  <c r="W10" i="2"/>
  <c r="H10" i="2"/>
  <c r="X10" i="2"/>
  <c r="H20" i="9"/>
  <c r="I20" i="9"/>
  <c r="H21" i="9"/>
  <c r="E32" i="9"/>
  <c r="I21" i="9"/>
  <c r="Y11" i="2"/>
  <c r="Z11" i="2"/>
  <c r="X11" i="2"/>
  <c r="H11" i="2"/>
  <c r="W11" i="2"/>
  <c r="H21" i="12" l="1"/>
  <c r="E32" i="12"/>
  <c r="I21" i="12"/>
  <c r="H20" i="12"/>
  <c r="I20" i="12"/>
  <c r="I25" i="12"/>
  <c r="Y14" i="2"/>
  <c r="Z14" i="2"/>
  <c r="X14" i="2"/>
  <c r="W14" i="2"/>
  <c r="H14" i="2"/>
  <c r="S15" i="2"/>
  <c r="T15" i="2"/>
  <c r="U15" i="2"/>
  <c r="V15" i="2"/>
  <c r="H20" i="13"/>
  <c r="E32" i="13"/>
  <c r="I20" i="13"/>
  <c r="H21" i="13"/>
  <c r="I21" i="13"/>
  <c r="I25" i="13"/>
  <c r="I18" i="8"/>
  <c r="H18" i="8"/>
  <c r="H19" i="8"/>
  <c r="I19" i="8"/>
  <c r="E32" i="14"/>
  <c r="H20" i="14"/>
  <c r="I20" i="14"/>
  <c r="H21" i="14"/>
  <c r="I21" i="14"/>
  <c r="I25" i="14"/>
  <c r="H19" i="11"/>
  <c r="H18" i="11"/>
  <c r="I18" i="11"/>
  <c r="I19" i="11"/>
  <c r="Y12" i="2"/>
  <c r="Z12" i="2"/>
  <c r="X12" i="2"/>
  <c r="W12" i="2"/>
  <c r="H12" i="2"/>
  <c r="I18" i="9"/>
  <c r="H19" i="9"/>
  <c r="H18" i="9"/>
  <c r="I19" i="9"/>
  <c r="Y16" i="2"/>
  <c r="Z16" i="2"/>
  <c r="W16" i="2"/>
  <c r="X16" i="2"/>
  <c r="H16" i="2"/>
  <c r="H20" i="10"/>
  <c r="I20" i="10"/>
  <c r="H21" i="10"/>
  <c r="E32" i="10"/>
  <c r="I21" i="10"/>
  <c r="I25" i="10"/>
  <c r="S10" i="2"/>
  <c r="T10" i="2"/>
  <c r="U10" i="2"/>
  <c r="V10" i="2"/>
  <c r="I21" i="7"/>
  <c r="H20" i="7"/>
  <c r="H21" i="7"/>
  <c r="I20" i="7"/>
  <c r="E32" i="7"/>
  <c r="I25" i="7"/>
  <c r="S11" i="2"/>
  <c r="T11" i="2"/>
  <c r="U11" i="2"/>
  <c r="V11" i="2"/>
  <c r="Y9" i="2"/>
  <c r="Z9" i="2"/>
  <c r="X9" i="2"/>
  <c r="W9" i="2"/>
  <c r="H9" i="2"/>
  <c r="Y13" i="2"/>
  <c r="Z13" i="2"/>
  <c r="X13" i="2"/>
  <c r="H13" i="2"/>
  <c r="W13" i="2"/>
  <c r="H19" i="10" l="1"/>
  <c r="I19" i="10"/>
  <c r="H18" i="10"/>
  <c r="I18" i="10"/>
  <c r="H18" i="7"/>
  <c r="I18" i="7"/>
  <c r="H19" i="7"/>
  <c r="I19" i="7"/>
  <c r="S12" i="2"/>
  <c r="T12" i="2"/>
  <c r="U12" i="2"/>
  <c r="V12" i="2"/>
  <c r="S9" i="2"/>
  <c r="T9" i="2"/>
  <c r="U9" i="2"/>
  <c r="V9" i="2"/>
  <c r="H18" i="14"/>
  <c r="I18" i="14"/>
  <c r="H19" i="14"/>
  <c r="I19" i="14"/>
  <c r="H18" i="12"/>
  <c r="I18" i="12"/>
  <c r="H19" i="12"/>
  <c r="I19" i="12"/>
  <c r="S16" i="2"/>
  <c r="T16" i="2"/>
  <c r="U16" i="2"/>
  <c r="V16" i="2"/>
  <c r="S14" i="2"/>
  <c r="T14" i="2"/>
  <c r="U14" i="2"/>
  <c r="V14" i="2"/>
  <c r="S13" i="2"/>
  <c r="T13" i="2"/>
  <c r="U13" i="2"/>
  <c r="V13" i="2"/>
  <c r="H18" i="13"/>
  <c r="I18" i="13"/>
  <c r="H19" i="13"/>
  <c r="I19" i="13"/>
</calcChain>
</file>

<file path=xl/sharedStrings.xml><?xml version="1.0" encoding="utf-8"?>
<sst xmlns="http://schemas.openxmlformats.org/spreadsheetml/2006/main" count="872" uniqueCount="157">
  <si>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</si>
  <si>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</si>
  <si>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</si>
  <si>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</si>
  <si>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</si>
  <si>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</si>
  <si>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</si>
  <si>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</si>
  <si>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</si>
  <si>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Price</t>
  </si>
  <si>
    <t>Shares</t>
  </si>
  <si>
    <t>Net Debt</t>
  </si>
  <si>
    <t>EBITDA</t>
  </si>
  <si>
    <t>Earnings</t>
  </si>
  <si>
    <t>EV/EBITDA</t>
  </si>
  <si>
    <t>P/E</t>
  </si>
  <si>
    <t>Company Name</t>
  </si>
  <si>
    <t>Average</t>
  </si>
  <si>
    <t>Median</t>
  </si>
  <si>
    <t>[$/sh.]</t>
  </si>
  <si>
    <t>Share</t>
  </si>
  <si>
    <t>Market</t>
  </si>
  <si>
    <t>Notes:</t>
  </si>
  <si>
    <t>[$MM]</t>
  </si>
  <si>
    <t>[MM]</t>
  </si>
  <si>
    <t>Enterprise</t>
  </si>
  <si>
    <t>Value</t>
  </si>
  <si>
    <t>Current Capitalization</t>
  </si>
  <si>
    <t>Revenue</t>
  </si>
  <si>
    <t>FY+1</t>
  </si>
  <si>
    <t>FY+2</t>
  </si>
  <si>
    <t>Cash Flow</t>
  </si>
  <si>
    <t>EV/Revenue</t>
  </si>
  <si>
    <t>P/CF</t>
  </si>
  <si>
    <t>[x]</t>
  </si>
  <si>
    <t>Comparable Trading Metrics</t>
  </si>
  <si>
    <t>© Corporate Finance Institute. All rights reserved.</t>
  </si>
  <si>
    <t>2.  Market capitalization plus long term debt net of working capital as at the most recently disclosed quarter, adjusted for subsequent acquisitions and financings</t>
  </si>
  <si>
    <t>Stock Ticker</t>
  </si>
  <si>
    <t>Date</t>
  </si>
  <si>
    <t>Shares Outstanding</t>
  </si>
  <si>
    <t>Market Capitalization (Diluted)</t>
  </si>
  <si>
    <t>Convertible Debt</t>
  </si>
  <si>
    <t>Enterprise Value (Diluted)</t>
  </si>
  <si>
    <t>Consensus Research Estimates</t>
  </si>
  <si>
    <t>3.  Consensus research estimates</t>
  </si>
  <si>
    <t>Current Trading Multiples</t>
  </si>
  <si>
    <t>Financial Estimates and Current Trading Multiples</t>
  </si>
  <si>
    <t>Book Equity</t>
  </si>
  <si>
    <t>Total Debt / Equity</t>
  </si>
  <si>
    <t>Options and Dilutive Securities Schedule</t>
  </si>
  <si>
    <t>Type</t>
  </si>
  <si>
    <t>Exercise</t>
  </si>
  <si>
    <t>Number</t>
  </si>
  <si>
    <t>Proceeds</t>
  </si>
  <si>
    <t>Outstanding</t>
  </si>
  <si>
    <t>Total</t>
  </si>
  <si>
    <t>In-the-Money Options</t>
  </si>
  <si>
    <t>Shares Repurchased (TSM)</t>
  </si>
  <si>
    <t>Details</t>
  </si>
  <si>
    <t>Face</t>
  </si>
  <si>
    <t>Conversion</t>
  </si>
  <si>
    <t>Issued</t>
  </si>
  <si>
    <t>Total Converted</t>
  </si>
  <si>
    <t>Total Unconverted</t>
  </si>
  <si>
    <t>[Company Name]</t>
  </si>
  <si>
    <t>Leverage Multiples</t>
  </si>
  <si>
    <t>Debt /</t>
  </si>
  <si>
    <t>Equity</t>
  </si>
  <si>
    <t>[%]</t>
  </si>
  <si>
    <t>Table of Contents</t>
  </si>
  <si>
    <t>Comps Table</t>
  </si>
  <si>
    <t>Company Template</t>
  </si>
  <si>
    <r>
      <t>Financial Estimates</t>
    </r>
    <r>
      <rPr>
        <b/>
        <u val="singleAccounting"/>
        <vertAlign val="superscript"/>
        <sz val="11"/>
        <rFont val="Arial Narrow"/>
        <family val="2"/>
      </rPr>
      <t>3</t>
    </r>
  </si>
  <si>
    <r>
      <t>Shares</t>
    </r>
    <r>
      <rPr>
        <b/>
        <vertAlign val="superscript"/>
        <sz val="11"/>
        <rFont val="Arial Narrow"/>
        <family val="2"/>
      </rPr>
      <t>1</t>
    </r>
  </si>
  <si>
    <r>
      <t>Cap.</t>
    </r>
    <r>
      <rPr>
        <b/>
        <vertAlign val="superscript"/>
        <sz val="11"/>
        <rFont val="Arial Narrow"/>
        <family val="2"/>
      </rPr>
      <t>1</t>
    </r>
  </si>
  <si>
    <r>
      <t>Value</t>
    </r>
    <r>
      <rPr>
        <b/>
        <vertAlign val="superscript"/>
        <sz val="11"/>
        <rFont val="Arial Narrow"/>
        <family val="2"/>
      </rPr>
      <t>2</t>
    </r>
  </si>
  <si>
    <r>
      <t xml:space="preserve">Share Price </t>
    </r>
    <r>
      <rPr>
        <i/>
        <sz val="11"/>
        <color theme="1"/>
        <rFont val="Arial Narrow"/>
        <family val="2"/>
      </rPr>
      <t>($/sh.)</t>
    </r>
  </si>
  <si>
    <r>
      <t>Basic Shares Outstanding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</si>
  <si>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Equity Instruments (TSM) </t>
    </r>
    <r>
      <rPr>
        <i/>
        <sz val="11"/>
        <color theme="1"/>
        <rFont val="Arial Narrow"/>
        <family val="2"/>
      </rPr>
      <t>(MM)</t>
    </r>
  </si>
  <si>
    <r>
      <t xml:space="preserve">Dilution From Convertible Debt </t>
    </r>
    <r>
      <rPr>
        <i/>
        <sz val="11"/>
        <color theme="1"/>
        <rFont val="Arial Narrow"/>
        <family val="2"/>
      </rPr>
      <t>(MM)</t>
    </r>
  </si>
  <si>
    <t>1.  Fully diluted (treasury stock method)</t>
  </si>
  <si>
    <t>Cash and Cash Equivalents</t>
  </si>
  <si>
    <t>Total Debt / Book Capitalization</t>
  </si>
  <si>
    <t>Total Debt / Market Capitalization</t>
  </si>
  <si>
    <t>Additional Shares Issued (TSM)</t>
  </si>
  <si>
    <t>Restricted Stock Units / Restricted Stock Awards</t>
  </si>
  <si>
    <r>
      <t>Diluted Shares Outstanding (TSM)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</si>
  <si>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Unvested RSUs/RSAs </t>
    </r>
    <r>
      <rPr>
        <i/>
        <sz val="11"/>
        <color theme="1"/>
        <rFont val="Arial Narrow"/>
        <family val="2"/>
      </rPr>
      <t>(MM)</t>
    </r>
  </si>
  <si>
    <t>Unvested</t>
  </si>
  <si>
    <t xml:space="preserve"> </t>
  </si>
  <si>
    <t>AMZN</t>
  </si>
  <si>
    <t>GOOG.L</t>
  </si>
  <si>
    <t>FB</t>
  </si>
  <si>
    <t>WMT</t>
  </si>
  <si>
    <t>TWTR</t>
  </si>
  <si>
    <t>EXPE</t>
  </si>
  <si>
    <t>EBAY</t>
  </si>
  <si>
    <t>Source: Capital IQ; Company filings</t>
  </si>
  <si>
    <t>Total Debt (Balance Sheet)</t>
  </si>
  <si>
    <t>Total Debt (Adjusted)</t>
  </si>
  <si>
    <t>Total Non-Convertible Debt</t>
  </si>
  <si>
    <t>Total Convertible Debt (Balance Sheet)</t>
  </si>
  <si>
    <t>Convertible Debt Outstanding (If-Converted)</t>
  </si>
  <si>
    <t>Exercised</t>
  </si>
  <si>
    <t>2021 Notes</t>
  </si>
  <si>
    <t>2024 Notes</t>
  </si>
  <si>
    <t>2025 Notes</t>
  </si>
  <si>
    <t>SNAP</t>
  </si>
  <si>
    <t>Restricted Stock Units</t>
  </si>
  <si>
    <t>Restricted Stock and Performance Share Units</t>
  </si>
  <si>
    <t>Stock Options</t>
  </si>
  <si>
    <t>Performance Restricted Stock Units</t>
  </si>
  <si>
    <t>TSR Restricted Stock Units</t>
  </si>
  <si>
    <t>Restricted Common Stock</t>
  </si>
  <si>
    <t>NYSE:SNAP</t>
  </si>
  <si>
    <t>RSUs and RSAs</t>
  </si>
  <si>
    <t>Convertible Notes (2025)</t>
  </si>
  <si>
    <t>Convertible Notes (2026)</t>
  </si>
  <si>
    <t>Warrants</t>
  </si>
  <si>
    <t>Book Cap.</t>
  </si>
  <si>
    <t>Comparable Trading Metrics - Completed</t>
  </si>
  <si>
    <t>All Amounts Denominated in US$MM Unless Otherwise Stated</t>
  </si>
  <si>
    <t>BAABTAVMT0NBTAFI/////wFQjgAAABRDSVEuLklRX0NPTVBBTllfTkFNRQUAAAAAAAAACAAAABQoSW52YWxpZCBJZGVudGlmaWVyKZA0JXU36dgIoVLouDrp2AgnQ0lRLi5JUV9DQVNIX09QRVJfRVNULkZZMjAyMi4yMDIwLTExLTI0BQAAAAAAAAAIAAAAFChJbnZhbGlkIElkZW50aWZpZXIpkDQldTfp2AiDx+i4OunYCClDSVEuLklRX05JX1JFUE9SVEVEX0VTVC5GWTIwMjIuMjAyMC0xMS0yNAUAAAAAAAAACAAAABQoSW52YWxpZCBJZGVudGlmaWVyKZA0JXU36dgId+7ouDrp2AgkQ0lRLi5JUV9FQklUREFfRVNULkZZMjAyMi4yMDIwLTExLTI0BQAAAAAAAAAIAAAAFChJbnZhbGlkIElkZW50aWZpZXIpelsldTfp2AiDx+i4OunYCCFDSVEuLklRX0NPTlZFUlQuLjIwMjAtMTEtMjQuLi5VU0QFAAAAAAAAAAgAAAAUKEludmFsaWQgSWRlbnRpZmllcil6WyV1N+nYCIPH6Lg66dgIJUNJUS4uSVFfUkVWRU5VRV9FU1QuRlkyMDIyLjIwMjAtMTEtMjQFAAAAAAAAAAgAAAAUKEludmFsaWQgSWRlbnRpZmllcil6WyV1N+nYCI+g6Lg66dgIHkNJUS4uSVFfVE9UQUxfREVCVC4uMjAyMC0xMS0yNAUAAAAAAAAACAAAABQoSW52YWxpZCBJZGVudGlmaWVyKXpbJXU36dgIj6DouDrp2AggQ0lRLi5JUV9MQVNUU0FMRVBSSUNFLjIwMjAtMTEtMjQFAAAAAAAAAAgAAAAUKEludmFsaWQgSWRlbnRpZmllcil6WyV1N+nY</t>
  </si>
  <si>
    <t>CJp56Lg66dgIIENJUS4uSVFfVE9UQUxfRVFVSVRZLi4yMDIwLTExLTI0BQAAAAAAAAAIAAAAFChJbnZhbGlkIElkZW50aWZpZXIpkDQldTfp2Aiaeei4OunYCCVDSVEuLklRX1JFVkVOVUVfRVNULkZZMjAyMS4yMDIwLTExLTI0BQAAAAAAAAAIAAAAFChJbnZhbGlkIElkZW50aWZpZXIpelsldTfp2AiPoOi4OunYCB5DSVEuLklRX0NBU0hfRVFVSVYuLjIwMjAtMTEtMjQFAAAAAAAAAAgAAAAUKEludmFsaWQgSWRlbnRpZmllcil6WyV1N+nYCI+g6Lg66dgILUNJUS4uSVFfVE9UQUxfT1VUU1RBTkRJTkdfQlNfREFURS4uMjAyMC0xMS0yNAUAAAAAAAAACAAAABQoSW52YWxpZCBJZGVudGlmaWVyKZA0JXU36dgIg8fouDrp2AgnQ0lRLi5JUV9DQVNIX09QRVJfRVNULkZZMjAyMS4yMDIwLTExLTI0BQAAAAAAAAAIAAAAFChJbnZhbGlkIElkZW50aWZpZXIpelsldTfp2AihUui4OunYCCRDSVEuLklRX0VCSVREQV9FU1QuRlkyMDIxLjIwMjAtMTEtMjQFAAAAAAAAAAgAAAAUKEludmFsaWQgSWRlbnRpZmllcil6WyV1N+nYCI+g6Lg66dgIKUNJUS4uSVFfTklfUkVQT1JURURfRVNULkZZMjAyMS4yMDIwLTExLTI0BQAAAAAAAAAIAAAAFChJbnZhbGlkIElkZW50aWZpZXIpkDQldTfp2AiDx+i4OunYCClDSVEuTllTRTpTTkFQLklRX0xBU1RTQUxFUFJJQ0UuMjAyMC0xMS0yNAEAAADzz1oNAgAAAAU0NC4yOQDR</t>
  </si>
  <si>
    <t>D+S4OunYCI+g6Lg66dgII0NJUS5OQVNEQVFHUzpFWFBFLklRX0NPTVBBTllfVElDS0VSAQAAAMNxiwEDAAAADU5hc2RhcUdTOkVYUEUA0Q/kuDrp2AiuK+i4OunYCB5DSVEuTllTRTpXTVQuSVFfQ09NUEFOWV9USUNLRVIBAAAA38YEAAMAAAAITllTRTpXTVQA0Q/kuDrp2AihUui4OunYCB1DSVEuTllTRTpTTkFQLklRX0NPTVBBTllfTkFNRQEAAADzz1oNAwAAAAlTbmFwIEluYy4A0Q/kuDrp2Aiaeei4OunYCCFDSVEuTkFTREFRR1M6RkIuSVFfQ09NUEFOWV9USUNLRVIBAAAAF9s8AQMAAAALTmFzZGFxR1M6RkIA0Q/kuDrp2Aiaeei4OunYCCVDSVEuTkFTREFRR1M6R09PRy5MLklRX0NPTVBBTllfVElDS0VSAQAAAKhxAAADAAAAD05hc2RhcUdTOkdPT0cuTADRD+S4OunYCIPH6Lg66dgII0NJUS5OQVNEQVFHUzpFQkFZLklRX0NPTVBBTllfVElDS0VSAQAAANZsAAADAAAADU5hc2RhcUdTOkVCQVkA0Q/kuDrp2AiDx+i4OunYCB9DSVEuTllTRTpUV1RSLklRX0NPTVBBTllfVElDS0VSAQAAALO/JAIDAAAACU5ZU0U6VFdUUgDRD+S4OunYCI+g6Lg66dgII0NJUS5OQVNEQVFHUzpBTVpOLklRX0NPTVBBTllfVElDS0VSAQAAAD1JAAADAAAADU5hc2RhcUdTOkFNWk4A0Q/kuDrp2Ah37ui4OunYCCdDSVEuTllTRTpTTkFQLklRX0NBU0hfRVFVSVYuLjIwMjAtMTEtMjQBAAAA889aDQIAAAAGODI0LjA3AQgA</t>
  </si>
  <si>
    <t>AAAFAAAAATEBAAAACjIwNjUyOTczNzgDAAAAAzE2MAIAAAAEMTA5NgQAAAABMAcAAAAKMTEvMjQvMjAyMAgAAAAJOS8zMC8yMDIwCQAAAAEw0Q/kuDrp2Aiaeei4OunYCCdDSVEuTllTRTpTTkFQLklRX1RPVEFMX0RFQlQuLjIwMjAtMTEtMjQBAAAA889aDQIAAAAIMTk3OC4zNDUBCAAAAAUAAAABMQEAAAAKMjA2NTI5NzM3OAMAAAADMTYwAgAAAAQ0MTczBAAAAAEwBwAAAAoxMS8yNC8yMDIwCAAAAAk5LzMwLzIwMjAJAAAAATDRD+S4OunYCJp56Lg66dgIKkNJUS5OWVNFOlNOQVAuSVFfQ09OVkVSVC4uMjAyMC0xMS0yNC4uLlVTRAEAAADzz1oNAgAAAAgxNjUwLjI0NgEIAAAABQAAAAEyAQAAAAoyMDY1Mjk3Mzc4AwAAAAMxNjACAAAABTIxODM2BAAAAAEwBwAAAAoxMS8yNC8yMDIwCAAAAAk5LzMwLzIwMjAJAAAAATDRD+S4OunYCI+g6Lg66dgIKUNJUS5OWVNFOlNOQVAuSVFfVE9UQUxfRVFVSVRZLi4yMDIwLTExLTI0AQAAAPPPWg0CAAAACDIxOTguNzcxAQgAAAAFAAAAATEBAAAACjIwNjUyOTczNzgDAAAAAzE2MAIAAAAEMTI3NQQAAAABMAcAAAAKMTEvMjQvMjAyMAgAAAAJOS8zMC8yMDIwCQAAAAEw0Q/kuDrp2AiPoOi4OunYCDZDSVEuTllTRTpTTkFQLklRX1RPVEFMX09VVFNUQU5ESU5HX0JTX0RBVEUuLjIwMjAtMTEtMjQBAAAA889aDQIAAAAIMTQ4NC43MTYBBAAAAAUAAAABNQEAAAAKMjA2</t>
  </si>
  <si>
    <t>NTI5NzM3OAIAAAAFMjQxNTIGAAAAATDRD+S4OunYCHfu6Lg66dgILUNJUS5OWVNFOlNOQVAuSVFfRUJJVERBX0VTVC5GWTIwMjEuMjAyMC0xMS0yNAEAAADzz1oNAgAAAAk0NTIuMTEwODMBDgAAAAUAAAABMwEAAAABMAIAAAAKMTAwMzYzMTU1MwMAAAAGMTAwMTg3BAAAAAEyBgAAAAEwBwAAAAMxNjAIAAAAATAJAAAAATEKAAAAATALAAAACzEyMTYwNjQ4OTc5DAAAAAExDQAAAAoxMS8yNS8yMDIwEAAAAAoxMS8yNC8yMDIw0Q/kuDrp2AihUui4OunYCC1DSVEuTllTRTpTTkFQLklRX0VCSVREQV9FU1QuRlkyMDIyLjIwMjAtMTEtMjQBAAAA889aDQIAAAAKMTA5Ni41NTgzOAEOAAAABQAAAAEzAQAAAAEwAgAAAAoxMDAzNjMxNTU4AwAAAAYxMDAxODcEAAAAATIGAAAAATAHAAAAAzE2MAgAAAABMAkAAAABMQoAAAABMAsAAAALMTIxNjA2NDg4OTUMAAAAATENAAAACjExLzI1LzIwMjAQAAAACjExLzI0LzIwMjDRD+S4OunYCKFS6Lg66dgIMkNJUS5OWVNFOlNOQVAuSVFfTklfUkVQT1JURURfRVNULkZZMjAyMS4yMDIwLTExLTI0AQAAAPPPWg0CAAAACi01NzYuODUxODQBDgAAAAUAAAABMwEAAAABMAIAAAAKMTAwMzYzMTU1MwMAAAAGMTAwMjY0BAAAAAEyBgAAAAEwBwAAAAMxNjAIAAAAATAJAAAAATEKAAAAATALAAAACzEyMTYwNjc1Mjg5DAAAAAExDQAAAAoxMS8yNS8yMDIwEAAAAAoxMS8yNC8yMDIw</t>
  </si>
  <si>
    <t>0Q/kuDrp2Aiaeei4OunYCDBDSVEuTllTRTpTTkFQLklRX0NBU0hfT1BFUl9FU1QuRlkyMDIxLjIwMjAtMTEtMjQBAAAA889aDQIAAAAJMjgyLjQxODE4AQ4AAAAFAAAAATMBAAAAATACAAAACjEwMDM2MzE1NTMDAAAABjEwNDA3NgQAAAABMgYAAAABMAcAAAADMTYwCAAAAAEwCQAAAAExCgAAAAEwCwAAAAsxMjE1MjUzNjYxNgwAAAABMQ0AAAAKMTEvMjUvMjAyMBAAAAAKMTEvMjQvMjAyMNEP5Lg66dgIg8fouDrp2AguQ0lRLk5ZU0U6U05BUC5JUV9SRVZFTlVFX0VTVC5GWTIwMjEuMjAyMC0xMS0yNAEAAADzz1oNAgAAAAozNDUxLjM0NjQ3AQ4AAAAFAAAAATMBAAAAATACAAAACjEwMDM2MzE1NTMDAAAABjEwMDE4MAQAAAABMgYAAAABMAcAAAADMTYwCAAAAAEwCQAAAAExCgAAAAEwCwAAAAsxMjE2MDY0OTM2MgwAAAABMQ0AAAAKMTEvMjUvMjAyMBAAAAAKMTEvMjQvMjAyMNEP5Lg66dgIj6DouDrp2AgyQ0lRLk5ZU0U6U05BUC5JUV9OSV9SRVBPUlRFRF9FU1QuRlkyMDIyLjIwMjAtMTEtMjQBAAAA889aDQIAAAAJLTE3LjA1NTE2AQ4AAAAFAAAAATMBAAAAATACAAAACjEwMDM2MzE1NTgDAAAABjEwMDI2NAQAAAABMgYAAAABMAcAAAADMTYwCAAAAAEwCQAAAAExCgAAAAEwCwAAAAsxMjE2MTYwNjU1NgwAAAABMQ0AAAAKMTEvMjUvMjAyMBAAAAAKMTEvMjQvMjAyMNEP5Lg66dgIg8fouDrp2AgwQ0lR</t>
  </si>
  <si>
    <t>Lk5ZU0U6U05BUC5JUV9DQVNIX09QRVJfRVNULkZZMjAyMi4yMDIwLTExLTI0AQAAAPPPWg0CAAAACTkzMy45MzYzNgEOAAAABQAAAAEzAQAAAAEwAgAAAAoxMDAzNjMxNTU4AwAAAAYxMDQwNzYEAAAAATIGAAAAATAHAAAAAzE2MAgAAAABMAkAAAABMQoAAAABMAsAAAALMTIxNTI1MzY1OTgMAAAAATENAAAACjExLzI1LzIwMjAQAAAACjExLzI0LzIwMjDRD+S4OunYCHfu6Lg66dgILkNJUS5OWVNFOlNOQVAuSVFfUkVWRU5VRV9FU1QuRlkyMDIyLjIwMjAtMTEtMjQBAAAA889aDQIAAAAKNDYwOC44NTI1NwEOAAAABQAAAAEzAQAAAAEwAgAAAAoxMDAzNjMxNTU4AwAAAAYxMDAxODAEAAAAATIGAAAAATAHAAAAAzE2MAgAAAABMAkAAAABMQoAAAABMAsAAAALMTIxNjA2NDkzMzYMAAAAATENAAAACjExLzI1LzIwMjAQAAAACjExLzI0LzIwMjDRD+S4OunYCHfu6Lg66dgIKUNJUS5OWVNFOlRXVFIuSVFfTEFTVFNBTEVQUklDRS4yMDIwLTExLTI0AQAAALO/JAICAAAABTQ1LjIzABo46XU36dgIj6DouDrp2AgtQ0lRLk5BU0RBUUdTOkVCQVkuSVFfTEFTVFNBTEVQUklDRS4yMDIwLTExLTI0AQAAANZsAAACAAAABTUwLjUzABo46XU36dgIbBXpuDrp2AgtQ0lRLk5BU0RBUUdTOkFNWk4uSVFfTEFTVFNBTEVQUklDRS4yMDIwLTExLTI0AQAAAD1JAAACAAAABzMxMTguMDYAGjjpdTfp2AhkPOm4OunYCC9DSVEu</t>
  </si>
  <si>
    <t>TkFTREFRR1M6R09PRy5MLklRX0xBU1RTQUxFUFJJQ0UuMjAyMC0xMS0yNAEAAACocQAAAgAAAAYxNzYzLjkAGjjpdTfp2AhkPOm4OunYCC1DSVEuTkFTREFRR1M6RVhQRS5JUV9MQVNUU0FMRVBSSUNFLjIwMjAtMTEtMjQBAAAAw3GLAQIAAAAGMTI1LjA1ABo46XU36dgIoVLouDrp2AgoQ0lRLk5ZU0U6V01ULklRX0xBU1RTQUxFUFJJQ0UuMjAyMC0xMS0yNAEAAADfxgQAAgAAAAYxNTEuMzYAGjjpdTfp2Ah37ui4OunYCCtDSVEuTkFTREFRR1M6RkIuSVFfTEFTVFNBTEVQUklDRS4yMDIwLTExLTI0AQAAABfbPAECAAAABjI3Ni45MgAaOOl1N+nYCIPH6Lg66dgIIUNJUS5OQVNEQVFHUzpBTVpOLklRX0NPTVBBTllfTkFNRQEAAAA9SQAAAwAAABBBbWF6b24uY29tLCBJbmMuANEP5Lg66dgIZDzpuDrp2AgdQ0lRLk5ZU0U6VFdUUi5JUV9DT01QQU5ZX05BTUUBAAAAs78kAgMAAAANVHdpdHRlciwgSW5jLgDRD+S4OunYCGwV6bg66dgIIUNJUS5OQVNEQVFHUzpFWFBFLklRX0NPTVBBTllfTkFNRQEAAADDcYsBAwAAABNFeHBlZGlhIEdyb3VwLCBJbmMuANEP5Lg66dgIoVLouDrp2AgcQ0lRLk5ZU0U6V01ULklRX0NPTVBBTllfTkFNRQEAAADfxgQAAwAAAAxXYWxtYXJ0IEluYy4A0Q/kuDrp2Aiaeei4OunYCB9DSVEuTkFTREFRR1M6RkIuSVFfQ09NUEFOWV9OQU1FAQAAABfbPAEDAAAADkZhY2Vib29rLCBJ</t>
  </si>
  <si>
    <t>bmMuANEP5Lg66dgIj6DouDrp2AgjQ0lRLk5BU0RBUUdTOkdPT0cuTC5JUV9DT01QQU5ZX05BTUUBAAAAqHEAAAMAAAANQWxwaGFiZXQgSW5jLgDRD+S4OunYCHfu6Lg66dgIIUNJUS5OQVNEQVFHUzpFQkFZLklRX0NPTVBBTllfTkFNRQEAAADWbAAAAwAAAAllQmF5IEluYy4A0Q/kuDrp2Ah37ui4OunYCC5DSVEuTkFTREFRR1M6QU1aTi5JUV9DT05WRVJULi4yMDIwLTExLTI0Li4uVVNEAQAAAD1JAAADAAAAAAAaOOl1N+nYCGQ86bg66dgIJ0NJUS5OWVNFOlRXVFIuSVFfQ0FTSF9FUVVJVi4uMjAyMC0xMS0yNAEAAACzvyQCAgAAAAgyMjAxLjA3MwEIAAAABQAAAAExAQAAAAoyMDY3MzQ3NjQ1AwAAAAMxNjACAAAABDEwOTYEAAAAATAHAAAACjExLzI0LzIwMjAIAAAACTkvMzAvMjAyMAkAAAABMBo46XU36dgIbBXpuDrp2AgnQ0lRLk5ZU0U6VFdUUi5JUV9UT1RBTF9ERUJULi4yMDIwLTExLTI0AQAAALO/JAICAAAACDQzNDguNTU0AQgAAAAFAAAAATEBAAAACjIwNjczNDc2NDUDAAAAAzE2MAIAAAAENDE3MwQAAAABMAcAAAAKMTEvMjQvMjAyMAgAAAAJOS8zMC8yMDIwCQAAAAEwGjjpdTfp2AiDx+i4OunYCCtDSVEuTkFTREFRR1M6QU1aTi5JUV9UT1RBTF9ERUJULi4yMDIwLTExLTI0AQAAAD1JAAACAAAABTk2ODE0AQgAAAAFAAAAATEBAAAACjIwNjcyMzk3OTQDAAAAAzE2MAIAAAAENDE3MwQAAAAB</t>
  </si>
  <si>
    <t>MAcAAAAKMTEvMjQvMjAyMAgAAAAJOS8zMC8yMDIwCQAAAAEwGjjpdTfp2AhkPOm4OunYCDBDSVEuTkFTREFRR1M6R09PRy5MLklRX0NPTlZFUlQuLjIwMjAtMTEtMjQuLi5VU0QBAAAAqHEAAAMAAAAAABo46XU36dgIbBXpuDrp2AgpQ0lRLk5ZU0U6VFdUUi5JUV9UT1RBTF9FUVVJVFkuLjIwMjAtMTEtMjQBAAAAs78kAgIAAAAINzgxMi4wODgBCAAAAAUAAAABMQEAAAAKMjA2NzM0NzY0NQMAAAADMTYwAgAAAAQxMjc1BAAAAAEwBwAAAAoxMS8yNC8yMDIwCAAAAAk5LzMwLzIwMjAJAAAAATAaOOl1N+nYCGwV6bg66dgIK0NJUS5OQVNEQVFHUzpGQi5JUV9UT1RBTF9FUVVJVFkuLjIwMjAtMTEtMjQBAAAAF9s8AQIAAAAGMTE3NzMxAQgAAAAFAAAAATEBAAAACjIwNjcyMzk3MzEDAAAAAzE2MAIAAAAEMTI3NQQAAAABMAcAAAAKMTEvMjQvMjAyMAgAAAAJOS8zMC8yMDIwCQAAAAEwGjjpdTfp2Ah37ui4OunYCDZDSVEuTllTRTpUV1RSLklRX1RPVEFMX09VVFNUQU5ESU5HX0JTX0RBVEUuLjIwMjAtMTEtMjQBAAAAs78kAgIAAAAHNzkyLjQ0NwEEAAAABQAAAAE1AQAAAAoyMDY3MzQ3NjQ1AgAAAAUyNDE1MgYAAAABMBo46XU36dgIbBXpuDrp2AgrQ0lRLk5BU0RBUUdTOkVCQVkuSVFfQ0FTSF9FUVVJVi4uMjAyMC0xMS0yNAEAAADWbAAAAgAAAAM5NjMBCAAAAAUAAAABMQEAAAAKMjA2NzIzOTc4OQMAAAAD</t>
  </si>
  <si>
    <t>MTYwAgAAAAQxMDk2BAAAAAEwBwAAAAoxMS8yNC8yMDIwCAAAAAk5LzMwLzIwMjAJAAAAATAaOOl1N+nYCGwV6bg66dgIOENJUS5OQVNEQVFHUzpGQi5JUV9UT1RBTF9PVVRTVEFORElOR19CU19EQVRFLi4yMDIwLTExLTI0AQAAABfbPAECAAAABDI4NTABBAAAAAUAAAABNQEAAAAKMjA2NzIzOTczMQIAAAAFMjQxNTIGAAAAATAaOOl1N+nYCIPH6Lg66dgILUNJUS5OQVNEQVFHUzpHT09HLkwuSVFfVE9UQUxfREVCVC4uMjAyMC0xMS0yNAEAAACocQAAAgAAAAUyNzU0MgEIAAAABQAAAAExAQAAAAoyMDY3MjM5ODU3AwAAAAMxNjACAAAABDQxNzMEAAAAATAHAAAACjExLzI0LzIwMjAIAAAACTkvMzAvMjAyMAkAAAABMBo46XU36dgIbBXpuDrp2AgsQ0lRLk5BU0RBUUdTOkZCLklRX0NPTlZFUlQuLjIwMjAtMTEtMjQuLi5VU0QBAAAAF9s8AQMAAAAAABo46XU36dgIbBXpuDrp2AgtQ0lRLk5BU0RBUUdTOkVCQVkuSVFfVE9UQUxfRVFVSVRZLi4yMDIwLTExLTI0AQAAANZsAAACAAAABDI5MjABCAAAAAUAAAABMQEAAAAKMjA2NzIzOTc4OQMAAAADMTYwAgAAAAQxMjc1BAAAAAEwBwAAAAoxMS8yNC8yMDIwCAAAAAk5LzMwLzIwMjAJAAAAATAaOOl1N+nYCGwV6bg66dgIOkNJUS5OQVNEQVFHUzpFQkFZLklRX1RPVEFMX09VVFNUQU5ESU5HX0JTX0RBVEUuLjIwMjAtMTEtMjQBAAAA1mwAAAIAAAADNjg5AQQA</t>
  </si>
  <si>
    <t>AAAFAAAAATUBAAAACjIwNjcyMzk3ODkCAAAABTI0MTUyBgAAAAEwGjjpdTfp2AhsFem4OunYCCtDSVEuTkFTREFRR1M6QU1aTi5JUV9DQVNIX0VRVUlWLi4yMDIwLTExLTI0AQAAAD1JAAACAAAABTI5OTMwAQgAAAAFAAAAATEBAAAACjIwNjcyMzk3OTQDAAAAAzE2MAIAAAAEMTA5NgQAAAABMAcAAAAKMTEvMjQvMjAyMAgAAAAJOS8zMC8yMDIwCQAAAAEwGjjpdTfp2AhkPOm4OunYCC1DSVEuTkFTREFRR1M6QU1aTi5JUV9UT1RBTF9FUVVJVFkuLjIwMjAtMTEtMjQBAAAAPUkAAAIAAAAFODI3NzUBCAAAAAUAAAABMQEAAAAKMjA2NzIzOTc5NAMAAAADMTYwAgAAAAQxMjc1BAAAAAEwBwAAAAoxMS8yNC8yMDIwCAAAAAk5LzMwLzIwMjAJAAAAATAaOOl1N+nYCGQ86bg66dgIKUNJUS5OQVNEQVFHUzpGQi5JUV9UT1RBTF9ERUJULi4yMDIwLTExLTI0AQAAABfbPAECAAAABTExMTQ0AQgAAAAFAAAAATEBAAAACjIwNjcyMzk3MzEDAAAAAzE2MAIAAAAENDE3MwQAAAABMAcAAAAKMTEvMjQvMjAyMAgAAAAJOS8zMC8yMDIwCQAAAAEwGjjpdTfp2AhsFem4OunYCClDSVEuTllTRTpXTVQuSVFfQ09OVkVSVC4uMjAyMC0xMS0yNC4uLlVTRAEAAADfxgQAAwAAAAAAGjjpdTfp2Ah37ui4OunYCCtDSVEuTkFTREFRR1M6RVhQRS5JUV9DQVNIX0VRVUlWLi4yMDIwLTExLTI0AQAAAMNxiwECAAAABDQzNTMBCAAAAAUA</t>
  </si>
  <si>
    <t>AAABMQEAAAAKMjA2ODM3MzYzMAMAAAADMTYwAgAAAAQxMDk2BAAAAAEwBwAAAAoxMS8yNC8yMDIwCAAAAAk5LzMwLzIwMjAJAAAAATAaOOl1N+nYCKFS6Lg66dgIK0NJUS5OQVNEQVFHUzpFWFBFLklRX1RPVEFMX0RFQlQuLjIwMjAtMTEtMjQBAAAAw3GLAQIAAAAEOTM0OAEIAAAABQAAAAExAQAAAAoyMDY4MzczNjMwAwAAAAMxNjACAAAABDQxNzMEAAAAATAHAAAACjExLzI0LzIwMjAIAAAACTkvMzAvMjAyMAkAAAABMBo46XU36dgImnnouDrp2AguQ0lRLk5BU0RBUUdTOkVYUEUuSVFfQ09OVkVSVC4uMjAyMC0xMS0yNC4uLlVTRAEAAADDcYsBAwAAAAAAGjjpdTfp2AiPoOi4OunYCDVDSVEuTllTRTpXTVQuSVFfVE9UQUxfT1VUU1RBTkRJTkdfQlNfREFURS4uMjAyMC0xMS0yNAEAAADfxgQAAgAAAAQyODMxAQQAAAAFAAAAATUBAAAACjIwNzQxNTczMDgCAAAABTI0MTUyBgAAAAEwGjjpdTfp2AiPoOi4OunYCCtDSVEuTkFTREFRR1M6RUJBWS5JUV9UT1RBTF9ERUJULi4yMDIwLTExLTI0AQAAANZsAAACAAAABDgxMzgBCAAAAAUAAAABMQEAAAAKMjA2NzIzOTc4OQMAAAADMTYwAgAAAAQ0MTczBAAAAAEwBwAAAAoxMS8yNC8yMDIwCAAAAAk5LzMwLzIwMjAJAAAAATAaOOl1N+nYCGwV6bg66dgIKENJUS5OWVNFOldNVC5JUV9UT1RBTF9FUVVJVFkuLjIwMjAtMTEtMjQBAAAA38YEAAIAAAAFODc1MDQB</t>
  </si>
  <si>
    <t>CAAAAAUAAAABMQEAAAAKMjA3NDE1NzMwOAMAAAADMTYwAgAAAAQxMjc1BAAAAAEwBwAAAAoxMS8yNC8yMDIwCAAAAAoxMC8zMS8yMDIwCQAAAAEwGjjpdTfp2AiPoOi4OunYCCZDSVEuTllTRTpXTVQuSVFfQ0FTSF9FUVVJVi4uMjAyMC0xMS0yNAEAAADfxgQAAgAAAAUxNDMyNQEIAAAABQAAAAExAQAAAAoyMDc0MTU3MzA4AwAAAAMxNjACAAAABDEwOTYEAAAAATAHAAAACjExLzI0LzIwMjAIAAAACjEwLzMxLzIwMjAJAAAAATAaOOl1N+nYCIPH6Lg66dgIKUNJUS5OQVNEQVFHUzpGQi5JUV9DQVNIX0VRVUlWLi4yMDIwLTExLTI0AQAAABfbPAECAAAABTExNjE3AQgAAAAFAAAAATEBAAAACjIwNjcyMzk3MzEDAAAAAzE2MAIAAAAEMTA5NgQAAAABMAcAAAAKMTEvMjQvMjAyMAgAAAAJOS8zMC8yMDIwCQAAAAEwGjjpdTfp2Ah37ui4OunYCDxDSVEuTkFTREFRR1M6R09PRy5MLklRX1RPVEFMX09VVFNUQU5ESU5HX0JTX0RBVEUuLjIwMjAtMTEtMjQBAAAAqHEAAAIAAAAHNjc3LjcyNAEEAAAABQAAAAE1AQAAAAoyMDY3MjM5ODU3AgAAAAUyNDE1MgYAAAABMBo46XU36dgId+7ouDrp2Ag6Q0lRLk5BU0RBUUdTOkVYUEUuSVFfVE9UQUxfT1VUU1RBTkRJTkdfQlNfREFURS4uMjAyMC0xMS0yNAEAAADDcYsBAgAAAAoxNDEuNDI5NjQ2AQQAAAAFAAAAATUBAAAACjIwNjgzNzM2MzACAAAABTI0MTUyBgAAAAEw</t>
  </si>
  <si>
    <t>GjjpdTfp2AiDx+i4OunYCCpDSVEuTllTRTpUV1RSLklRX0NPTlZFUlQuLjIwMjAtMTEtMjQuLi5VU0QBAAAAs78kAgIAAAAIMjc2NC4yMTcBCAAAAAUAAAABMgEAAAAKMjA2NzM0NzY0NQMAAAADMTYwAgAAAAUyMTgzNgQAAAABMAcAAAAKMTEvMjQvMjAyMAgAAAAJOS8zMC8yMDIwCQAAAAEwGjjpdTfp2Ah37ui4OunYCCZDSVEuTllTRTpXTVQuSVFfVE9UQUxfREVCVC4uMjAyMC0xMS0yNAEAAADfxgQAAgAAAAU2OTIwMAEIAAAABQAAAAExAQAAAAoyMDc0MTU3MzA4AwAAAAMxNjACAAAABDQxNzMEAAAAATAHAAAACjExLzI0LzIwMjAIAAAACjEwLzMxLzIwMjAJAAAAATAaOOl1N+nYCI+g6Lg66dgIL0NJUS5OQVNEQVFHUzpHT09HLkwuSVFfVE9UQUxfRVFVSVRZLi4yMDIwLTExLTI0AQAAAKhxAAACAAAABjIxMjkyMAEIAAAABQAAAAExAQAAAAoyMDY3MjM5ODU3AwAAAAMxNjACAAAABDEyNzUEAAAAATAHAAAACjExLzI0LzIwMjAIAAAACTkvMzAvMjAyMAkAAAABMBo46XU36dgId+7ouDrp2AgtQ0lRLk5BU0RBUUdTOkVYUEUuSVFfVE9UQUxfRVFVSVRZLi4yMDIwLTExLTI0AQAAAMNxiwECAAAABDQxMzQBCAAAAAUAAAABMQEAAAAKMjA2ODM3MzYzMAMAAAADMTYwAgAAAAQxMjc1BAAAAAEwBwAAAAoxMS8yNC8yMDIwCAAAAAk5LzMwLzIwMjAJAAAAATAaOOl1N+nYCHfu6Lg66dgILUNJUS5OQVNEQVFH</t>
  </si>
  <si>
    <t>UzpHT09HLkwuSVFfQ0FTSF9FUVVJVi4uMjAyMC0xMS0yNAEAAACocQAAAgAAAAUyMDEyOQEIAAAABQAAAAExAQAAAAoyMDY3MjM5ODU3AwAAAAMxNjACAAAABDEwOTYEAAAAATAHAAAACjExLzI0LzIwMjAIAAAACTkvMzAvMjAyMAkAAAABMBo46XU36dgIZDzpuDrp2Ag6Q0lRLk5BU0RBUUdTOkFNWk4uSVFfVE9UQUxfT1VUU1RBTkRJTkdfQlNfREFURS4uMjAyMC0xMS0yNAEAAAA9SQAAAgAAAAM1MDIBBAAAAAUAAAABNQEAAAAKMjA2NzIzOTc5NAIAAAAFMjQxNTIGAAAAATAaOOl1N+nYCGQ86bg66dgILkNJUS5OQVNEQVFHUzpFQkFZLklRX0NPTlZFUlQuLjIwMjAtMTEtMjQuLi5VU0QBAAAA1mwAAAMAAAAAABo46XU36dgIg8fouDrp2Ag0Q0lRLk5BU0RBUUdTOkFNWk4uSVFfQ0FTSF9PUEVSX0VTVC5GWTIwMjEuMjAyMC0xMS0yNAEAAAA9SQAAAgAAAAs2OTgyNS4xODI3NQEOAAAABQAAAAEzAQAAAAEwAgAAAAoxMDAwNzgzOTMyAwAAAAYxMDQwNzYEAAAAATIGAAAAATAHAAAAAzE2MAgAAAABMAkAAAABMQoAAAABMAsAAAALMTIxNDgxNzI0MjgMAAAAATENAAAACjExLzI1LzIwMjAQAAAACjExLzI0LzIwMjAaOOl1N+nYCHfu6Lg66dgILUNJUS5OWVNFOlRXVFIuSVFfRUJJVERBX0VTVC5GWTIwMjEuMjAyMC0xMS0yNAEAAACzvyQCAgAAAAoxMzQxLjI2MTU4AQ4AAAAFAAAAATMBAAAAATACAAAACjEw</t>
  </si>
  <si>
    <t>MDE5Njk2MDMDAAAABjEwMDE4NwQAAAABMgYAAAABMAcAAAADMTYwCAAAAAEwCQAAAAExCgAAAAEwCwAAAAsxMjE2MTA3MzI5NwwAAAABMQ0AAAAKMTEvMjUvMjAyMBAAAAAKMTEvMjQvMjAyMBo46XU36dgId+7ouDrp2AgxQ0lRLk5BU0RBUUdTOkFNWk4uSVFfRUJJVERBX0VTVC5GWTIwMjIuMjAyMC0xMS0yNAEAAAA9SQAAAgAAAAs4NTk5MS4yMTc2NwEOAAAABQAAAAEzAQAAAAEwAgAAAAoxMDAxMzA5NTIzAwAAAAYxMDAxODcEAAAAATIGAAAAATAHAAAAAzE2MAgAAAABMAkAAAABMQoAAAABMAsAAAALMTIxNTkyOTc5MTkMAAAAATENAAAACjExLzI1LzIwMjAQAAAACjExLzI0LzIwMjAaOOl1N+nYCGQ86bg66dgILkNJUS5OWVNFOlRXVFIuSVFfUkVWRU5VRV9FU1QuRlkyMDIxLjIwMjAtMTEtMjQBAAAAs78kAgIAAAAJNDM4OS4zNzQ2AQ4AAAAFAAAAATMBAAAAATACAAAACjEwMDE5Njk2MDMDAAAABjEwMDE4MAQAAAABMgYAAAABMAcAAAADMTYwCAAAAAEwCQAAAAExCgAAAAEwCwAAAAsxMjE2MTA3MzI3OQwAAAABMQ0AAAAKMTEvMjUvMjAyMBAAAAAKMTEvMjQvMjAyMBo46XU36dgIg8fouDrp2AguQ0lRLk5ZU0U6VFdUUi5JUV9SRVZFTlVFX0VTVC5GWTIwMjIuMjAyMC0xMS0yNAEAAACzvyQCAgAAAAk1MTA0LjA1MjMBDgAAAAUAAAABMwEAAAABMAIAAAAKMTAwMTk2OTY1NQMAAAAGMTAwMTgwBAAA</t>
  </si>
  <si>
    <t>AAEyBgAAAAEwBwAAAAMxNjAIAAAAATAJAAAAATEKAAAAATALAAAACzEyMTYxMDczMjEzDAAAAAExDQAAAAoxMS8yNS8yMDIwEAAAAAoxMS8yNC8yMDIwGjjpdTfp2AiDx+i4OunYCDFDSVEuTkFTREFRR1M6QU1aTi5JUV9FQklUREFfRVNULkZZMjAyMS4yMDIwLTExLTI0AQAAAD1JAAACAAAACzY5MTY5LjQyOTY5AQ4AAAAFAAAAATMBAAAAATACAAAACjEwMDA3ODM5MzIDAAAABjEwMDE4NwQAAAABMgYAAAABMAcAAAADMTYwCAAAAAEwCQAAAAExCgAAAAEwCwAAAAsxMjE1OTI5NzkxMwwAAAABMQ0AAAAKMTEvMjUvMjAyMBAAAAAKMTEvMjQvMjAyMBo46XU36dgIZDzpuDrp2AgyQ0lRLk5BU0RBUUdTOkVCQVkuSVFfUkVWRU5VRV9FU1QuRlkyMDIxLjIwMjAtMTEtMjQBAAAA1mwAAAIAAAALMTA5MTkuMTQ1NDEBDgAAAAUAAAABMwEAAAABMAIAAAAKMTAwMTM5NzQwOAMAAAAGMTAwMTgwBAAAAAEyBgAAAAEwBwAAAAMxNjAIAAAAATAJAAAAATEKAAAAATALAAAACzEyMTYyMDQ5MDYzDAAAAAExDQAAAAoxMS8yNS8yMDIwEAAAAAoxMS8yNC8yMDIwGjjpdTfp2AhsFem4OunYCDFDSVEuTkFTREFRR1M6RUJBWS5JUV9FQklUREFfRVNULkZZMjAyMS4yMDIwLTExLTI0AQAAANZsAAACAAAACDM5NjIuMTI0AQ4AAAAFAAAAATMBAAAAATACAAAACjEwMDEzOTc0MDgDAAAABjEwMDE4NwQAAAABMgYAAAABMAcAAAAD</t>
  </si>
  <si>
    <t>MTYwCAAAAAEwCQAAAAExCgAAAAEwCwAAAAsxMjE1MjczOTA1NAwAAAABMQ0AAAAKMTEvMjUvMjAyMBAAAAAKMTEvMjQvMjAyMBo46XU36dgIg8fouDrp2AgyQ0lRLk5BU0RBUUdTOkFNWk4uSVFfUkVWRU5VRV9FU1QuRlkyMDIyLjIwMjAtMTEtMjQBAAAAPUkAAAIAAAAMNTI2NjkwLjE4NTE0AQ4AAAAFAAAAATMBAAAAATACAAAACjEwMDEzMDk1MjMDAAAABjEwMDE4MAQAAAABMgYAAAABMAcAAAADMTYwCAAAAAEwCQAAAAExCgAAAAEwCwAAAAsxMjE1OTI5NzkzNwwAAAABMQ0AAAAKMTEvMjUvMjAyMBAAAAAKMTEvMjQvMjAyMBo46XU36dgIZDzpuDrp2AgzQ0lRLk5BU0RBUUdTOkdPT0cuTC5JUV9FQklUREFfRVNULkZZMjAyMi4yMDIwLTExLTI0AQAAAKhxAAACAAAACjg4MDY2LjE5ODcBDgAAAAUAAAABMwEAAAABMAIAAAAKMTAwMTUwOTkyNQMAAAAGMTAwMTg3BAAAAAEyBgAAAAEwBwAAAAMxNjAIAAAAATAJAAAAATEKAAAAATALAAAACzEyMTM5NTM5NTIwDAAAAAExDQAAAAoxMS8yNS8yMDIwEAAAAAoxMS8yNC8yMDIwGjjpdTfp2AhsFem4OunYCDJDSVEuTkFTREFRR1M6QU1aTi5JUV9SRVZFTlVFX0VTVC5GWTIwMjEuMjAyMC0xMS0yNAEAAAA9SQAAAgAAAAw0NDkwNzMuMDc0NzgBDgAAAAUAAAABMwEAAAABMAIAAAAKMTAwMDc4MzkzMgMAAAAGMTAwMTgwBAAAAAEyBgAAAAEwBwAAAAMxNjAIAAAA</t>
  </si>
  <si>
    <t>ATAJAAAAATEKAAAAATALAAAACzEyMTU5Mjk3OTQzDAAAAAExDQAAAAoxMS8yNS8yMDIwEAAAAAoxMS8yNC8yMDIwGjjpdTfp2AhkPOm4OunYCDZDSVEuTkFTREFRR1M6QU1aTi5JUV9OSV9SRVBPUlRFRF9FU1QuRlkyMDIxLjIwMjAtMTEtMjQBAAAAPUkAAAIAAAALMjM2ODcuNjI2MTQBDgAAAAUAAAABMwEAAAABMAIAAAAKMTAwMDc4MzkzMgMAAAAGMTAwMjY0BAAAAAEyBgAAAAEwBwAAAAMxNjAIAAAAATAJAAAAATEKAAAAATALAAAACzEyMTQwOTM0MTk3DAAAAAExDQAAAAoxMS8yNS8yMDIwEAAAAAoxMS8yNC8yMDIwGjjpdTfp2AhkPOm4OunYCDNDSVEuTkFTREFRR1M6R09PRy5MLklRX0VCSVREQV9FU1QuRlkyMDIxLjIwMjAtMTEtMjQBAAAAqHEAAAIAAAALNzY0NzYuMTM4OTgBDgAAAAUAAAABMwEAAAABMAIAAAAKMTAwMTI5OTIzMQMAAAAGMTAwMTg3BAAAAAEyBgAAAAEwBwAAAAMxNjAIAAAAATAJAAAAATEKAAAAATALAAAACzEyMTM5NTQwMzk3DAAAAAExDQAAAAoxMS8yNS8yMDIwEAAAAAoxMS8yNC8yMDIwGjjpdTfp2AhsFem4OunYCDRDSVEuTkFTREFRR1M6RkIuSVFfTklfUkVQT1JURURfRVNULkZZMjAyMS4yMDIwLTExLTI0AQAAABfbPAECAAAACzMwMTAwLjE4NTU4AQ4AAAAFAAAAATMBAAAAATACAAAACjEwMDE1MzMxNDMDAAAABjEwMDI2NAQAAAABMgYAAAABMAcAAAADMTYwCAAAAAEw</t>
  </si>
  <si>
    <t>CQAAAAExCgAAAAEwCwAAAAsxMjE2MjI0MjUxMQwAAAABMQ0AAAAKMTEvMjUvMjAyMBAAAAAKMTEvMjQvMjAyMBo46XU36dgId+7ouDrp2Ag2Q0lRLk5BU0RBUUdTOkFNWk4uSVFfTklfUkVQT1JURURfRVNULkZZMjAyMi4yMDIwLTExLTI0AQAAAD1JAAACAAAACzMzNjQ1LjA2NTE4AQ4AAAAFAAAAATMBAAAAATACAAAACjEwMDEzMDk1MjMDAAAABjEwMDI2NAQAAAABMgYAAAABMAcAAAADMTYwCAAAAAEwCQAAAAExCgAAAAEwCwAAAAsxMjEzOTU0ODI1MwwAAAABMQ0AAAAKMTEvMjUvMjAyMBAAAAAKMTEvMjQvMjAyMBo46XU36dgIZDzpuDrp2Ag0Q0lRLk5BU0RBUUdTOkdPT0cuTC5JUV9SRVZFTlVFX0VTVC5GWTIwMjIuMjAyMC0xMS0yNAEAAACocQAAAgAAAAwyNDg5MjYuNzA3NzIBDgAAAAUAAAABMwEAAAABMAIAAAAKMTAwMTUwOTkyNQMAAAAGMTAwMTgwBAAAAAEyBgAAAAEwBwAAAAMxNjAIAAAAATAJAAAAATEKAAAAATALAAAACzEyMTYxMDU4ODQ3DAAAAAExDQAAAAoxMS8yNS8yMDIwEAAAAAoxMS8yNC8yMDIwGjjpdTfp2AhsFem4OunYCC9DSVEuTkFTREFRR1M6RkIuSVFfRUJJVERBX0VTVC5GWTIwMjIuMjAyMC0xMS0yNAEAAAAX2zwBAgAAAAs2NDMyMC4zMDQyOQEOAAAABQAAAAEzAQAAAAEwAgAAAAoxMDAxNTMzMjI5AwAAAAYxMDAxODcEAAAAATIGAAAAATAHAAAAAzE2MAgAAAABMAkAAAAB</t>
  </si>
  <si>
    <t>MQoAAAABMAsAAAALMTIxMzA3MzA5NjYMAAAAATENAAAACjExLzI1LzIwMjAQAAAACjExLzI0LzIwMjAaOOl1N+nYCGwV6bg66dgIMENJUS5OWVNFOlRXVFIuSVFfQ0FTSF9PUEVSX0VTVC5GWTIwMjIuMjAyMC0xMS0yNAEAAACzvyQCAgAAAAoxNTk3Ljg4MzE4AQ4AAAAFAAAAATMBAAAAATACAAAACjEwMDE5Njk2NTUDAAAABjEwNDA3NgQAAAABMgYAAAABMAcAAAADMTYwCAAAAAEwCQAAAAExCgAAAAEwCwAAAAsxMjI0OTY0ODUyMgwAAAABMQ0AAAAKMTEvMjUvMjAyMBAAAAAKMTEvMjQvMjAyMBo46XU36dgIbBXpuDrp2AgxQ0lRLk5BU0RBUUdTOkVCQVkuSVFfRUJJVERBX0VTVC5GWTIwMjIuMjAyMC0xMS0yNAEAAADWbAAAAgAAAAk0Mzk0Ljc0NDUBDgAAAAUAAAABMwEAAAABMAIAAAAKMTAwMTM5NzQxMwMAAAAGMTAwMTg3BAAAAAEyBgAAAAEwBwAAAAMxNjAIAAAAATAJAAAAATEKAAAAATALAAAACzEyMTYyMDQ2OTM5DAAAAAExDQAAAAoxMS8yNS8yMDIwEAAAAAoxMS8yNC8yMDIwGjjpdTfp2AiDx+i4OunYCC9DSVEuTkFTREFRR1M6RkIuSVFfRUJJVERBX0VTVC5GWTIwMjEuMjAyMC0xMS0yNAEAAAAX2zwBAgAAAAs1MTQzMy43NjgyMwEOAAAABQAAAAEzAQAAAAEwAgAAAAoxMDAxNTMzMTQzAwAAAAYxMDAxODcEAAAAATIGAAAAATAHAAAAAzE2MAgAAAABMAkAAAABMQoAAAABMAsAAAALMTIxNTU1</t>
  </si>
  <si>
    <t>NjkzMTIMAAAAATENAAAACjExLzI1LzIwMjAQAAAACjExLzI0LzIwMjAaOOl1N+nYCGwV6bg66dgIMENJUS5OWVNFOlRXVFIuSVFfQ0FTSF9PUEVSX0VTVC5GWTIwMjEuMjAyMC0xMS0yNAEAAACzvyQCAgAAAAoxMjY2LjAwMDc1AQ4AAAAFAAAAATMBAAAAATACAAAACjEwMDE5Njk2MDMDAAAABjEwNDA3NgQAAAABMgYAAAABMAcAAAADMTYwCAAAAAEwCQAAAAExCgAAAAEwCwAAAAsxMjI0OTY0ODgwMAwAAAABMQ0AAAAKMTEvMjUvMjAyMBAAAAAKMTEvMjQvMjAyMBo46XU36dgIbBXpuDrp2Ag0Q0lRLk5BU0RBUUdTOkdPT0cuTC5JUV9SRVZFTlVFX0VTVC5GWTIwMjEuMjAyMC0xMS0yNAEAAACocQAAAgAAAAwyMTM5NTIuMTk3NTIBDgAAAAUAAAABMwEAAAABMAIAAAAKMTAwMTI5OTIzMQMAAAAGMTAwMTgwBAAAAAEyBgAAAAEwBwAAAAMxNjAIAAAAATAJAAAAATEKAAAAATALAAAACzEyMTYxMDU0MjgyDAAAAAExDQAAAAoxMS8yNS8yMDIwEAAAAAoxMS8yNC8yMDIwGjjpdTfp2AhkPOm4OunYCDBDSVEuTkFTREFRR1M6RkIuSVFfUkVWRU5VRV9FU1QuRlkyMDIyLjIwMjAtMTEtMjQBAAAAF9s8AQIAAAAMMTI0NTYwLjMzODU4AQ4AAAAFAAAAATMBAAAAATACAAAACjEwMDE1MzMyMjkDAAAABjEwMDE4MAQAAAABMgYAAAABMAcAAAADMTYwCAAAAAEwCQAAAAExCgAAAAEwCwAAAAsxMjE2MjI0MTk0NQwAAAAB</t>
  </si>
  <si>
    <t>MQ0AAAAKMTEvMjUvMjAyMBAAAAAKMTEvMjQvMjAyMBo46XU36dgIbBXpuDrp2AgsQ0lRLk5ZU0U6V01ULklRX0VCSVREQV9FU1QuRlkyMDIyLjIwMjAtMTEtMjQBAAAA38YEAAIAAAALMzU1MzYuMzUxNzgBDgAAAAUAAAABMwEAAAABMAIAAAAKMTAwMjA4Mjc2MQMAAAAGMTAwMTg3BAAAAAEyBgAAAAEwBwAAAAMxNjAIAAAAATAJAAAAATEKAAAAATALAAAACzEyMTYyMzk2NjYwDAAAAAExDQAAAAoxMS8yNS8yMDIwEAAAAAoxMS8yNC8yMDIwGjjpdTfp2Ah37ui4OunYCDJDSVEuTllTRTpUV1RSLklRX05JX1JFUE9SVEVEX0VTVC5GWTIwMjIuMjAyMC0xMS0yNAEAAACzvyQCAgAAAAkzNTMuNTcyNzgBDgAAAAUAAAABMwEAAAABMAIAAAAKMTAwMTk2OTY1NQMAAAAGMTAwMjY0BAAAAAEyBgAAAAEwBwAAAAMxNjAIAAAAATAJAAAAATEKAAAAATALAAAACzEyMTYxMDcyOTE3DAAAAAExDQAAAAoxMS8yNS8yMDIwEAAAAAoxMS8yNC8yMDIwGjjpdTfp2AhsFem4OunYCDRDSVEuTkFTREFRR1M6RUJBWS5JUV9DQVNIX09QRVJfRVNULkZZMjAyMi4yMDIwLTExLTI0AQAAANZsAAACAAAACjM2MTQuNDE2NjcBDgAAAAUAAAABMwEAAAABMAIAAAAKMTAwMTM5NzQxMwMAAAAGMTA0MDc2BAAAAAEyBgAAAAEwBwAAAAMxNjAIAAAAATAJAAAAATEKAAAAATALAAAACzEyMTI3OTQwMDI4DAAAAAExDQAAAAoxMS8yNS8yMDIw</t>
  </si>
  <si>
    <t>EAAAAAoxMS8yNC8yMDIwGjjpdTfp2AhsFem4OunYCDFDSVEuTllTRTpXTVQuSVFfTklfUkVQT1JURURfRVNULkZZMjAyMS4yMDIwLTExLTI0AQAAAN/GBAACAAAACzE5MTgwLjY3MjQxAQ4AAAAFAAAAATMBAAAAATACAAAACjEwMDE4MTg1OTMDAAAABjEwMDI2NAQAAAABMgYAAAABMAcAAAADMTYwCAAAAAEwCQAAAAExCgAAAAEwCwAAAAsxMjE2MDAyMDkzNgwAAAABMQ0AAAAKMTEvMjUvMjAyMBAAAAAKMTEvMjQvMjAyMBo46XU36dgIoVLouDrp2AgyQ0lRLk5BU0RBUUdTOkVYUEUuSVFfUkVWRU5VRV9FU1QuRlkyMDIxLjIwMjAtMTEtMjQBAAAAw3GLAQIAAAAKNzc4Ny44ODUwMwEOAAAABQAAAAEzAQAAAAEwAgAAAAoxMDAxNTc2ODA3AwAAAAYxMDAxODAEAAAAATIGAAAAATAHAAAAAzE2MAgAAAABMAkAAAABMQoAAAABMAsAAAALMTIxNjIyODE5MDAMAAAAATENAAAACjExLzI1LzIwMjAQAAAACjExLzI0LzIwMjAaOOl1N+nYCJp56Lg66dgIMUNJUS5OWVNFOldNVC5JUV9OSV9SRVBPUlRFRF9FU1QuRlkyMDIyLjIwMjAtMTEtMjQBAAAA38YEAAIAAAALMTU4NTguODg4NDQBDgAAAAUAAAABMwEAAAABMAIAAAAKMTAwMjA4Mjc2MQMAAAAGMTAwMjY0BAAAAAEyBgAAAAEwBwAAAAMxNjAIAAAAATAJAAAAATEKAAAAATALAAAACzEyMTYwMDIwMzQyDAAAAAExDQAAAAoxMS8yNS8yMDIwEAAAAAoxMS8yNC8y</t>
  </si>
  <si>
    <t>MDIwGjjpdTfp2Aiaeei4OunYCDJDSVEuTkFTREFRR1M6RVhQRS5JUV9SRVZFTlVFX0VTVC5GWTIwMjIuMjAyMC0xMS0yNAEAAADDcYsBAgAAAAsxMDQyMC45NDQ4OQEOAAAABQAAAAEzAQAAAAEwAgAAAAoxMDAxNzMwNzA4AwAAAAYxMDAxODAEAAAAATIGAAAAATAHAAAAAzE2MAgAAAABMAkAAAABMQoAAAABMAsAAAALMTIxNTk5MDMwMzgMAAAAATENAAAACjExLzI1LzIwMjAQAAAACjExLzI0LzIwMjAaOOl1N+nYCJp56Lg66dgIL0NJUS5OWVNFOldNVC5JUV9DQVNIX09QRVJfRVNULkZZMjAyMS4yMDIwLTExLTI0AQAAAN/GBAACAAAACzI5MjM4LjMzMzMzAQ4AAAAFAAAAATMBAAAAATACAAAACjEwMDE4MTg1OTMDAAAABjEwNDA3NgQAAAABMgYAAAABMAcAAAADMTYwCAAAAAEwCQAAAAExCgAAAAEwCwAAAAsxMjE1OTQ2MjAxNAwAAAABMQ0AAAAKMTEvMjUvMjAyMBAAAAAKMTEvMjQvMjAyMBo46XU36dgImnnouDrp2Ag2Q0lRLk5BU0RBUUdTOkVYUEUuSVFfTklfUkVQT1JURURfRVNULkZZMjAyMi4yMDIwLTExLTI0AQAAAMNxiwECAAAACTU4OC4xMTA0OQEOAAAABQAAAAEzAQAAAAEwAgAAAAoxMDAxNzMwNzA4AwAAAAYxMDAyNjQEAAAAATIGAAAAATAHAAAAAzE2MAgAAAABMAkAAAABMQoAAAABMAsAAAALMTIxNDk2MjkyODAMAAAAATENAAAACjExLzI1LzIwMjAQAAAACjExLzI0LzIwMjAaOOl1N+nY</t>
  </si>
  <si>
    <t>CIPH6Lg66dgIMUNJUS5OQVNEQVFHUzpFWFBFLklRX0VCSVREQV9FU1QuRlkyMDIxLjIwMjAtMTEtMjQBAAAAw3GLAQIAAAAJMTI2OS44NDYzAQ4AAAAFAAAAATMBAAAAATACAAAACjEwMDE1NzY4MDcDAAAABjEwMDE4NwQAAAABMgYAAAABMAcAAAADMTYwCAAAAAEwCQAAAAExCgAAAAEwCwAAAAsxMjE1OTkwMDc2NQwAAAABMQ0AAAAKMTEvMjUvMjAyMBAAAAAKMTEvMjQvMjAyMBo46XU36dgImnnouDrp2AgvQ0lRLk5ZU0U6V01ULklRX0NBU0hfT1BFUl9FU1QuRlkyMDIyLjIwMjAtMTEtMjQBAAAA38YEAAIAAAAHMjgxODAuNgEOAAAABQAAAAEzAQAAAAEwAgAAAAoxMDAyMDgyNzYxAwAAAAYxMDQwNzYEAAAAATIGAAAAATAHAAAAAzE2MAgAAAABMAkAAAABMQoAAAABMAsAAAALMTIxNTk0NjM2NTEMAAAAATENAAAACjExLzI1LzIwMjAQAAAACjExLzI0LzIwMjAaOOl1N+nYCJp56Lg66dgINENJUS5OQVNEQVFHUzpGQi5JUV9OSV9SRVBPUlRFRF9FU1QuRlkyMDIyLjIwMjAtMTEtMjQBAAAAF9s8AQIAAAALMzcxOTQuOTg0MjgBDgAAAAUAAAABMwEAAAABMAIAAAAKMTAwMTUzMzIyOQMAAAAGMTAwMjY0BAAAAAEyBgAAAAEwBwAAAAMxNjAIAAAAATAJAAAAATEKAAAAATALAAAACzEyMTYyMjQxOTIwDAAAAAExDQAAAAoxMS8yNS8yMDIwEAAAAAoxMS8yNC8yMDIwGjjpdTfp2Aiaeei4OunYCDZDSVEuTkFT</t>
  </si>
  <si>
    <t>REFRR1M6R09PRy5MLklRX0NBU0hfT1BFUl9FU1QuRlkyMDIyLjIwMjAtMTEtMjQBAAAAqHEAAAIAAAAKODM0ODAuOTA5OQEOAAAABQAAAAEzAQAAAAEwAgAAAAoxMDAxNTA5OTI1AwAAAAYxMDQwNzYEAAAAATIGAAAAATAHAAAAAzE2MAgAAAABMAkAAAABMQoAAAABMAsAAAALMTIyMDc1MzYyNjgMAAAAATENAAAACjExLzI1LzIwMjAQAAAACjExLzI0LzIwMjAaOOl1N+nYCHfu6Lg66dgIMUNJUS5OQVNEQVFHUzpFWFBFLklRX0VCSVREQV9FU1QuRlkyMDIyLjIwMjAtMTEtMjQBAAAAw3GLAQIAAAAKMjI5MC4zNDQ1OAEOAAAABQAAAAEzAQAAAAEwAgAAAAoxMDAxNzMwNzA4AwAAAAYxMDAxODcEAAAAATIGAAAAATAHAAAAAzE2MAgAAAABMAkAAAABMQoAAAABMAsAAAALMTIxNTk5MDA3NzcMAAAAATENAAAACjExLzI1LzIwMjAQAAAACjExLzI0LzIwMjAaOOl1N+nYCI+g6Lg66dgIMkNJUS5OQVNEQVFHUzpGQi5JUV9DQVNIX09QRVJfRVNULkZZMjAyMS4yMDIwLTExLTI0AQAAABfbPAECAAAACzQ3OTUyLjc3ODU3AQ4AAAAFAAAAATMBAAAAATACAAAACjEwMDE1MzMxNDMDAAAABjEwNDA3NgQAAAABMgYAAAABMAcAAAADMTYwCAAAAAEwCQAAAAExCgAAAAEwCwAAAAsxMjE4MTQxMDkzMAwAAAABMQ0AAAAKMTEvMjUvMjAyMBAAAAAKMTEvMjQvMjAyMBo46XU36dgIj6DouDrp2Ag4Q0lRLk5BU0RBUUdTOkdP</t>
  </si>
  <si>
    <t>T0cuTC5JUV9OSV9SRVBPUlRFRF9FU1QuRlkyMDIxLjIwMjAtMTEtMjQBAAAAqHEAAAIAAAALNDE3MjAuNDg4NTgBDgAAAAUAAAABMwEAAAABMAIAAAAKMTAwMTI5OTIzMQMAAAAGMTAwMjY0BAAAAAEyBgAAAAEwBwAAAAMxNjAIAAAAATAJAAAAATEKAAAAATALAAAACzEyMTYxMDUzMjYyDAAAAAExDQAAAAoxMS8yNS8yMDIwEAAAAAoxMS8yNC8yMDIwGjjpdTfp2AhsFem4OunYCDZDSVEuTkFTREFRR1M6RVhQRS5JUV9OSV9SRVBPUlRFRF9FU1QuRlkyMDIxLjIwMjAtMTEtMjQBAAAAw3GLAQIAAAAKLTIwMC4xMzMwMQEOAAAABQAAAAEzAQAAAAEwAgAAAAoxMDAxNTc2ODA3AwAAAAYxMDAyNjQEAAAAATIGAAAAATAHAAAAAzE2MAgAAAABMAkAAAABMQoAAAABMAsAAAALMTIxNDk2MjkzNTIMAAAAATENAAAACjExLzI1LzIwMjAQAAAACjExLzI0LzIwMjAaOOl1N+nYCI+g6Lg66dgIMkNJUS5OQVNEQVFHUzpFQkFZLklRX1JFVkVOVUVfRVNULkZZMjAyMi4yMDIwLTExLTI0AQAAANZsAAACAAAACzExNzg3LjIxMzgxAQ4AAAAFAAAAATMBAAAAATACAAAACjEwMDEzOTc0MTMDAAAABjEwMDE4MAQAAAABMgYAAAABMAcAAAADMTYwCAAAAAEwCQAAAAExCgAAAAEwCwAAAAsxMjE2MjA0NzE4MAwAAAABMQ0AAAAKMTEvMjUvMjAyMBAAAAAKMTEvMjQvMjAyMBo46XU36dgIbBXpuDrp2AgyQ0lRLk5BU0RBUUdTOkZC</t>
  </si>
  <si>
    <t>LklRX0NBU0hfT1BFUl9FU1QuRlkyMDIyLjIwMjAtMTEtMjQBAAAAF9s8AQIAAAALNTY1NzEuNjU0NTUBDgAAAAUAAAABMwEAAAABMAIAAAAKMTAwMTUzMzIyOQMAAAAGMTA0MDc2BAAAAAEyBgAAAAEwBwAAAAMxNjAIAAAAATAJAAAAATEKAAAAATALAAAACzEyMjM5MTczOTIxDAAAAAExDQAAAAoxMS8yNS8yMDIwEAAAAAoxMS8yNC8yMDIwGjjpdTfp2AiPoOi4OunYCDhDSVEuTkFTREFRR1M6R09PRy5MLklRX05JX1JFUE9SVEVEX0VTVC5GWTIwMjIuMjAyMC0xMS0yNAEAAACocQAAAgAAAAs0ODY3Ni42NTQwNQEOAAAABQAAAAEzAQAAAAEwAgAAAAoxMDAxNTA5OTI1AwAAAAYxMDAyNjQEAAAAATIGAAAAATAHAAAAAzE2MAgAAAABMAkAAAABMQoAAAABMAsAAAALMTIxNjEwNTg3NzEMAAAAATENAAAACjExLzI1LzIwMjAQAAAACjExLzI0LzIwMjAaOOl1N+nYCGwV6bg66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AaOOl1N+nYCIPH6Lg66dgINENJUS5OQVNEQVFHUzpF</t>
  </si>
  <si>
    <t>WFBFLklRX0NBU0hfT1BFUl9FU1QuRlkyMDIyLjIwMjAtMTEtMjQBAAAAw3GLAQIAAAAKMjc5Mi4wODY2NwEOAAAABQAAAAEzAQAAAAEwAgAAAAoxMDAxNzMwNzA4AwAAAAYxMDQwNzYEAAAAATIGAAAAATAHAAAAAzE2MAgAAAABMAkAAAABMQoAAAABMAsAAAALMTIxNTk4OTk2OTYMAAAAATENAAAACjExLzI1LzIwMjAQAAAACjExLzI0LzIwMjAaOOl1N+nYCHfu6Lg66dgINkNJUS5OQVNEQVFHUzpFQkFZLklRX05JX1JFUE9SVEVEX0VTVC5GWTIwMjEuMjAyMC0xMS0yNAEAAADWbAAAAgAAAAoyMDczLjI5OTg5AQ4AAAAFAAAAATMBAAAAATACAAAACjEwMDEzOTc0MDgDAAAABjEwMDI2NAQAAAABMgYAAAABMAcAAAADMTYwCAAAAAEwCQAAAAExCgAAAAEwCwAAAAsxMjE1MjczOTAzMAwAAAABMQ0AAAAKMTEvMjUvMjAyMBAAAAAKMTEvMjQvMjAyMBo46XU36dgId+7ouDrp2AgtQ0lRLk5ZU0U6V01ULklRX1JFVkVOVUVfRVNULkZZMjAyMS4yMDIwLTExLTI0AQAAAN/GBAACAAAADDU1MTQ5OS45NDA4NwEOAAAABQAAAAEzAQAAAAEwAgAAAAoxMDAxODE4NTkzAwAAAAYxMDAxODAEAAAAATIGAAAAATAHAAAAAzE2MAgAAAABMAkAAAABMQoAAAABMAsAAAALMTIxNjIzOTY4NTMMAAAAATENAAAACjExLzI1LzIwMjAQAAAACjExLzI0LzIwMjAaOOl1N+nYCHfu6Lg66dgINkNJUS5OQVNEQVFHUzpFQkFZLklRX05J</t>
  </si>
  <si>
    <t>X1JFUE9SVEVEX0VTVC5GWTIwMjIuMjAyMC0xMS0yNAEAAADWbAAAAgAAAAoyMzA5LjY5ODE1AQ4AAAAFAAAAATMBAAAAATACAAAACjEwMDEzOTc0MTMDAAAABjEwMDI2NAQAAAABMgYAAAABMAcAAAADMTYwCAAAAAEwCQAAAAExCgAAAAEwCwAAAAsxMjE5MTk2MDkyNgwAAAABMQ0AAAAKMTEvMjUvMjAyMBAAAAAKMTEvMjQvMjAyMBo46XU36dgIbBXpuDrp2AgtQ0lRLk5ZU0U6VFdUUi5JUV9FQklUREFfRVNULkZZMjAyMi4yMDIwLTExLTI0AQAAALO/JAICAAAACjE2NTYuODE0ODMBDgAAAAUAAAABMwEAAAABMAIAAAAKMTAwMTk2OTY1NQMAAAAGMTAwMTg3BAAAAAEyBgAAAAEwBwAAAAMxNjAIAAAAATAJAAAAATEKAAAAATALAAAACzEyMTYxMDczMTAzDAAAAAExDQAAAAoxMS8yNS8yMDIwEAAAAAoxMS8yNC8yMDIwGjjpdTfp2AiDx+i4OunYCC1DSVEuTllTRTpXTVQuSVFfUkVWRU5VRV9FU1QuRlkyMDIyLjIwMjAtMTEtMjQBAAAA38YEAAIAAAAMNTU2MzYzLjM0NjI2AQ4AAAAFAAAAATMBAAAAATACAAAACjEwMDIwODI3NjEDAAAABjEwMDE4MAQAAAABMgYAAAABMAcAAAADMTYwCAAAAAEwCQAAAAExCgAAAAEwCwAAAAsxMjE2MjM5NjY0OAwAAAABMQ0AAAAKMTEvMjUvMjAyMBAAAAAKMTEvMjQvMjAyMBo46XU36dgIg8fouDrp2Ag0Q0lRLk5BU0RBUUdTOkFNWk4uSVFfQ0FTSF9PUEVSX0VTVC5GWTIw</t>
  </si>
  <si>
    <t>MjIuMjAyMC0xMS0yNAEAAAA9SQAAAgAAAAs4NzE0OS42Nzg1NwEOAAAABQAAAAEzAQAAAAEwAgAAAAoxMDAxMzA5NTIzAwAAAAYxMDQwNzYEAAAAATIGAAAAATAHAAAAAzE2MAgAAAABMAkAAAABMQoAAAABMAsAAAALMTIxNDgxNzIzNDQMAAAAATENAAAACjExLzI1LzIwMjAQAAAACjExLzI0LzIwMjAaOOl1N+nYCGQ86bg66dgINENJUS5OQVNEQVFHUzpFQkFZLklRX0NBU0hfT1BFUl9FU1QuRlkyMDIxLjIwMjAtMTEtMjQBAAAA1mwAAAIAAAAKMzM3NS4wMTExMQEOAAAABQAAAAEzAQAAAAEwAgAAAAoxMDAxMzk3NDA4AwAAAAYxMDQwNzYEAAAAATIGAAAAATAHAAAAAzE2MAgAAAABMAkAAAABMQoAAAABMAsAAAALMTIxNTQ2ODc2NjMMAAAAATENAAAACjExLzI1LzIwMjAQAAAACjExLzI0LzIwMjAaOOl1N+nYCHfu6Lg66dgIMkNJUS5OWVNFOlRXVFIuSVFfTklfUkVQT1JURURfRVNULkZZMjAyMS4yMDIwLTExLTI0AQAAALO/JAICAAAACTIxNi40NTM5NAEOAAAABQAAAAEzAQAAAAEwAgAAAAoxMDAxOTY5NjAzAwAAAAYxMDAyNjQEAAAAATIGAAAAATAHAAAAAzE2MAgAAAABMAkAAAABMQoAAAABMAsAAAALMTIxNjEwNzMyNDMMAAAAATENAAAACjExLzI1LzIwMjAQAAAACjExLzI0LzIwMjAaOOl1N+nYCIPH6Lg66dgILENJUS5OWVNFOldNVC5JUV9FQklUREFfRVNULkZZMjAyMS4yMDIwLTExLTI0AQAA</t>
  </si>
  <si>
    <t>AN/GBAACAAAACzM0OTg2LjMwOTk5AQ4AAAAFAAAAATMBAAAAATACAAAACjEwMDE4MTg1OTMDAAAABjEwMDE4NwQAAAABMgYAAAABMAcAAAADMTYwCAAAAAEwCQAAAAExCgAAAAEwCwAAAAsxMjE2MDAxOTY3NAwAAAABMQ0AAAAKMTEvMjUvMjAyMBAAAAAKMTEvMjQvMjAyMBo46XU36dgId+7ouDrp2AgwQ0lRLk5BU0RBUUdTOkZCLklRX1JFVkVOVUVfRVNULkZZMjAyMS4yMDIwLTExLTI0AQAAABfbPAECAAAADDEwMzc5NS44NTcyMwEOAAAABQAAAAEzAQAAAAEwAgAAAAoxMDAxNTMzMTQzAwAAAAYxMDAxODAEAAAAATIGAAAAATAHAAAAAzE2MAgAAAABMAkAAAABMQoAAAABMAsAAAALMTIxNjIyNDIxNjEMAAAAATENAAAACjExLzI1LzIwMjAQAAAACjExLzI0LzIwMjAaOOl1N+nYCHfu6Lg66dgINENJUS5OQVNEQVFHUzpFWFBFLklRX0NBU0hfT1BFUl9FU1QuRlkyMDIxLjIwMjAtMTEtMjQBAAAAw3GLAQIAAAAKMzAwNi41NDI4NgEOAAAABQAAAAEzAQAAAAEwAgAAAAoxMDAxNTc2ODA3AwAAAAYxMDQwNzYEAAAAATIGAAAAATAHAAAAAzE2MAgAAAABMAkAAAABMQoAAAABMAsAAAALMTIxNTk4OTk5MDkMAAAAATENAAAACjExLzI1LzIwMjAQAAAACjExLzI0LzIwMjAaOOl1N+nYCIPH6Lg66d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</si>
</sst>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;\-&quot;$&quot;#,##0"/>
    <numFmt numFmtId="7" formatCode="&quot;$&quot;#,##0.00;\-&quot;$&quot;#,##0.00"/>
    <numFmt numFmtId="43" formatCode="_-* #,##0.00_-;\-* #,##0.00_-;_-* &quot;-&quot;??_-;_-@_-"/>
    <numFmt numFmtId="164" formatCode="&quot;$&quot;#,##0.00_);\(&quot;$&quot;#,##0.00\)"/>
    <numFmt numFmtId="165" formatCode="&quot;$&quot;#,##0_);\(&quot;$&quot;#,##0\)"/>
    <numFmt numFmtId="166" formatCode="0.0\x"/>
    <numFmt numFmtId="167" formatCode="&quot;$&quot;#,##0"/>
    <numFmt numFmtId="168" formatCode="#,##0.0_ ;\-#,##0.0\ "/>
    <numFmt numFmtId="169" formatCode="#,##0.0_)_%;\(#,##0.0\)_%;#,##0.0_)_%;@_)_%"/>
    <numFmt numFmtId="170" formatCode="0.0%"/>
    <numFmt numFmtId="171" formatCode="_-* #,##0.0_-;\-* #,##0.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b/>
      <u val="singleAccounting"/>
      <vertAlign val="superscript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 val="singleAccounting"/>
      <sz val="11"/>
      <name val="Arial Narrow"/>
      <family val="2"/>
    </font>
    <font>
      <i/>
      <sz val="11"/>
      <color theme="1"/>
      <name val="Arial Narrow"/>
      <family val="2"/>
    </font>
    <font>
      <u/>
      <sz val="11"/>
      <color theme="1"/>
      <name val="Arial Narrow"/>
      <family val="2"/>
    </font>
    <font>
      <u/>
      <sz val="12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9" fontId="3" fillId="0" borderId="0"/>
    <xf numFmtId="0" fontId="3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5" fillId="2" borderId="0" xfId="2" applyFont="1" applyFill="1"/>
    <xf numFmtId="0" fontId="5" fillId="0" borderId="0" xfId="2" applyFont="1"/>
    <xf numFmtId="0" fontId="6" fillId="0" borderId="0" xfId="2" applyFont="1" applyProtection="1">
      <protection locked="0"/>
    </xf>
    <xf numFmtId="0" fontId="7" fillId="0" borderId="0" xfId="2" applyFont="1" applyAlignment="1">
      <alignment horizontal="right"/>
    </xf>
    <xf numFmtId="0" fontId="8" fillId="0" borderId="2" xfId="2" applyFont="1" applyBorder="1" applyProtection="1">
      <protection locked="0"/>
    </xf>
    <xf numFmtId="0" fontId="9" fillId="0" borderId="0" xfId="7" quotePrefix="1" applyFont="1" applyFill="1"/>
    <xf numFmtId="0" fontId="9" fillId="0" borderId="0" xfId="7" quotePrefix="1" applyFont="1"/>
    <xf numFmtId="0" fontId="10" fillId="0" borderId="0" xfId="2" applyFont="1"/>
    <xf numFmtId="0" fontId="5" fillId="0" borderId="1" xfId="2" applyFont="1" applyBorder="1"/>
    <xf numFmtId="0" fontId="11" fillId="0" borderId="0" xfId="3" applyFont="1"/>
    <xf numFmtId="0" fontId="12" fillId="3" borderId="0" xfId="2" applyFont="1" applyFill="1"/>
    <xf numFmtId="0" fontId="5" fillId="3" borderId="0" xfId="2" applyFont="1" applyFill="1"/>
    <xf numFmtId="0" fontId="5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7" fillId="0" borderId="0" xfId="2" applyFont="1"/>
    <xf numFmtId="0" fontId="17" fillId="0" borderId="0" xfId="4" applyFont="1" applyAlignment="1">
      <alignment horizontal="centerContinuous"/>
    </xf>
    <xf numFmtId="0" fontId="17" fillId="0" borderId="0" xfId="4" applyFont="1" applyBorder="1" applyAlignment="1">
      <alignment horizontal="centerContinuous"/>
    </xf>
    <xf numFmtId="0" fontId="19" fillId="0" borderId="0" xfId="2" applyFont="1" applyFill="1" applyAlignment="1">
      <alignment horizontal="center"/>
    </xf>
    <xf numFmtId="0" fontId="19" fillId="0" borderId="0" xfId="2" applyFont="1" applyFill="1" applyAlignment="1">
      <alignment horizontal="center" vertical="center"/>
    </xf>
    <xf numFmtId="0" fontId="20" fillId="0" borderId="0" xfId="2" applyFont="1" applyFill="1" applyAlignment="1">
      <alignment horizontal="center" vertical="center"/>
    </xf>
    <xf numFmtId="0" fontId="20" fillId="0" borderId="0" xfId="2" applyFont="1" applyFill="1" applyBorder="1" applyAlignment="1">
      <alignment horizontal="centerContinuous" vertical="center"/>
    </xf>
    <xf numFmtId="0" fontId="19" fillId="0" borderId="0" xfId="2" applyFont="1" applyFill="1" applyBorder="1" applyAlignment="1">
      <alignment horizontal="center"/>
    </xf>
    <xf numFmtId="0" fontId="17" fillId="0" borderId="0" xfId="4" applyFont="1" applyAlignment="1">
      <alignment horizontal="left"/>
    </xf>
    <xf numFmtId="0" fontId="20" fillId="0" borderId="0" xfId="2" applyFont="1" applyFill="1" applyBorder="1" applyAlignment="1">
      <alignment horizontal="center" vertical="center"/>
    </xf>
    <xf numFmtId="0" fontId="17" fillId="0" borderId="0" xfId="4" applyFont="1" applyAlignment="1">
      <alignment horizontal="center"/>
    </xf>
    <xf numFmtId="0" fontId="22" fillId="0" borderId="0" xfId="2" applyFont="1" applyFill="1" applyAlignment="1">
      <alignment horizontal="center"/>
    </xf>
    <xf numFmtId="0" fontId="23" fillId="0" borderId="0" xfId="2" applyFont="1" applyFill="1" applyAlignment="1">
      <alignment horizontal="center" vertical="center"/>
    </xf>
    <xf numFmtId="0" fontId="23" fillId="0" borderId="0" xfId="2" quotePrefix="1" applyFont="1" applyFill="1" applyAlignment="1">
      <alignment horizontal="center" vertical="center"/>
    </xf>
    <xf numFmtId="0" fontId="24" fillId="0" borderId="0" xfId="2" applyFont="1" applyFill="1" applyAlignment="1">
      <alignment horizontal="center" vertical="center"/>
    </xf>
    <xf numFmtId="0" fontId="22" fillId="0" borderId="0" xfId="2" applyFont="1" applyFill="1" applyAlignment="1">
      <alignment horizontal="center" vertical="center"/>
    </xf>
    <xf numFmtId="0" fontId="19" fillId="0" borderId="0" xfId="2" applyFont="1"/>
    <xf numFmtId="0" fontId="19" fillId="0" borderId="0" xfId="2" applyFont="1" applyAlignment="1">
      <alignment vertical="center"/>
    </xf>
    <xf numFmtId="164" fontId="19" fillId="0" borderId="0" xfId="2" applyNumberFormat="1" applyFont="1" applyAlignment="1">
      <alignment vertical="center"/>
    </xf>
    <xf numFmtId="37" fontId="19" fillId="0" borderId="0" xfId="2" applyNumberFormat="1" applyFont="1" applyAlignment="1">
      <alignment vertical="center"/>
    </xf>
    <xf numFmtId="165" fontId="19" fillId="0" borderId="0" xfId="2" applyNumberFormat="1" applyFont="1" applyAlignment="1">
      <alignment vertical="center"/>
    </xf>
    <xf numFmtId="166" fontId="19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5" fillId="2" borderId="0" xfId="2" applyFont="1" applyFill="1" applyAlignment="1">
      <alignment vertical="center"/>
    </xf>
    <xf numFmtId="166" fontId="5" fillId="2" borderId="0" xfId="2" applyNumberFormat="1" applyFont="1" applyFill="1" applyAlignment="1">
      <alignment vertical="center"/>
    </xf>
    <xf numFmtId="164" fontId="5" fillId="0" borderId="0" xfId="2" applyNumberFormat="1" applyFont="1"/>
    <xf numFmtId="37" fontId="25" fillId="0" borderId="0" xfId="2" applyNumberFormat="1" applyFont="1" applyAlignment="1">
      <alignment vertical="center"/>
    </xf>
    <xf numFmtId="165" fontId="5" fillId="0" borderId="0" xfId="2" applyNumberFormat="1" applyFont="1" applyAlignment="1">
      <alignment vertical="center"/>
    </xf>
    <xf numFmtId="165" fontId="25" fillId="0" borderId="0" xfId="2" applyNumberFormat="1" applyFont="1" applyAlignment="1">
      <alignment vertical="center"/>
    </xf>
    <xf numFmtId="166" fontId="5" fillId="0" borderId="0" xfId="2" applyNumberFormat="1" applyFont="1" applyAlignment="1">
      <alignment vertical="center"/>
    </xf>
    <xf numFmtId="164" fontId="19" fillId="0" borderId="0" xfId="2" applyNumberFormat="1" applyFont="1"/>
    <xf numFmtId="165" fontId="19" fillId="0" borderId="0" xfId="2" applyNumberFormat="1" applyFont="1"/>
    <xf numFmtId="37" fontId="26" fillId="3" borderId="0" xfId="0" applyNumberFormat="1" applyFont="1" applyFill="1" applyAlignment="1">
      <alignment vertical="top"/>
    </xf>
    <xf numFmtId="37" fontId="27" fillId="3" borderId="0" xfId="0" applyNumberFormat="1" applyFont="1" applyFill="1" applyAlignment="1">
      <alignment vertical="top"/>
    </xf>
    <xf numFmtId="37" fontId="28" fillId="3" borderId="0" xfId="0" applyNumberFormat="1" applyFont="1" applyFill="1" applyAlignment="1">
      <alignment vertical="top"/>
    </xf>
    <xf numFmtId="0" fontId="5" fillId="5" borderId="0" xfId="0" applyFont="1" applyFill="1"/>
    <xf numFmtId="0" fontId="29" fillId="0" borderId="0" xfId="4" applyFont="1" applyAlignment="1">
      <alignment horizontal="left"/>
    </xf>
    <xf numFmtId="0" fontId="31" fillId="0" borderId="0" xfId="0" applyFont="1"/>
    <xf numFmtId="0" fontId="5" fillId="0" borderId="2" xfId="0" applyFont="1" applyBorder="1"/>
    <xf numFmtId="0" fontId="7" fillId="0" borderId="0" xfId="0" applyFont="1" applyAlignment="1">
      <alignment horizontal="center"/>
    </xf>
    <xf numFmtId="0" fontId="5" fillId="5" borderId="2" xfId="0" applyFont="1" applyFill="1" applyBorder="1"/>
    <xf numFmtId="0" fontId="7" fillId="6" borderId="0" xfId="0" applyFont="1" applyFill="1"/>
    <xf numFmtId="0" fontId="5" fillId="6" borderId="0" xfId="0" applyFont="1" applyFill="1"/>
    <xf numFmtId="168" fontId="5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right"/>
    </xf>
    <xf numFmtId="7" fontId="5" fillId="5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8" fontId="5" fillId="5" borderId="0" xfId="0" applyNumberFormat="1" applyFont="1" applyFill="1" applyAlignment="1">
      <alignment horizontal="right"/>
    </xf>
    <xf numFmtId="168" fontId="5" fillId="0" borderId="2" xfId="0" applyNumberFormat="1" applyFont="1" applyBorder="1" applyAlignment="1">
      <alignment horizontal="right"/>
    </xf>
    <xf numFmtId="5" fontId="5" fillId="5" borderId="0" xfId="0" applyNumberFormat="1" applyFont="1" applyFill="1" applyAlignment="1">
      <alignment horizontal="right"/>
    </xf>
    <xf numFmtId="5" fontId="5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70" fontId="5" fillId="0" borderId="0" xfId="1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7" fontId="5" fillId="0" borderId="2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8" fontId="5" fillId="5" borderId="2" xfId="0" applyNumberFormat="1" applyFont="1" applyFill="1" applyBorder="1" applyAlignment="1">
      <alignment horizontal="right"/>
    </xf>
    <xf numFmtId="7" fontId="5" fillId="5" borderId="2" xfId="0" applyNumberFormat="1" applyFont="1" applyFill="1" applyBorder="1" applyAlignment="1">
      <alignment horizontal="right"/>
    </xf>
    <xf numFmtId="5" fontId="5" fillId="5" borderId="2" xfId="0" applyNumberFormat="1" applyFont="1" applyFill="1" applyBorder="1" applyAlignment="1">
      <alignment horizontal="right"/>
    </xf>
    <xf numFmtId="0" fontId="32" fillId="0" borderId="0" xfId="7" quotePrefix="1" applyFont="1" applyFill="1" applyProtection="1">
      <protection locked="0"/>
    </xf>
    <xf numFmtId="5" fontId="7" fillId="0" borderId="0" xfId="0" applyNumberFormat="1" applyFont="1" applyAlignment="1">
      <alignment horizontal="right"/>
    </xf>
    <xf numFmtId="5" fontId="5" fillId="0" borderId="0" xfId="0" applyNumberFormat="1" applyFont="1" applyAlignment="1">
      <alignment horizontal="right"/>
    </xf>
    <xf numFmtId="0" fontId="22" fillId="0" borderId="0" xfId="2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6" fontId="19" fillId="0" borderId="0" xfId="2" applyNumberFormat="1" applyFont="1" applyAlignment="1">
      <alignment horizontal="right" vertical="center"/>
    </xf>
    <xf numFmtId="170" fontId="19" fillId="0" borderId="0" xfId="1" applyNumberFormat="1" applyFont="1" applyAlignment="1">
      <alignment horizontal="right"/>
    </xf>
    <xf numFmtId="0" fontId="5" fillId="0" borderId="0" xfId="0" applyFont="1" applyFill="1"/>
    <xf numFmtId="0" fontId="7" fillId="0" borderId="0" xfId="0" applyFont="1" applyFill="1"/>
    <xf numFmtId="0" fontId="5" fillId="0" borderId="0" xfId="0" applyFont="1" applyAlignment="1">
      <alignment vertical="center"/>
    </xf>
    <xf numFmtId="0" fontId="29" fillId="0" borderId="0" xfId="4" applyFont="1" applyAlignment="1">
      <alignment horizontal="left" vertical="center"/>
    </xf>
    <xf numFmtId="0" fontId="5" fillId="0" borderId="0" xfId="0" applyFont="1" applyFill="1" applyAlignment="1">
      <alignment horizontal="right"/>
    </xf>
    <xf numFmtId="168" fontId="5" fillId="0" borderId="0" xfId="0" applyNumberFormat="1" applyFont="1" applyFill="1" applyAlignment="1">
      <alignment horizontal="right"/>
    </xf>
    <xf numFmtId="0" fontId="5" fillId="0" borderId="2" xfId="0" applyFont="1" applyBorder="1" applyAlignment="1">
      <alignment vertical="center"/>
    </xf>
    <xf numFmtId="171" fontId="5" fillId="0" borderId="0" xfId="8" applyNumberFormat="1" applyFont="1" applyAlignment="1">
      <alignment horizontal="right" vertical="center"/>
    </xf>
    <xf numFmtId="171" fontId="5" fillId="0" borderId="2" xfId="8" applyNumberFormat="1" applyFont="1" applyBorder="1" applyAlignment="1">
      <alignment horizontal="right" vertical="center"/>
    </xf>
    <xf numFmtId="0" fontId="17" fillId="0" borderId="0" xfId="4" applyFont="1" applyAlignment="1">
      <alignment horizontal="center" vertical="center"/>
    </xf>
    <xf numFmtId="171" fontId="7" fillId="0" borderId="0" xfId="8" applyNumberFormat="1" applyFont="1" applyBorder="1" applyAlignment="1">
      <alignment horizontal="right"/>
    </xf>
    <xf numFmtId="168" fontId="5" fillId="0" borderId="0" xfId="0" applyNumberFormat="1" applyFont="1" applyAlignment="1">
      <alignment horizontal="right" vertical="center"/>
    </xf>
    <xf numFmtId="5" fontId="7" fillId="5" borderId="0" xfId="0" applyNumberFormat="1" applyFont="1" applyFill="1" applyAlignment="1">
      <alignment horizontal="right"/>
    </xf>
    <xf numFmtId="0" fontId="10" fillId="2" borderId="0" xfId="2" applyFont="1" applyFill="1"/>
    <xf numFmtId="5" fontId="7" fillId="0" borderId="0" xfId="0" applyNumberFormat="1" applyFont="1" applyFill="1" applyAlignment="1">
      <alignment horizontal="right"/>
    </xf>
    <xf numFmtId="14" fontId="5" fillId="5" borderId="0" xfId="0" applyNumberFormat="1" applyFont="1" applyFill="1" applyAlignment="1">
      <alignment horizontal="right"/>
    </xf>
    <xf numFmtId="168" fontId="5" fillId="5" borderId="0" xfId="0" applyNumberFormat="1" applyFont="1" applyFill="1" applyAlignment="1">
      <alignment horizontal="right" vertical="center"/>
    </xf>
    <xf numFmtId="170" fontId="5" fillId="2" borderId="0" xfId="1" applyNumberFormat="1" applyFont="1" applyFill="1" applyAlignment="1">
      <alignment vertical="center"/>
    </xf>
  </cellXfs>
  <cellStyles count="9">
    <cellStyle name="=C:\WINNT\SYSTEM32\COMMAND.COM 2" xfId="6" xr:uid="{17513744-6964-4139-9C1D-FFBE53C9FC48}"/>
    <cellStyle name="Comma" xfId="8" builtinId="3"/>
    <cellStyle name="Hyperlink" xfId="7" builtinId="8"/>
    <cellStyle name="Hyperlink 2 2" xfId="3" xr:uid="{D41391FD-38C6-4CED-8615-B36C7A15082E}"/>
    <cellStyle name="Normal" xfId="0" builtinId="0"/>
    <cellStyle name="Normal 2 2 2" xfId="2" xr:uid="{A79F478B-C262-45F9-A6CF-4A76329AC37A}"/>
    <cellStyle name="Normal_Master Junior Database v2" xfId="4" xr:uid="{C07A771D-9E73-4959-8A12-069E112B0CDB}"/>
    <cellStyle name="Number 2" xfId="5" xr:uid="{8ED61268-C0E5-4926-817F-2630F06D617C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6428-923A-40DF-A3E0-F9A4968D6B82}">
  <dimension ref="A1:AI1"/>
  <sheetViews>
    <sheetView workbookViewId="0"/>
  </sheetViews>
  <sheetFormatPr defaultRowHeight="14.5" x14ac:dyDescent="0.35"/>
  <sheetData>
    <row r="1" spans="1:35" x14ac:dyDescent="0.35">
      <c r="A1">
        <v>35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EB06-FAFD-478F-9F54-7BF674AA42B3}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_xll.ciqfunctions.udf.CIQ($E$10, "IQ_COMPANY_NAME")</f>
        <v>Snap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tr">
        <f>_xll.ciqfunctions.udf.CIQ($E$10, "IQ_COMPANY_NAME")</f>
        <v>Snap Inc.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27</v>
      </c>
      <c r="C8" s="62"/>
      <c r="D8" s="62"/>
      <c r="E8" s="62"/>
      <c r="G8" s="62" t="s">
        <v>47</v>
      </c>
      <c r="H8" s="63"/>
      <c r="I8" s="63"/>
    </row>
    <row r="9" spans="1:9" ht="5.25" customHeight="1" x14ac:dyDescent="0.3"/>
    <row r="10" spans="1:9" ht="17" x14ac:dyDescent="0.6">
      <c r="B10" s="19" t="s">
        <v>38</v>
      </c>
      <c r="E10" s="65" t="s">
        <v>115</v>
      </c>
      <c r="G10" s="57" t="s">
        <v>44</v>
      </c>
      <c r="H10" s="31" t="s">
        <v>29</v>
      </c>
      <c r="I10" s="31" t="s">
        <v>30</v>
      </c>
    </row>
    <row r="11" spans="1:9" x14ac:dyDescent="0.3">
      <c r="B11" s="19" t="s">
        <v>77</v>
      </c>
      <c r="E11" s="66">
        <f>_xll.ciqfunctions.udf.CIQ(E10, "IQ_LASTSALEPRICE", E12)</f>
        <v>44.29</v>
      </c>
      <c r="G11" s="19" t="s">
        <v>28</v>
      </c>
      <c r="H11" s="70">
        <f>_xll.ciqfunctions.udf.CIQ($E$10, "IQ_REVENUE_EST", "FY2021", $E$12)</f>
        <v>3451.34647</v>
      </c>
      <c r="I11" s="70">
        <f>_xll.ciqfunctions.udf.CIQ($E$10, "IQ_REVENUE_EST", "FY2022", $E$12)</f>
        <v>4608.85257</v>
      </c>
    </row>
    <row r="12" spans="1:9" x14ac:dyDescent="0.3">
      <c r="B12" s="19" t="s">
        <v>39</v>
      </c>
      <c r="E12" s="106">
        <v>44159</v>
      </c>
      <c r="G12" s="19" t="s">
        <v>12</v>
      </c>
      <c r="H12" s="70">
        <f>_xll.ciqfunctions.udf.CIQ($E$10, "IQ_EBITDA_EST", "FY2021", $E$12)</f>
        <v>452.11083000000002</v>
      </c>
      <c r="I12" s="70">
        <f>_xll.ciqfunctions.udf.CIQ($E$10, "IQ_EBITDA_EST", "FY2022", $E$12)</f>
        <v>1096.5583799999999</v>
      </c>
    </row>
    <row r="13" spans="1:9" x14ac:dyDescent="0.3">
      <c r="E13" s="67"/>
      <c r="G13" s="19" t="s">
        <v>13</v>
      </c>
      <c r="H13" s="70">
        <f>_xll.ciqfunctions.udf.CIQ($E$10, "IQ_NI_REPORTED_EST", "FY2021", $E$12)</f>
        <v>-576.85184000000004</v>
      </c>
      <c r="I13" s="70">
        <f>_xll.ciqfunctions.udf.CIQ($E$10, "IQ_NI_REPORTED_EST", "FY2022", $E$12)</f>
        <v>-17.055160000000001</v>
      </c>
    </row>
    <row r="14" spans="1:9" x14ac:dyDescent="0.3">
      <c r="B14" s="58" t="s">
        <v>40</v>
      </c>
      <c r="E14" s="67"/>
      <c r="G14" s="19" t="s">
        <v>31</v>
      </c>
      <c r="H14" s="70">
        <f>_xll.ciqfunctions.udf.CIQ($E$10, "IQ_CASH_OPER_EST", "FY2021", $E$12)</f>
        <v>282.41818000000001</v>
      </c>
      <c r="I14" s="70">
        <f>_xll.ciqfunctions.udf.CIQ($E$10, "IQ_CASH_OPER_EST", "FY2022", $E$12)</f>
        <v>933.93636000000004</v>
      </c>
    </row>
    <row r="15" spans="1:9" x14ac:dyDescent="0.3">
      <c r="B15" s="19" t="s">
        <v>78</v>
      </c>
      <c r="E15" s="107">
        <f>_xll.ciqfunctions.udf.CIQ(E10, "IQ_TOTAL_OUTSTANDING_BS_DATE", , E12)</f>
        <v>1484.7159999999999</v>
      </c>
      <c r="H15" s="67"/>
      <c r="I15" s="67"/>
    </row>
    <row r="16" spans="1:9" ht="16.5" customHeight="1" x14ac:dyDescent="0.3">
      <c r="B16" s="93" t="s">
        <v>88</v>
      </c>
      <c r="C16" s="93"/>
      <c r="D16" s="93"/>
      <c r="E16" s="98">
        <f>+E64</f>
        <v>142.46600000000001</v>
      </c>
      <c r="H16" s="67"/>
      <c r="I16" s="67"/>
    </row>
    <row r="17" spans="2:9" ht="16.5" customHeight="1" x14ac:dyDescent="0.3">
      <c r="B17" s="93" t="s">
        <v>79</v>
      </c>
      <c r="C17" s="93"/>
      <c r="D17" s="93"/>
      <c r="E17" s="98">
        <f>+F51</f>
        <v>5.1462569428764962</v>
      </c>
      <c r="G17" s="94" t="s">
        <v>46</v>
      </c>
      <c r="H17" s="100" t="s">
        <v>29</v>
      </c>
      <c r="I17" s="100" t="s">
        <v>30</v>
      </c>
    </row>
    <row r="18" spans="2:9" ht="16.5" customHeight="1" x14ac:dyDescent="0.3">
      <c r="B18" s="97" t="s">
        <v>80</v>
      </c>
      <c r="C18" s="97"/>
      <c r="D18" s="97"/>
      <c r="E18" s="99">
        <f>+E76</f>
        <v>90.939256440080669</v>
      </c>
      <c r="G18" s="19" t="s">
        <v>28</v>
      </c>
      <c r="H18" s="73">
        <f>IFERROR($E$32/H11,"-")</f>
        <v>21.970424536291532</v>
      </c>
      <c r="I18" s="73">
        <f>IFERROR($E$32/I11,"-")</f>
        <v>16.452586845868918</v>
      </c>
    </row>
    <row r="19" spans="2:9" x14ac:dyDescent="0.3">
      <c r="B19" s="93" t="s">
        <v>87</v>
      </c>
      <c r="E19" s="102">
        <f>SUM(E15:E18)</f>
        <v>1723.2675133829571</v>
      </c>
      <c r="G19" s="19" t="s">
        <v>12</v>
      </c>
      <c r="H19" s="73">
        <f>IFERROR($E$32/H12,"-")</f>
        <v>167.71893557102172</v>
      </c>
      <c r="I19" s="73">
        <f>IFERROR($E$32/I12,"-")</f>
        <v>69.150488064056532</v>
      </c>
    </row>
    <row r="20" spans="2:9" x14ac:dyDescent="0.3">
      <c r="E20" s="67"/>
      <c r="G20" s="19" t="s">
        <v>13</v>
      </c>
      <c r="H20" s="73">
        <f>IFERROR($E$21/H13,"-")</f>
        <v>-132.31043549714803</v>
      </c>
      <c r="I20" s="73">
        <f>IFERROR($E$21/I13,"-")</f>
        <v>-4475.0983378479687</v>
      </c>
    </row>
    <row r="21" spans="2:9" x14ac:dyDescent="0.3">
      <c r="B21" s="20" t="s">
        <v>41</v>
      </c>
      <c r="C21" s="20"/>
      <c r="D21" s="20"/>
      <c r="E21" s="83">
        <f>+E11*E19</f>
        <v>76323.518167731163</v>
      </c>
      <c r="G21" s="19" t="s">
        <v>31</v>
      </c>
      <c r="H21" s="73">
        <f>IFERROR($E$21/H14,"-")</f>
        <v>270.25001778473029</v>
      </c>
      <c r="I21" s="73">
        <f>IFERROR($E$21/I14,"-")</f>
        <v>81.722397196026463</v>
      </c>
    </row>
    <row r="22" spans="2:9" x14ac:dyDescent="0.3">
      <c r="E22" s="67"/>
      <c r="H22" s="67"/>
      <c r="I22" s="67"/>
    </row>
    <row r="23" spans="2:9" x14ac:dyDescent="0.3">
      <c r="B23" s="19" t="s">
        <v>82</v>
      </c>
      <c r="E23" s="70">
        <f>_xll.ciqfunctions.udf.CIQ(E10, "IQ_CASH_EQUIV", , E12)</f>
        <v>824.07</v>
      </c>
      <c r="G23" s="19" t="s">
        <v>49</v>
      </c>
      <c r="H23" s="67"/>
      <c r="I23" s="73">
        <f>IFERROR(E29/E34,"-")</f>
        <v>0.14921926840039273</v>
      </c>
    </row>
    <row r="24" spans="2:9" x14ac:dyDescent="0.3">
      <c r="E24" s="67"/>
      <c r="G24" s="19" t="s">
        <v>83</v>
      </c>
      <c r="H24" s="67"/>
      <c r="I24" s="74">
        <f>IFERROR(E29/(E29+E34),"-")</f>
        <v>0.12984403629787047</v>
      </c>
    </row>
    <row r="25" spans="2:9" x14ac:dyDescent="0.3">
      <c r="B25" s="19" t="s">
        <v>99</v>
      </c>
      <c r="E25" s="103">
        <f>_xll.ciqfunctions.udf.CIQ(E10, "IQ_TOTAL_DEBT", , E12)</f>
        <v>1978.345</v>
      </c>
      <c r="G25" s="19" t="s">
        <v>84</v>
      </c>
      <c r="I25" s="74">
        <f>IFERROR(E29/(E29+E21),"-")</f>
        <v>4.2803924055776245E-3</v>
      </c>
    </row>
    <row r="26" spans="2:9" x14ac:dyDescent="0.3">
      <c r="B26" s="19" t="s">
        <v>102</v>
      </c>
      <c r="E26" s="103">
        <f>_xll.ciqfunctions.udf.CIQ(E10, "IQ_CONVERT", , E12, , , "USD")</f>
        <v>1650.2460000000001</v>
      </c>
      <c r="I26" s="74"/>
    </row>
    <row r="27" spans="2:9" x14ac:dyDescent="0.3">
      <c r="B27" s="19" t="s">
        <v>101</v>
      </c>
      <c r="E27" s="84">
        <f>+E25-E26</f>
        <v>328.09899999999993</v>
      </c>
    </row>
    <row r="28" spans="2:9" x14ac:dyDescent="0.3">
      <c r="B28" s="59" t="s">
        <v>103</v>
      </c>
      <c r="C28" s="59"/>
      <c r="D28" s="59"/>
      <c r="E28" s="71">
        <f>+E79</f>
        <v>0</v>
      </c>
    </row>
    <row r="29" spans="2:9" x14ac:dyDescent="0.3">
      <c r="B29" s="20" t="s">
        <v>100</v>
      </c>
      <c r="C29" s="20"/>
      <c r="D29" s="20"/>
      <c r="E29" s="105">
        <f>+E27+E28</f>
        <v>328.09899999999993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11</v>
      </c>
      <c r="E31" s="84">
        <f>+E29-E23</f>
        <v>-495.97100000000012</v>
      </c>
    </row>
    <row r="32" spans="2:9" x14ac:dyDescent="0.3">
      <c r="B32" s="20" t="s">
        <v>43</v>
      </c>
      <c r="C32" s="20"/>
      <c r="D32" s="20"/>
      <c r="E32" s="83">
        <f>+E21+E31</f>
        <v>75827.547167731158</v>
      </c>
    </row>
    <row r="33" spans="2:26" x14ac:dyDescent="0.3">
      <c r="E33" s="67"/>
    </row>
    <row r="34" spans="2:26" x14ac:dyDescent="0.3">
      <c r="B34" s="19" t="s">
        <v>48</v>
      </c>
      <c r="E34" s="70">
        <f>_xll.ciqfunctions.udf.CIQ(E10, "IQ_TOTAL_EQUITY", , E12)</f>
        <v>2198.7710000000002</v>
      </c>
    </row>
    <row r="36" spans="2:26" x14ac:dyDescent="0.3">
      <c r="B36" s="62" t="s">
        <v>50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53</v>
      </c>
      <c r="D38" s="60" t="s">
        <v>52</v>
      </c>
      <c r="E38" s="60" t="s">
        <v>53</v>
      </c>
      <c r="F38" s="60"/>
    </row>
    <row r="39" spans="2:26" ht="17" x14ac:dyDescent="0.6">
      <c r="B39" s="29" t="s">
        <v>51</v>
      </c>
      <c r="C39" s="31" t="s">
        <v>55</v>
      </c>
      <c r="D39" s="31" t="s">
        <v>9</v>
      </c>
      <c r="E39" s="31" t="s">
        <v>104</v>
      </c>
      <c r="F39" s="31" t="s">
        <v>54</v>
      </c>
    </row>
    <row r="40" spans="2:26" s="85" customFormat="1" ht="10.5" x14ac:dyDescent="0.25">
      <c r="C40" s="85" t="s">
        <v>24</v>
      </c>
      <c r="D40" s="86" t="s">
        <v>19</v>
      </c>
      <c r="E40" s="85" t="s">
        <v>24</v>
      </c>
      <c r="F40" s="86" t="s">
        <v>23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 t="s">
        <v>111</v>
      </c>
      <c r="C41" s="68">
        <f>5.62+1.029</f>
        <v>6.649</v>
      </c>
      <c r="D41" s="66">
        <v>10.01</v>
      </c>
      <c r="E41" s="64">
        <f>+IF(D41&lt;$E$11,C41,0)</f>
        <v>6.649</v>
      </c>
      <c r="F41" s="75">
        <f>+D41*E41</f>
        <v>66.556489999999997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56</v>
      </c>
      <c r="C47" s="72"/>
      <c r="D47" s="72"/>
      <c r="E47" s="77">
        <f>SUM(E41:E46)</f>
        <v>6.649</v>
      </c>
      <c r="F47" s="78">
        <f>SUM(F41:F46)</f>
        <v>66.556489999999997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57</v>
      </c>
      <c r="C49" s="67"/>
      <c r="D49" s="67"/>
      <c r="E49" s="67"/>
      <c r="F49" s="64">
        <f>+E47</f>
        <v>6.649</v>
      </c>
    </row>
    <row r="50" spans="2:6" x14ac:dyDescent="0.3">
      <c r="B50" s="19" t="s">
        <v>58</v>
      </c>
      <c r="C50" s="67"/>
      <c r="D50" s="67"/>
      <c r="E50" s="67"/>
      <c r="F50" s="64">
        <f>IF(ISERR($F47/E11),"-",$F47/E11)</f>
        <v>1.5027430571235041</v>
      </c>
    </row>
    <row r="51" spans="2:6" x14ac:dyDescent="0.3">
      <c r="B51" s="19" t="s">
        <v>85</v>
      </c>
      <c r="C51" s="67"/>
      <c r="D51" s="67"/>
      <c r="E51" s="67"/>
      <c r="F51" s="64">
        <f>+IF(ISERR(F49-F50),"-",F49-F50)</f>
        <v>5.1462569428764962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86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89</v>
      </c>
      <c r="F55" s="64"/>
    </row>
    <row r="56" spans="2:6" x14ac:dyDescent="0.3">
      <c r="B56" s="92"/>
      <c r="D56" s="67"/>
      <c r="E56" s="60" t="s">
        <v>53</v>
      </c>
      <c r="F56" s="64"/>
    </row>
    <row r="57" spans="2:6" ht="17" x14ac:dyDescent="0.6">
      <c r="B57" s="29" t="s">
        <v>51</v>
      </c>
      <c r="C57" s="29" t="s">
        <v>90</v>
      </c>
      <c r="D57" s="29" t="s">
        <v>90</v>
      </c>
      <c r="E57" s="31" t="s">
        <v>55</v>
      </c>
      <c r="F57" s="64"/>
    </row>
    <row r="58" spans="2:6" x14ac:dyDescent="0.3">
      <c r="E58" s="85" t="s">
        <v>24</v>
      </c>
      <c r="F58" s="64"/>
    </row>
    <row r="59" spans="2:6" x14ac:dyDescent="0.3">
      <c r="B59" s="56" t="s">
        <v>116</v>
      </c>
      <c r="C59" s="56"/>
      <c r="D59" s="56"/>
      <c r="E59" s="68">
        <v>142.46600000000001</v>
      </c>
      <c r="F59" s="64"/>
    </row>
    <row r="60" spans="2:6" x14ac:dyDescent="0.3">
      <c r="B60" s="56"/>
      <c r="C60" s="56"/>
      <c r="D60" s="56"/>
      <c r="E60" s="68"/>
      <c r="F60" s="64"/>
    </row>
    <row r="61" spans="2:6" x14ac:dyDescent="0.3">
      <c r="B61" s="56"/>
      <c r="C61" s="56"/>
      <c r="D61" s="56"/>
      <c r="E61" s="68"/>
      <c r="F61" s="64"/>
    </row>
    <row r="62" spans="2:6" x14ac:dyDescent="0.3">
      <c r="B62" s="56"/>
      <c r="C62" s="56"/>
      <c r="D62" s="56"/>
      <c r="E62" s="68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56</v>
      </c>
      <c r="D64" s="67"/>
      <c r="E64" s="101">
        <f>SUM(E59:E63)</f>
        <v>142.46600000000001</v>
      </c>
      <c r="F64" s="64"/>
    </row>
    <row r="66" spans="2:5" x14ac:dyDescent="0.3">
      <c r="B66" s="62" t="s">
        <v>42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60</v>
      </c>
      <c r="D68" s="60" t="s">
        <v>61</v>
      </c>
      <c r="E68" s="60" t="s">
        <v>10</v>
      </c>
    </row>
    <row r="69" spans="2:5" ht="17" x14ac:dyDescent="0.6">
      <c r="B69" s="29" t="s">
        <v>59</v>
      </c>
      <c r="C69" s="31" t="s">
        <v>26</v>
      </c>
      <c r="D69" s="31" t="s">
        <v>9</v>
      </c>
      <c r="E69" s="31" t="s">
        <v>62</v>
      </c>
    </row>
    <row r="70" spans="2:5" x14ac:dyDescent="0.3">
      <c r="C70" s="85" t="s">
        <v>24</v>
      </c>
      <c r="D70" s="86" t="s">
        <v>19</v>
      </c>
      <c r="E70" s="85" t="s">
        <v>24</v>
      </c>
    </row>
    <row r="71" spans="2:5" x14ac:dyDescent="0.3">
      <c r="B71" s="56" t="s">
        <v>117</v>
      </c>
      <c r="C71" s="70">
        <v>1000</v>
      </c>
      <c r="D71" s="66">
        <f>21.68*1.3</f>
        <v>28.184000000000001</v>
      </c>
      <c r="E71" s="64">
        <f>IF(ISNUMBER($D71),IF($E$11&gt;$D71,$C71/$D71,0),0)</f>
        <v>35.481124042009647</v>
      </c>
    </row>
    <row r="72" spans="2:5" x14ac:dyDescent="0.3">
      <c r="B72" s="56" t="s">
        <v>118</v>
      </c>
      <c r="C72" s="70">
        <v>1265</v>
      </c>
      <c r="D72" s="66">
        <v>22.81</v>
      </c>
      <c r="E72" s="64">
        <f t="shared" ref="E72:E75" si="2">IF(ISNUMBER($D72),IF($E$11&gt;$D72,$C72/$D72,0),0)</f>
        <v>55.458132398071022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56</v>
      </c>
      <c r="C76" s="83">
        <f>SUM(C71:C75)</f>
        <v>2265</v>
      </c>
      <c r="D76" s="72"/>
      <c r="E76" s="77">
        <f>SUM(E71:E75)</f>
        <v>90.939256440080669</v>
      </c>
    </row>
    <row r="77" spans="2:5" x14ac:dyDescent="0.3">
      <c r="C77" s="67"/>
      <c r="D77" s="67"/>
      <c r="E77" s="67"/>
    </row>
    <row r="78" spans="2:5" x14ac:dyDescent="0.3">
      <c r="B78" s="19" t="s">
        <v>63</v>
      </c>
      <c r="C78" s="67"/>
      <c r="D78" s="67"/>
      <c r="E78" s="84">
        <f>SUMIF(D71:D75,"&lt;"&amp;$E$11,C71:C75)</f>
        <v>2265</v>
      </c>
    </row>
    <row r="79" spans="2:5" x14ac:dyDescent="0.3">
      <c r="B79" s="19" t="s">
        <v>64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76BF-4593-430B-BD6B-92A1C19E131F}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_xll.ciqfunctions.udf.CIQ($E$10, "IQ_COMPANY_NAME")</f>
        <v>Expedia Group,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tr">
        <f>_xll.ciqfunctions.udf.CIQ($E$10, "IQ_COMPANY_NAME")</f>
        <v>Expedia Group, Inc.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27</v>
      </c>
      <c r="C8" s="62"/>
      <c r="D8" s="62"/>
      <c r="E8" s="62"/>
      <c r="G8" s="62" t="s">
        <v>47</v>
      </c>
      <c r="H8" s="63"/>
      <c r="I8" s="63"/>
    </row>
    <row r="9" spans="1:9" ht="5.25" customHeight="1" x14ac:dyDescent="0.3"/>
    <row r="10" spans="1:9" ht="17" x14ac:dyDescent="0.6">
      <c r="B10" s="19" t="s">
        <v>38</v>
      </c>
      <c r="E10" s="65" t="str">
        <f>_xll.ciqfunctions.udf.CIQ("NasdaqGS:EXPE", "IQ_COMPANY_TICKER")</f>
        <v>NasdaqGS:EXPE</v>
      </c>
      <c r="G10" s="57" t="s">
        <v>44</v>
      </c>
      <c r="H10" s="31" t="s">
        <v>29</v>
      </c>
      <c r="I10" s="31" t="s">
        <v>30</v>
      </c>
    </row>
    <row r="11" spans="1:9" x14ac:dyDescent="0.3">
      <c r="B11" s="19" t="s">
        <v>77</v>
      </c>
      <c r="E11" s="66">
        <f>_xll.ciqfunctions.udf.CIQ(E10, "IQ_LASTSALEPRICE", E12)</f>
        <v>125.05</v>
      </c>
      <c r="G11" s="19" t="s">
        <v>28</v>
      </c>
      <c r="H11" s="70">
        <f>_xll.ciqfunctions.udf.CIQ($E$10, "IQ_REVENUE_EST", "FY2021", $E$12)</f>
        <v>7787.8850300000004</v>
      </c>
      <c r="I11" s="70">
        <f>_xll.ciqfunctions.udf.CIQ($E$10, "IQ_REVENUE_EST", "FY2022", $E$12)</f>
        <v>10420.944890000001</v>
      </c>
    </row>
    <row r="12" spans="1:9" x14ac:dyDescent="0.3">
      <c r="B12" s="19" t="s">
        <v>39</v>
      </c>
      <c r="E12" s="106">
        <v>44159</v>
      </c>
      <c r="G12" s="19" t="s">
        <v>12</v>
      </c>
      <c r="H12" s="70">
        <f>_xll.ciqfunctions.udf.CIQ($E$10, "IQ_EBITDA_EST", "FY2021", $E$12)</f>
        <v>1269.8462999999999</v>
      </c>
      <c r="I12" s="70">
        <f>_xll.ciqfunctions.udf.CIQ($E$10, "IQ_EBITDA_EST", "FY2022", $E$12)</f>
        <v>2290.34458</v>
      </c>
    </row>
    <row r="13" spans="1:9" x14ac:dyDescent="0.3">
      <c r="E13" s="67"/>
      <c r="G13" s="19" t="s">
        <v>13</v>
      </c>
      <c r="H13" s="70">
        <f>_xll.ciqfunctions.udf.CIQ($E$10, "IQ_NI_REPORTED_EST", "FY2021", $E$12)</f>
        <v>-200.13301000000001</v>
      </c>
      <c r="I13" s="70">
        <f>_xll.ciqfunctions.udf.CIQ($E$10, "IQ_NI_REPORTED_EST", "FY2022", $E$12)</f>
        <v>588.11049000000003</v>
      </c>
    </row>
    <row r="14" spans="1:9" x14ac:dyDescent="0.3">
      <c r="B14" s="58" t="s">
        <v>40</v>
      </c>
      <c r="E14" s="67"/>
      <c r="G14" s="19" t="s">
        <v>31</v>
      </c>
      <c r="H14" s="70">
        <f>_xll.ciqfunctions.udf.CIQ($E$10, "IQ_CASH_OPER_EST", "FY2021", $E$12)</f>
        <v>3006.54286</v>
      </c>
      <c r="I14" s="70">
        <f>_xll.ciqfunctions.udf.CIQ($E$10, "IQ_CASH_OPER_EST", "FY2022", $E$12)</f>
        <v>2792.0866700000001</v>
      </c>
    </row>
    <row r="15" spans="1:9" x14ac:dyDescent="0.3">
      <c r="B15" s="19" t="s">
        <v>78</v>
      </c>
      <c r="E15" s="107">
        <f>_xll.ciqfunctions.udf.CIQ(E10, "IQ_TOTAL_OUTSTANDING_BS_DATE", , E12)</f>
        <v>141.42965000000001</v>
      </c>
      <c r="H15" s="67"/>
      <c r="I15" s="67"/>
    </row>
    <row r="16" spans="1:9" ht="16.5" customHeight="1" x14ac:dyDescent="0.3">
      <c r="B16" s="93" t="s">
        <v>88</v>
      </c>
      <c r="C16" s="93"/>
      <c r="D16" s="93"/>
      <c r="E16" s="98">
        <f>+E64</f>
        <v>4.13</v>
      </c>
      <c r="H16" s="67"/>
      <c r="I16" s="67"/>
    </row>
    <row r="17" spans="2:9" ht="16.5" customHeight="1" x14ac:dyDescent="0.3">
      <c r="B17" s="93" t="s">
        <v>79</v>
      </c>
      <c r="C17" s="93"/>
      <c r="D17" s="93"/>
      <c r="E17" s="98">
        <f>+F51</f>
        <v>5.8792419032387055</v>
      </c>
      <c r="G17" s="94" t="s">
        <v>46</v>
      </c>
      <c r="H17" s="100" t="s">
        <v>29</v>
      </c>
      <c r="I17" s="100" t="s">
        <v>30</v>
      </c>
    </row>
    <row r="18" spans="2:9" ht="16.5" customHeight="1" x14ac:dyDescent="0.3">
      <c r="B18" s="97" t="s">
        <v>80</v>
      </c>
      <c r="C18" s="97"/>
      <c r="D18" s="97"/>
      <c r="E18" s="99">
        <f>+E76</f>
        <v>0</v>
      </c>
      <c r="G18" s="19" t="s">
        <v>28</v>
      </c>
      <c r="H18" s="73">
        <f>IFERROR($E$32/H11,"-")</f>
        <v>3.0730337364135432</v>
      </c>
      <c r="I18" s="73">
        <f>IFERROR($E$32/I11,"-")</f>
        <v>2.2965703863826881</v>
      </c>
    </row>
    <row r="19" spans="2:9" x14ac:dyDescent="0.3">
      <c r="B19" s="93" t="s">
        <v>87</v>
      </c>
      <c r="E19" s="102">
        <f>SUM(E15:E18)</f>
        <v>151.4388919032387</v>
      </c>
      <c r="G19" s="19" t="s">
        <v>12</v>
      </c>
      <c r="H19" s="73">
        <f>IFERROR($E$32/H12,"-")</f>
        <v>18.846716671537333</v>
      </c>
      <c r="I19" s="73">
        <f>IFERROR($E$32/I12,"-")</f>
        <v>10.449271974830966</v>
      </c>
    </row>
    <row r="20" spans="2:9" x14ac:dyDescent="0.3">
      <c r="E20" s="67"/>
      <c r="G20" s="19" t="s">
        <v>13</v>
      </c>
      <c r="H20" s="73">
        <f>IFERROR($E$21/H13,"-")</f>
        <v>-94.624237313474652</v>
      </c>
      <c r="I20" s="73">
        <f>IFERROR($E$21/I13,"-")</f>
        <v>32.200468712095237</v>
      </c>
    </row>
    <row r="21" spans="2:9" x14ac:dyDescent="0.3">
      <c r="B21" s="20" t="s">
        <v>41</v>
      </c>
      <c r="C21" s="20"/>
      <c r="D21" s="20"/>
      <c r="E21" s="83">
        <f>+E11*E19</f>
        <v>18937.433432499998</v>
      </c>
      <c r="G21" s="19" t="s">
        <v>31</v>
      </c>
      <c r="H21" s="73">
        <f>IFERROR($E$21/H14,"-")</f>
        <v>6.2987405516314503</v>
      </c>
      <c r="I21" s="73">
        <f>IFERROR($E$21/I14,"-")</f>
        <v>6.782537818749014</v>
      </c>
    </row>
    <row r="22" spans="2:9" x14ac:dyDescent="0.3">
      <c r="E22" s="67"/>
      <c r="H22" s="67"/>
      <c r="I22" s="67"/>
    </row>
    <row r="23" spans="2:9" x14ac:dyDescent="0.3">
      <c r="B23" s="19" t="s">
        <v>82</v>
      </c>
      <c r="E23" s="70">
        <f>_xll.ciqfunctions.udf.CIQ(E10, "IQ_CASH_EQUIV", , E12)</f>
        <v>4353</v>
      </c>
      <c r="G23" s="19" t="s">
        <v>49</v>
      </c>
      <c r="H23" s="67"/>
      <c r="I23" s="73">
        <f>IFERROR(E29/E34,"-")</f>
        <v>2.2612481857764877</v>
      </c>
    </row>
    <row r="24" spans="2:9" x14ac:dyDescent="0.3">
      <c r="E24" s="67"/>
      <c r="G24" s="19" t="s">
        <v>83</v>
      </c>
      <c r="H24" s="67"/>
      <c r="I24" s="74">
        <f>IFERROR(E29/(E29+E34),"-")</f>
        <v>0.69336893635959052</v>
      </c>
    </row>
    <row r="25" spans="2:9" x14ac:dyDescent="0.3">
      <c r="B25" s="19" t="s">
        <v>99</v>
      </c>
      <c r="E25" s="103">
        <f>_xll.ciqfunctions.udf.CIQ(E10, "IQ_TOTAL_DEBT", , E12)</f>
        <v>9348</v>
      </c>
      <c r="G25" s="19" t="s">
        <v>84</v>
      </c>
      <c r="I25" s="74">
        <f>IFERROR(E29/(E29+E21),"-")</f>
        <v>0.33048812995239935</v>
      </c>
    </row>
    <row r="26" spans="2:9" x14ac:dyDescent="0.3">
      <c r="B26" s="19" t="s">
        <v>102</v>
      </c>
      <c r="E26" s="103">
        <f>_xll.ciqfunctions.udf.CIQ(E10, "IQ_CONVERT", , E12, , , "USD")</f>
        <v>0</v>
      </c>
      <c r="I26" s="74"/>
    </row>
    <row r="27" spans="2:9" x14ac:dyDescent="0.3">
      <c r="B27" s="19" t="s">
        <v>101</v>
      </c>
      <c r="E27" s="84">
        <f>+E25-E26</f>
        <v>9348</v>
      </c>
    </row>
    <row r="28" spans="2:9" x14ac:dyDescent="0.3">
      <c r="B28" s="59" t="s">
        <v>103</v>
      </c>
      <c r="C28" s="59"/>
      <c r="D28" s="59"/>
      <c r="E28" s="71">
        <f>+E79</f>
        <v>0</v>
      </c>
    </row>
    <row r="29" spans="2:9" x14ac:dyDescent="0.3">
      <c r="B29" s="20" t="s">
        <v>100</v>
      </c>
      <c r="C29" s="20"/>
      <c r="D29" s="20"/>
      <c r="E29" s="105">
        <f>+E27+E28</f>
        <v>9348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11</v>
      </c>
      <c r="E31" s="84">
        <f>+E29-E23</f>
        <v>4995</v>
      </c>
    </row>
    <row r="32" spans="2:9" x14ac:dyDescent="0.3">
      <c r="B32" s="20" t="s">
        <v>43</v>
      </c>
      <c r="C32" s="20"/>
      <c r="D32" s="20"/>
      <c r="E32" s="83">
        <f>+E21+E31</f>
        <v>23932.433432499998</v>
      </c>
    </row>
    <row r="33" spans="2:26" x14ac:dyDescent="0.3">
      <c r="E33" s="67"/>
    </row>
    <row r="34" spans="2:26" x14ac:dyDescent="0.3">
      <c r="B34" s="19" t="s">
        <v>48</v>
      </c>
      <c r="E34" s="70">
        <f>_xll.ciqfunctions.udf.CIQ(E10, "IQ_TOTAL_EQUITY", , E12)</f>
        <v>4134</v>
      </c>
    </row>
    <row r="36" spans="2:26" x14ac:dyDescent="0.3">
      <c r="B36" s="62" t="s">
        <v>50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53</v>
      </c>
      <c r="D38" s="60" t="s">
        <v>52</v>
      </c>
      <c r="E38" s="60" t="s">
        <v>53</v>
      </c>
      <c r="F38" s="60"/>
    </row>
    <row r="39" spans="2:26" ht="17" x14ac:dyDescent="0.6">
      <c r="B39" s="29" t="s">
        <v>51</v>
      </c>
      <c r="C39" s="31" t="s">
        <v>55</v>
      </c>
      <c r="D39" s="31" t="s">
        <v>9</v>
      </c>
      <c r="E39" s="31" t="s">
        <v>104</v>
      </c>
      <c r="F39" s="31" t="s">
        <v>54</v>
      </c>
    </row>
    <row r="40" spans="2:26" s="85" customFormat="1" ht="10.5" x14ac:dyDescent="0.25">
      <c r="C40" s="85" t="s">
        <v>24</v>
      </c>
      <c r="D40" s="86" t="s">
        <v>19</v>
      </c>
      <c r="E40" s="85" t="s">
        <v>24</v>
      </c>
      <c r="F40" s="86" t="s">
        <v>23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 t="s">
        <v>119</v>
      </c>
      <c r="C41" s="68">
        <f>4.2*2</f>
        <v>8.4</v>
      </c>
      <c r="D41" s="66">
        <v>72</v>
      </c>
      <c r="E41" s="64">
        <f>+IF(D41&lt;$E$11,C41,0)</f>
        <v>8.4</v>
      </c>
      <c r="F41" s="75">
        <f>+D41*E41</f>
        <v>604.80000000000007</v>
      </c>
    </row>
    <row r="42" spans="2:26" x14ac:dyDescent="0.3">
      <c r="B42" s="56" t="s">
        <v>111</v>
      </c>
      <c r="C42" s="68">
        <v>13.115</v>
      </c>
      <c r="D42" s="66">
        <v>102.97</v>
      </c>
      <c r="E42" s="64">
        <f t="shared" ref="E42:E46" si="0">+IF(D42&lt;$E$11,C42,0)</f>
        <v>13.115</v>
      </c>
      <c r="F42" s="75">
        <f t="shared" ref="F42:F46" si="1">+D42*E42</f>
        <v>1350.45155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56</v>
      </c>
      <c r="C47" s="72"/>
      <c r="D47" s="72"/>
      <c r="E47" s="77">
        <f>SUM(E41:E46)</f>
        <v>21.515000000000001</v>
      </c>
      <c r="F47" s="78">
        <f>SUM(F41:F46)</f>
        <v>1955.25155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57</v>
      </c>
      <c r="C49" s="67"/>
      <c r="D49" s="67"/>
      <c r="E49" s="67"/>
      <c r="F49" s="64">
        <f>+E47</f>
        <v>21.515000000000001</v>
      </c>
    </row>
    <row r="50" spans="2:6" x14ac:dyDescent="0.3">
      <c r="B50" s="19" t="s">
        <v>58</v>
      </c>
      <c r="C50" s="67"/>
      <c r="D50" s="67"/>
      <c r="E50" s="67"/>
      <c r="F50" s="64">
        <f>IF(ISERR($F47/E11),"-",$F47/E11)</f>
        <v>15.635758096761295</v>
      </c>
    </row>
    <row r="51" spans="2:6" x14ac:dyDescent="0.3">
      <c r="B51" s="19" t="s">
        <v>85</v>
      </c>
      <c r="C51" s="67"/>
      <c r="D51" s="67"/>
      <c r="E51" s="67"/>
      <c r="F51" s="64">
        <f>+IF(ISERR(F49-F50),"-",F49-F50)</f>
        <v>5.8792419032387055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86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89</v>
      </c>
      <c r="F55" s="64"/>
    </row>
    <row r="56" spans="2:6" x14ac:dyDescent="0.3">
      <c r="B56" s="92"/>
      <c r="D56" s="67"/>
      <c r="E56" s="60" t="s">
        <v>53</v>
      </c>
      <c r="F56" s="64"/>
    </row>
    <row r="57" spans="2:6" ht="17" x14ac:dyDescent="0.6">
      <c r="B57" s="29" t="s">
        <v>51</v>
      </c>
      <c r="C57" s="29" t="s">
        <v>90</v>
      </c>
      <c r="D57" s="29" t="s">
        <v>90</v>
      </c>
      <c r="E57" s="31" t="s">
        <v>55</v>
      </c>
      <c r="F57" s="64"/>
    </row>
    <row r="58" spans="2:6" x14ac:dyDescent="0.3">
      <c r="E58" s="85" t="s">
        <v>24</v>
      </c>
      <c r="F58" s="64"/>
    </row>
    <row r="59" spans="2:6" x14ac:dyDescent="0.3">
      <c r="B59" s="56" t="s">
        <v>109</v>
      </c>
      <c r="C59" s="56"/>
      <c r="D59" s="56"/>
      <c r="E59" s="68">
        <v>4.13</v>
      </c>
      <c r="F59" s="64"/>
    </row>
    <row r="60" spans="2:6" x14ac:dyDescent="0.3">
      <c r="B60" s="56"/>
      <c r="C60" s="56"/>
      <c r="D60" s="56"/>
      <c r="E60" s="68"/>
      <c r="F60" s="64"/>
    </row>
    <row r="61" spans="2:6" x14ac:dyDescent="0.3">
      <c r="B61" s="56"/>
      <c r="C61" s="56"/>
      <c r="D61" s="56"/>
      <c r="E61" s="68"/>
      <c r="F61" s="64"/>
    </row>
    <row r="62" spans="2:6" x14ac:dyDescent="0.3">
      <c r="B62" s="56"/>
      <c r="C62" s="56"/>
      <c r="D62" s="56"/>
      <c r="E62" s="68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56</v>
      </c>
      <c r="D64" s="67"/>
      <c r="E64" s="101">
        <f>SUM(E59:E63)</f>
        <v>4.13</v>
      </c>
      <c r="F64" s="64"/>
    </row>
    <row r="66" spans="2:5" x14ac:dyDescent="0.3">
      <c r="B66" s="62" t="s">
        <v>42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60</v>
      </c>
      <c r="D68" s="60" t="s">
        <v>61</v>
      </c>
      <c r="E68" s="60" t="s">
        <v>10</v>
      </c>
    </row>
    <row r="69" spans="2:5" ht="17" x14ac:dyDescent="0.6">
      <c r="B69" s="29" t="s">
        <v>59</v>
      </c>
      <c r="C69" s="31" t="s">
        <v>26</v>
      </c>
      <c r="D69" s="31" t="s">
        <v>9</v>
      </c>
      <c r="E69" s="31" t="s">
        <v>62</v>
      </c>
    </row>
    <row r="70" spans="2:5" x14ac:dyDescent="0.3">
      <c r="C70" s="85" t="s">
        <v>24</v>
      </c>
      <c r="D70" s="86" t="s">
        <v>19</v>
      </c>
      <c r="E70" s="85" t="s">
        <v>24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56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63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64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12AC-E020-4D24-BA06-3F97869C7489}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">
        <v>72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">
        <v>65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27</v>
      </c>
      <c r="C8" s="62"/>
      <c r="D8" s="62"/>
      <c r="E8" s="62"/>
      <c r="G8" s="62" t="s">
        <v>47</v>
      </c>
      <c r="H8" s="63"/>
      <c r="I8" s="63"/>
    </row>
    <row r="9" spans="1:9" ht="5.25" customHeight="1" x14ac:dyDescent="0.3"/>
    <row r="10" spans="1:9" ht="17" x14ac:dyDescent="0.6">
      <c r="B10" s="19" t="s">
        <v>38</v>
      </c>
      <c r="E10" s="65"/>
      <c r="G10" s="57" t="s">
        <v>44</v>
      </c>
      <c r="H10" s="31" t="s">
        <v>29</v>
      </c>
      <c r="I10" s="31" t="s">
        <v>30</v>
      </c>
    </row>
    <row r="11" spans="1:9" x14ac:dyDescent="0.3">
      <c r="B11" s="19" t="s">
        <v>77</v>
      </c>
      <c r="E11" s="66"/>
      <c r="G11" s="19" t="s">
        <v>28</v>
      </c>
      <c r="H11" s="70"/>
      <c r="I11" s="70"/>
    </row>
    <row r="12" spans="1:9" x14ac:dyDescent="0.3">
      <c r="B12" s="19" t="s">
        <v>39</v>
      </c>
      <c r="E12" s="65"/>
      <c r="G12" s="19" t="s">
        <v>12</v>
      </c>
      <c r="H12" s="70"/>
      <c r="I12" s="70"/>
    </row>
    <row r="13" spans="1:9" x14ac:dyDescent="0.3">
      <c r="E13" s="67"/>
      <c r="G13" s="19" t="s">
        <v>13</v>
      </c>
      <c r="H13" s="70"/>
      <c r="I13" s="70"/>
    </row>
    <row r="14" spans="1:9" x14ac:dyDescent="0.3">
      <c r="B14" s="58" t="s">
        <v>40</v>
      </c>
      <c r="E14" s="67"/>
      <c r="G14" s="19" t="s">
        <v>31</v>
      </c>
      <c r="H14" s="70"/>
      <c r="I14" s="70"/>
    </row>
    <row r="15" spans="1:9" x14ac:dyDescent="0.3">
      <c r="B15" s="19" t="s">
        <v>78</v>
      </c>
      <c r="E15" s="68"/>
      <c r="H15" s="67"/>
      <c r="I15" s="67"/>
    </row>
    <row r="16" spans="1:9" ht="16.5" customHeight="1" x14ac:dyDescent="0.3">
      <c r="B16" s="93" t="s">
        <v>88</v>
      </c>
      <c r="C16" s="93"/>
      <c r="D16" s="93"/>
      <c r="E16" s="98">
        <f>+E64</f>
        <v>0</v>
      </c>
      <c r="H16" s="67"/>
      <c r="I16" s="67"/>
    </row>
    <row r="17" spans="2:9" ht="16.5" customHeight="1" x14ac:dyDescent="0.3">
      <c r="B17" s="93" t="s">
        <v>79</v>
      </c>
      <c r="C17" s="93"/>
      <c r="D17" s="93"/>
      <c r="E17" s="98" t="str">
        <f>+F51</f>
        <v>-</v>
      </c>
      <c r="G17" s="94" t="s">
        <v>46</v>
      </c>
      <c r="H17" s="100" t="s">
        <v>29</v>
      </c>
      <c r="I17" s="100" t="s">
        <v>30</v>
      </c>
    </row>
    <row r="18" spans="2:9" ht="16.5" customHeight="1" x14ac:dyDescent="0.3">
      <c r="B18" s="97" t="s">
        <v>80</v>
      </c>
      <c r="C18" s="97"/>
      <c r="D18" s="97"/>
      <c r="E18" s="99">
        <f>+E76</f>
        <v>0</v>
      </c>
      <c r="G18" s="19" t="s">
        <v>28</v>
      </c>
      <c r="H18" s="73" t="str">
        <f>IFERROR($E$32/H11,"-")</f>
        <v>-</v>
      </c>
      <c r="I18" s="73" t="str">
        <f>IFERROR($E$32/I11,"-")</f>
        <v>-</v>
      </c>
    </row>
    <row r="19" spans="2:9" x14ac:dyDescent="0.3">
      <c r="B19" s="93" t="s">
        <v>87</v>
      </c>
      <c r="E19" s="102">
        <f>SUM(E15:E18)</f>
        <v>0</v>
      </c>
      <c r="G19" s="19" t="s">
        <v>12</v>
      </c>
      <c r="H19" s="73" t="str">
        <f>IFERROR($E$32/H12,"-")</f>
        <v>-</v>
      </c>
      <c r="I19" s="73" t="str">
        <f>IFERROR($E$32/I12,"-")</f>
        <v>-</v>
      </c>
    </row>
    <row r="20" spans="2:9" x14ac:dyDescent="0.3">
      <c r="E20" s="67"/>
      <c r="G20" s="19" t="s">
        <v>13</v>
      </c>
      <c r="H20" s="73" t="str">
        <f>IFERROR($E$21/H13,"-")</f>
        <v>-</v>
      </c>
      <c r="I20" s="73" t="str">
        <f>IFERROR($E$21/I13,"-")</f>
        <v>-</v>
      </c>
    </row>
    <row r="21" spans="2:9" x14ac:dyDescent="0.3">
      <c r="B21" s="20" t="s">
        <v>41</v>
      </c>
      <c r="C21" s="20"/>
      <c r="D21" s="20"/>
      <c r="E21" s="83">
        <f>+E11*E19</f>
        <v>0</v>
      </c>
      <c r="G21" s="19" t="s">
        <v>31</v>
      </c>
      <c r="H21" s="73" t="str">
        <f>IFERROR($E$21/H14,"-")</f>
        <v>-</v>
      </c>
      <c r="I21" s="73" t="str">
        <f>IFERROR($E$21/I14,"-")</f>
        <v>-</v>
      </c>
    </row>
    <row r="22" spans="2:9" x14ac:dyDescent="0.3">
      <c r="E22" s="67"/>
      <c r="H22" s="67"/>
      <c r="I22" s="67"/>
    </row>
    <row r="23" spans="2:9" x14ac:dyDescent="0.3">
      <c r="B23" s="19" t="s">
        <v>82</v>
      </c>
      <c r="E23" s="70"/>
      <c r="G23" s="19" t="s">
        <v>49</v>
      </c>
      <c r="H23" s="67"/>
      <c r="I23" s="73" t="str">
        <f>IFERROR(E29/E34,"-")</f>
        <v>-</v>
      </c>
    </row>
    <row r="24" spans="2:9" x14ac:dyDescent="0.3">
      <c r="E24" s="67"/>
      <c r="G24" s="19" t="s">
        <v>83</v>
      </c>
      <c r="H24" s="67"/>
      <c r="I24" s="74" t="str">
        <f>IFERROR(E29/(E29+E34),"-")</f>
        <v>-</v>
      </c>
    </row>
    <row r="25" spans="2:9" x14ac:dyDescent="0.3">
      <c r="B25" s="19" t="s">
        <v>99</v>
      </c>
      <c r="E25" s="103"/>
      <c r="G25" s="19" t="s">
        <v>84</v>
      </c>
      <c r="I25" s="74" t="str">
        <f>IFERROR(E29/(E29+E21),"-")</f>
        <v>-</v>
      </c>
    </row>
    <row r="26" spans="2:9" x14ac:dyDescent="0.3">
      <c r="B26" s="19" t="s">
        <v>102</v>
      </c>
      <c r="E26" s="103"/>
      <c r="I26" s="74"/>
    </row>
    <row r="27" spans="2:9" x14ac:dyDescent="0.3">
      <c r="B27" s="19" t="s">
        <v>101</v>
      </c>
      <c r="E27" s="84">
        <f>+E25-E26</f>
        <v>0</v>
      </c>
    </row>
    <row r="28" spans="2:9" x14ac:dyDescent="0.3">
      <c r="B28" s="59" t="s">
        <v>103</v>
      </c>
      <c r="C28" s="59"/>
      <c r="D28" s="59"/>
      <c r="E28" s="71">
        <f>+E79</f>
        <v>0</v>
      </c>
    </row>
    <row r="29" spans="2:9" x14ac:dyDescent="0.3">
      <c r="B29" s="20" t="s">
        <v>100</v>
      </c>
      <c r="C29" s="20"/>
      <c r="D29" s="20"/>
      <c r="E29" s="105">
        <f>+E27+E28</f>
        <v>0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11</v>
      </c>
      <c r="E31" s="84">
        <f>+E29-E23</f>
        <v>0</v>
      </c>
    </row>
    <row r="32" spans="2:9" x14ac:dyDescent="0.3">
      <c r="B32" s="20" t="s">
        <v>43</v>
      </c>
      <c r="C32" s="20"/>
      <c r="D32" s="20"/>
      <c r="E32" s="83">
        <f>+E21+E31</f>
        <v>0</v>
      </c>
    </row>
    <row r="33" spans="2:26" x14ac:dyDescent="0.3">
      <c r="E33" s="67"/>
    </row>
    <row r="34" spans="2:26" x14ac:dyDescent="0.3">
      <c r="B34" s="19" t="s">
        <v>48</v>
      </c>
      <c r="E34" s="70"/>
    </row>
    <row r="36" spans="2:26" x14ac:dyDescent="0.3">
      <c r="B36" s="62" t="s">
        <v>50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53</v>
      </c>
      <c r="D38" s="60" t="s">
        <v>52</v>
      </c>
      <c r="E38" s="60" t="s">
        <v>53</v>
      </c>
      <c r="F38" s="60"/>
    </row>
    <row r="39" spans="2:26" ht="17" x14ac:dyDescent="0.6">
      <c r="B39" s="29" t="s">
        <v>51</v>
      </c>
      <c r="C39" s="31" t="s">
        <v>55</v>
      </c>
      <c r="D39" s="31" t="s">
        <v>9</v>
      </c>
      <c r="E39" s="31" t="s">
        <v>104</v>
      </c>
      <c r="F39" s="31" t="s">
        <v>54</v>
      </c>
    </row>
    <row r="40" spans="2:26" s="85" customFormat="1" ht="10.5" x14ac:dyDescent="0.25">
      <c r="C40" s="85" t="s">
        <v>24</v>
      </c>
      <c r="D40" s="86" t="s">
        <v>19</v>
      </c>
      <c r="E40" s="85" t="s">
        <v>24</v>
      </c>
      <c r="F40" s="86" t="s">
        <v>23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/>
      <c r="C41" s="68"/>
      <c r="D41" s="66"/>
      <c r="E41" s="64">
        <f>+IF(D41&lt;$E$11,C41,0)</f>
        <v>0</v>
      </c>
      <c r="F41" s="75">
        <f>+D41*E41</f>
        <v>0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56</v>
      </c>
      <c r="C47" s="72"/>
      <c r="D47" s="72"/>
      <c r="E47" s="77">
        <f>SUM(E41:E46)</f>
        <v>0</v>
      </c>
      <c r="F47" s="78">
        <f>SUM(F41:F46)</f>
        <v>0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57</v>
      </c>
      <c r="C49" s="67"/>
      <c r="D49" s="67"/>
      <c r="E49" s="67"/>
      <c r="F49" s="64">
        <f>+E47</f>
        <v>0</v>
      </c>
    </row>
    <row r="50" spans="2:6" x14ac:dyDescent="0.3">
      <c r="B50" s="19" t="s">
        <v>58</v>
      </c>
      <c r="C50" s="67"/>
      <c r="D50" s="67"/>
      <c r="E50" s="67"/>
      <c r="F50" s="64" t="str">
        <f>IF(ISERR($F47/E11),"-",$F47/E11)</f>
        <v>-</v>
      </c>
    </row>
    <row r="51" spans="2:6" x14ac:dyDescent="0.3">
      <c r="B51" s="19" t="s">
        <v>85</v>
      </c>
      <c r="C51" s="67"/>
      <c r="D51" s="67"/>
      <c r="E51" s="67"/>
      <c r="F51" s="64" t="str">
        <f>+IF(ISERR(F49-F50),"-",F49-F50)</f>
        <v>-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86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89</v>
      </c>
      <c r="F55" s="64"/>
    </row>
    <row r="56" spans="2:6" x14ac:dyDescent="0.3">
      <c r="B56" s="92"/>
      <c r="D56" s="67"/>
      <c r="E56" s="60" t="s">
        <v>53</v>
      </c>
      <c r="F56" s="64"/>
    </row>
    <row r="57" spans="2:6" ht="17" x14ac:dyDescent="0.6">
      <c r="B57" s="29" t="s">
        <v>51</v>
      </c>
      <c r="C57" s="29" t="s">
        <v>90</v>
      </c>
      <c r="D57" s="29" t="s">
        <v>90</v>
      </c>
      <c r="E57" s="31" t="s">
        <v>55</v>
      </c>
      <c r="F57" s="64"/>
    </row>
    <row r="58" spans="2:6" x14ac:dyDescent="0.3">
      <c r="E58" s="85" t="s">
        <v>24</v>
      </c>
      <c r="F58" s="64"/>
    </row>
    <row r="59" spans="2:6" x14ac:dyDescent="0.3">
      <c r="B59" s="56"/>
      <c r="C59" s="56"/>
      <c r="D59" s="56"/>
      <c r="E59" s="56"/>
      <c r="F59" s="64"/>
    </row>
    <row r="60" spans="2:6" x14ac:dyDescent="0.3">
      <c r="B60" s="56"/>
      <c r="C60" s="56"/>
      <c r="D60" s="56"/>
      <c r="E60" s="56"/>
      <c r="F60" s="64"/>
    </row>
    <row r="61" spans="2:6" x14ac:dyDescent="0.3">
      <c r="B61" s="56"/>
      <c r="C61" s="56"/>
      <c r="D61" s="56"/>
      <c r="E61" s="56"/>
      <c r="F61" s="64"/>
    </row>
    <row r="62" spans="2:6" x14ac:dyDescent="0.3">
      <c r="B62" s="56"/>
      <c r="C62" s="56"/>
      <c r="D62" s="56"/>
      <c r="E62" s="56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56</v>
      </c>
      <c r="D64" s="67"/>
      <c r="E64" s="101">
        <f>SUM(E59:E63)</f>
        <v>0</v>
      </c>
      <c r="F64" s="64"/>
    </row>
    <row r="66" spans="2:5" x14ac:dyDescent="0.3">
      <c r="B66" s="62" t="s">
        <v>42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60</v>
      </c>
      <c r="D68" s="60" t="s">
        <v>61</v>
      </c>
      <c r="E68" s="60" t="s">
        <v>10</v>
      </c>
    </row>
    <row r="69" spans="2:5" ht="17" x14ac:dyDescent="0.6">
      <c r="B69" s="29" t="s">
        <v>59</v>
      </c>
      <c r="C69" s="31" t="s">
        <v>26</v>
      </c>
      <c r="D69" s="31" t="s">
        <v>9</v>
      </c>
      <c r="E69" s="31" t="s">
        <v>62</v>
      </c>
    </row>
    <row r="70" spans="2:5" x14ac:dyDescent="0.3">
      <c r="C70" s="85" t="s">
        <v>24</v>
      </c>
      <c r="D70" s="86" t="s">
        <v>19</v>
      </c>
      <c r="E70" s="85" t="s">
        <v>24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56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63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64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D5F-CDDD-4AB5-83CE-BA3A6FC1F3C9}">
  <dimension ref="B2:B9"/>
  <sheetViews>
    <sheetView workbookViewId="0"/>
  </sheetViews>
  <sheetFormatPr defaultRowHeight="14.5" x14ac:dyDescent="0.35"/>
  <sheetData>
    <row r="2" spans="2:2" x14ac:dyDescent="0.35">
      <c r="B2" t="s">
        <v>91</v>
      </c>
    </row>
    <row r="3" spans="2:2" x14ac:dyDescent="0.35">
      <c r="B3" t="s">
        <v>92</v>
      </c>
    </row>
    <row r="4" spans="2:2" x14ac:dyDescent="0.35">
      <c r="B4" t="s">
        <v>93</v>
      </c>
    </row>
    <row r="5" spans="2:2" x14ac:dyDescent="0.35">
      <c r="B5" t="s">
        <v>94</v>
      </c>
    </row>
    <row r="6" spans="2:2" x14ac:dyDescent="0.35">
      <c r="B6" t="s">
        <v>95</v>
      </c>
    </row>
    <row r="7" spans="2:2" x14ac:dyDescent="0.35">
      <c r="B7" t="s">
        <v>97</v>
      </c>
    </row>
    <row r="8" spans="2:2" x14ac:dyDescent="0.35">
      <c r="B8" t="s">
        <v>108</v>
      </c>
    </row>
    <row r="9" spans="2:2" x14ac:dyDescent="0.35">
      <c r="B9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0"/>
  <sheetViews>
    <sheetView showGridLines="0" tabSelected="1" zoomScale="90" zoomScaleNormal="90" workbookViewId="0"/>
  </sheetViews>
  <sheetFormatPr defaultColWidth="9.1796875" defaultRowHeight="14" x14ac:dyDescent="0.3"/>
  <cols>
    <col min="1" max="2" width="11" style="1" customWidth="1"/>
    <col min="3" max="3" width="54.453125" style="1" customWidth="1"/>
    <col min="4" max="20" width="11" style="1" customWidth="1"/>
    <col min="21" max="16384" width="9.179687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5">
      <c r="B12" s="2"/>
      <c r="C12" s="3" t="s">
        <v>121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5">
      <c r="B14" s="2"/>
      <c r="C14" s="5" t="s">
        <v>70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s="104" customFormat="1" ht="19.5" customHeight="1" x14ac:dyDescent="0.35">
      <c r="B15" s="8"/>
      <c r="C15" s="82" t="s">
        <v>71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 s="104" customFormat="1" ht="19.5" customHeight="1" x14ac:dyDescent="0.35">
      <c r="B16" s="8"/>
      <c r="C16" s="82" t="s">
        <v>72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s="104" customFormat="1" ht="19.5" customHeight="1" x14ac:dyDescent="0.35">
      <c r="B17" s="8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2:13" s="104" customFormat="1" ht="19.5" customHeight="1" x14ac:dyDescent="0.35">
      <c r="B18" s="8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2:13" s="104" customFormat="1" ht="19.5" customHeight="1" x14ac:dyDescent="0.35">
      <c r="B19" s="8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s="104" customFormat="1" ht="17.25" customHeight="1" x14ac:dyDescent="0.35">
      <c r="B20" s="8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s="104" customFormat="1" ht="17.25" customHeight="1" x14ac:dyDescent="0.35"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s="104" customFormat="1" ht="17.25" customHeight="1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9" t="s">
        <v>2</v>
      </c>
      <c r="D24" s="9"/>
      <c r="E24" s="9"/>
      <c r="F24" s="9"/>
      <c r="G24" s="9"/>
      <c r="H24" s="9"/>
      <c r="I24" s="9"/>
      <c r="J24" s="9"/>
      <c r="K24" s="9"/>
      <c r="L24" s="9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0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1" t="s">
        <v>5</v>
      </c>
      <c r="D28" s="11"/>
      <c r="E28" s="12"/>
      <c r="F28" s="12"/>
      <c r="G28" s="12"/>
      <c r="H28" s="12"/>
      <c r="I28" s="12"/>
      <c r="J28" s="12"/>
      <c r="K28" s="12"/>
      <c r="L28" s="12"/>
      <c r="M28" s="2"/>
    </row>
    <row r="29" spans="2:13" ht="19.5" customHeight="1" x14ac:dyDescent="0.3">
      <c r="B29" s="13"/>
      <c r="C29" s="11" t="s">
        <v>6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7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8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B0BDEEC0-9969-47FF-9997-DE3A4AA15AD3}"/>
    <hyperlink ref="C15" location="'Comps Table'!A1" display="Comps Table" xr:uid="{5E563DC0-6253-4AE1-AD5C-D63364E744E9}"/>
    <hyperlink ref="C16" location="'Company Template'!A1" display="Company Template" xr:uid="{7D1BF8EA-22EC-46ED-A4B0-25918363041E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215C-C899-4C49-8644-26E26F224ED3}">
  <dimension ref="A1:AC26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outlineLevelCol="1" x14ac:dyDescent="0.3"/>
  <cols>
    <col min="1" max="1" width="5.7265625" style="2" customWidth="1"/>
    <col min="2" max="2" width="30.7265625" style="2" customWidth="1"/>
    <col min="3" max="3" width="1.7265625" style="2" customWidth="1"/>
    <col min="4" max="4" width="11.7265625" style="2"/>
    <col min="5" max="5" width="11.7265625" style="2" hidden="1" customWidth="1" outlineLevel="1"/>
    <col min="6" max="6" width="11.7265625" style="2" collapsed="1"/>
    <col min="7" max="8" width="11.7265625" style="2"/>
    <col min="9" max="9" width="0.81640625" style="2" customWidth="1"/>
    <col min="10" max="17" width="11.7265625" style="2" hidden="1" customWidth="1" outlineLevel="1"/>
    <col min="18" max="18" width="0.81640625" style="2" hidden="1" customWidth="1" outlineLevel="1"/>
    <col min="19" max="19" width="11.7265625" style="2" collapsed="1"/>
    <col min="20" max="26" width="11.7265625" style="2"/>
    <col min="27" max="27" width="0.81640625" style="2" customWidth="1"/>
    <col min="28" max="16384" width="11.7265625" style="2"/>
  </cols>
  <sheetData>
    <row r="1" spans="1:2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8" x14ac:dyDescent="0.3">
      <c r="A2" s="16" t="s">
        <v>35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x14ac:dyDescent="0.3">
      <c r="A4" s="19"/>
    </row>
    <row r="5" spans="1:29" s="21" customFormat="1" ht="23" x14ac:dyDescent="0.6">
      <c r="A5" s="20"/>
      <c r="D5" s="22" t="s">
        <v>27</v>
      </c>
      <c r="E5" s="22"/>
      <c r="F5" s="22"/>
      <c r="G5" s="22"/>
      <c r="H5" s="22"/>
      <c r="J5" s="23" t="s">
        <v>73</v>
      </c>
      <c r="K5" s="23"/>
      <c r="L5" s="23"/>
      <c r="M5" s="23"/>
      <c r="N5" s="23"/>
      <c r="O5" s="23"/>
      <c r="P5" s="23"/>
      <c r="Q5" s="23"/>
      <c r="S5" s="23" t="s">
        <v>46</v>
      </c>
      <c r="T5" s="23"/>
      <c r="U5" s="23"/>
      <c r="V5" s="23"/>
      <c r="W5" s="23"/>
      <c r="X5" s="23"/>
      <c r="Y5" s="23"/>
      <c r="Z5" s="23"/>
      <c r="AB5" s="23" t="s">
        <v>66</v>
      </c>
      <c r="AC5" s="23"/>
    </row>
    <row r="6" spans="1:29" s="24" customFormat="1" ht="17" x14ac:dyDescent="0.6">
      <c r="B6" s="25"/>
      <c r="C6" s="25"/>
      <c r="D6" s="26" t="s">
        <v>20</v>
      </c>
      <c r="E6" s="26"/>
      <c r="F6" s="26" t="s">
        <v>21</v>
      </c>
      <c r="G6" s="25"/>
      <c r="H6" s="26" t="s">
        <v>25</v>
      </c>
      <c r="I6" s="25"/>
      <c r="J6" s="22" t="s">
        <v>28</v>
      </c>
      <c r="K6" s="27"/>
      <c r="L6" s="22" t="s">
        <v>12</v>
      </c>
      <c r="M6" s="27"/>
      <c r="N6" s="22" t="s">
        <v>13</v>
      </c>
      <c r="O6" s="27"/>
      <c r="P6" s="22" t="s">
        <v>31</v>
      </c>
      <c r="Q6" s="27"/>
      <c r="R6" s="25"/>
      <c r="S6" s="22" t="s">
        <v>32</v>
      </c>
      <c r="T6" s="27"/>
      <c r="U6" s="22" t="s">
        <v>14</v>
      </c>
      <c r="V6" s="27"/>
      <c r="W6" s="22" t="s">
        <v>15</v>
      </c>
      <c r="X6" s="27"/>
      <c r="Y6" s="22" t="s">
        <v>33</v>
      </c>
      <c r="Z6" s="27"/>
      <c r="AA6" s="25"/>
      <c r="AB6" s="22" t="s">
        <v>67</v>
      </c>
      <c r="AC6" s="22"/>
    </row>
    <row r="7" spans="1:29" s="28" customFormat="1" ht="20" x14ac:dyDescent="0.6">
      <c r="B7" s="29" t="s">
        <v>16</v>
      </c>
      <c r="C7" s="30"/>
      <c r="D7" s="31" t="s">
        <v>9</v>
      </c>
      <c r="E7" s="31" t="s">
        <v>74</v>
      </c>
      <c r="F7" s="31" t="s">
        <v>75</v>
      </c>
      <c r="G7" s="31" t="s">
        <v>11</v>
      </c>
      <c r="H7" s="31" t="s">
        <v>76</v>
      </c>
      <c r="I7" s="30"/>
      <c r="J7" s="31" t="s">
        <v>29</v>
      </c>
      <c r="K7" s="31" t="s">
        <v>30</v>
      </c>
      <c r="L7" s="31" t="s">
        <v>29</v>
      </c>
      <c r="M7" s="31" t="s">
        <v>30</v>
      </c>
      <c r="N7" s="31" t="s">
        <v>29</v>
      </c>
      <c r="O7" s="31" t="s">
        <v>30</v>
      </c>
      <c r="P7" s="31" t="s">
        <v>29</v>
      </c>
      <c r="Q7" s="31" t="s">
        <v>30</v>
      </c>
      <c r="R7" s="30"/>
      <c r="S7" s="31" t="s">
        <v>29</v>
      </c>
      <c r="T7" s="31" t="s">
        <v>30</v>
      </c>
      <c r="U7" s="31" t="s">
        <v>29</v>
      </c>
      <c r="V7" s="31" t="s">
        <v>30</v>
      </c>
      <c r="W7" s="31" t="s">
        <v>29</v>
      </c>
      <c r="X7" s="31" t="s">
        <v>30</v>
      </c>
      <c r="Y7" s="31" t="s">
        <v>29</v>
      </c>
      <c r="Z7" s="31" t="s">
        <v>30</v>
      </c>
      <c r="AA7" s="30"/>
      <c r="AB7" s="31" t="s">
        <v>68</v>
      </c>
      <c r="AC7" s="31" t="s">
        <v>120</v>
      </c>
    </row>
    <row r="8" spans="1:29" s="32" customFormat="1" ht="10.5" x14ac:dyDescent="0.25">
      <c r="D8" s="33" t="s">
        <v>19</v>
      </c>
      <c r="E8" s="34" t="s">
        <v>24</v>
      </c>
      <c r="F8" s="33" t="s">
        <v>23</v>
      </c>
      <c r="G8" s="33" t="s">
        <v>23</v>
      </c>
      <c r="H8" s="33" t="s">
        <v>23</v>
      </c>
      <c r="I8" s="35"/>
      <c r="J8" s="33" t="s">
        <v>23</v>
      </c>
      <c r="K8" s="33" t="s">
        <v>23</v>
      </c>
      <c r="L8" s="33" t="s">
        <v>23</v>
      </c>
      <c r="M8" s="33" t="s">
        <v>23</v>
      </c>
      <c r="N8" s="33" t="s">
        <v>23</v>
      </c>
      <c r="O8" s="33" t="s">
        <v>23</v>
      </c>
      <c r="P8" s="33" t="s">
        <v>23</v>
      </c>
      <c r="Q8" s="33" t="s">
        <v>23</v>
      </c>
      <c r="R8" s="36"/>
      <c r="S8" s="33" t="s">
        <v>34</v>
      </c>
      <c r="T8" s="33" t="s">
        <v>34</v>
      </c>
      <c r="U8" s="33" t="s">
        <v>34</v>
      </c>
      <c r="V8" s="33" t="s">
        <v>34</v>
      </c>
      <c r="W8" s="33" t="s">
        <v>34</v>
      </c>
      <c r="X8" s="33" t="s">
        <v>34</v>
      </c>
      <c r="Y8" s="33" t="s">
        <v>34</v>
      </c>
      <c r="Z8" s="33" t="s">
        <v>34</v>
      </c>
      <c r="AA8" s="35"/>
      <c r="AB8" s="33" t="s">
        <v>34</v>
      </c>
      <c r="AC8" s="33" t="s">
        <v>69</v>
      </c>
    </row>
    <row r="9" spans="1:29" s="37" customFormat="1" x14ac:dyDescent="0.3">
      <c r="B9" s="40" t="str">
        <f>+AMZN!$B$6</f>
        <v>Amazon.com, Inc.</v>
      </c>
      <c r="C9" s="38"/>
      <c r="D9" s="39">
        <f>+AMZN!$E$11</f>
        <v>3118.06</v>
      </c>
      <c r="E9" s="40">
        <f>+AMZN!$E$19</f>
        <v>518.4</v>
      </c>
      <c r="F9" s="41">
        <f t="shared" ref="F9:F16" si="0">+D9*E9</f>
        <v>1616402.304</v>
      </c>
      <c r="G9" s="41">
        <f>+AMZN!$E$31</f>
        <v>66884</v>
      </c>
      <c r="H9" s="41">
        <f t="shared" ref="H9:H16" si="1">+F9+G9</f>
        <v>1683286.304</v>
      </c>
      <c r="I9" s="41"/>
      <c r="J9" s="41">
        <f>+AMZN!$H$11</f>
        <v>449073.07478000002</v>
      </c>
      <c r="K9" s="41">
        <f>+AMZN!$I$11</f>
        <v>526690.18513999996</v>
      </c>
      <c r="L9" s="41">
        <f>+AMZN!$H$12</f>
        <v>69169.429690000004</v>
      </c>
      <c r="M9" s="41">
        <f>+AMZN!$I$12</f>
        <v>85991.217669999998</v>
      </c>
      <c r="N9" s="41">
        <f>+AMZN!$H$13</f>
        <v>23687.62614</v>
      </c>
      <c r="O9" s="41">
        <f>+AMZN!$I$13</f>
        <v>33645.065179999998</v>
      </c>
      <c r="P9" s="41">
        <f>+AMZN!$H$14</f>
        <v>69825.182750000007</v>
      </c>
      <c r="Q9" s="41">
        <f>+AMZN!$I$14</f>
        <v>87149.678570000004</v>
      </c>
      <c r="R9" s="38"/>
      <c r="S9" s="42">
        <f t="shared" ref="S9:V16" si="2">+$H9/J9</f>
        <v>3.748357224099081</v>
      </c>
      <c r="T9" s="42">
        <f t="shared" si="2"/>
        <v>3.1959705183277038</v>
      </c>
      <c r="U9" s="42">
        <f t="shared" si="2"/>
        <v>24.335697309404836</v>
      </c>
      <c r="V9" s="42">
        <f t="shared" si="2"/>
        <v>19.575095569175232</v>
      </c>
      <c r="W9" s="42">
        <f t="shared" ref="W9:Z16" si="3">+$F9/N9</f>
        <v>68.238256313513403</v>
      </c>
      <c r="X9" s="42">
        <f t="shared" si="3"/>
        <v>48.042775228768335</v>
      </c>
      <c r="Y9" s="42">
        <f t="shared" si="3"/>
        <v>23.149274235161236</v>
      </c>
      <c r="Z9" s="42">
        <f t="shared" si="3"/>
        <v>18.547427030401266</v>
      </c>
      <c r="AA9" s="41"/>
      <c r="AB9" s="89">
        <f>+AMZN!$I$23</f>
        <v>1.1696043491392329</v>
      </c>
      <c r="AC9" s="90">
        <f>+AMZN!$I$24</f>
        <v>0.53908646966128215</v>
      </c>
    </row>
    <row r="10" spans="1:29" s="37" customFormat="1" x14ac:dyDescent="0.3">
      <c r="B10" s="40" t="str">
        <f>+GOOG.L!$B$6</f>
        <v>Alphabet Inc.</v>
      </c>
      <c r="C10" s="38"/>
      <c r="D10" s="39">
        <f>+GOOG.L!$E$11</f>
        <v>1763.9</v>
      </c>
      <c r="E10" s="40">
        <f>+GOOG.L!$E$19</f>
        <v>699.36422100000004</v>
      </c>
      <c r="F10" s="41">
        <f t="shared" si="0"/>
        <v>1233608.5494219002</v>
      </c>
      <c r="G10" s="41">
        <f>+GOOG.L!$E$31</f>
        <v>7413</v>
      </c>
      <c r="H10" s="41">
        <f t="shared" si="1"/>
        <v>1241021.5494219002</v>
      </c>
      <c r="I10" s="41"/>
      <c r="J10" s="41">
        <f>+GOOG.L!$H$11</f>
        <v>213952.19751999999</v>
      </c>
      <c r="K10" s="41">
        <f>+GOOG.L!$I$11</f>
        <v>248926.70772000001</v>
      </c>
      <c r="L10" s="41">
        <f>+GOOG.L!$H$12</f>
        <v>76476.138980000003</v>
      </c>
      <c r="M10" s="41">
        <f>+GOOG.L!$I$12</f>
        <v>88066.198699999994</v>
      </c>
      <c r="N10" s="41">
        <f>+GOOG.L!$H$13</f>
        <v>41720.488579999997</v>
      </c>
      <c r="O10" s="41">
        <f>+GOOG.L!$I$13</f>
        <v>48676.654049999997</v>
      </c>
      <c r="P10" s="41">
        <f>+GOOG.L!$H$14</f>
        <v>71618.837419999996</v>
      </c>
      <c r="Q10" s="41">
        <f>+GOOG.L!$I$14</f>
        <v>83480.909899999999</v>
      </c>
      <c r="R10" s="38"/>
      <c r="S10" s="42">
        <f t="shared" si="2"/>
        <v>5.8004618031833539</v>
      </c>
      <c r="T10" s="42">
        <f t="shared" si="2"/>
        <v>4.9854897483231779</v>
      </c>
      <c r="U10" s="42">
        <f t="shared" si="2"/>
        <v>16.227565433794343</v>
      </c>
      <c r="V10" s="42">
        <f t="shared" si="2"/>
        <v>14.09191685052145</v>
      </c>
      <c r="W10" s="42">
        <f t="shared" si="3"/>
        <v>29.568410903348539</v>
      </c>
      <c r="X10" s="42">
        <f t="shared" si="3"/>
        <v>25.342919999282493</v>
      </c>
      <c r="Y10" s="42">
        <f t="shared" si="3"/>
        <v>17.224638012308862</v>
      </c>
      <c r="Z10" s="42">
        <f t="shared" si="3"/>
        <v>14.777133489556038</v>
      </c>
      <c r="AA10" s="41"/>
      <c r="AB10" s="89">
        <f>+GOOG.L!$I$23</f>
        <v>0.12935374788653015</v>
      </c>
      <c r="AC10" s="90">
        <f>+GOOG.L!$I$24</f>
        <v>0.11453784797597957</v>
      </c>
    </row>
    <row r="11" spans="1:29" s="37" customFormat="1" x14ac:dyDescent="0.3">
      <c r="B11" s="40" t="str">
        <f>+FB!$B$6</f>
        <v>Facebook, Inc.</v>
      </c>
      <c r="C11" s="38"/>
      <c r="D11" s="39">
        <f>+FB!$E$11</f>
        <v>276.92</v>
      </c>
      <c r="E11" s="40">
        <f>+FB!$E$19</f>
        <v>2953.0569999999998</v>
      </c>
      <c r="F11" s="41">
        <f t="shared" si="0"/>
        <v>817760.54443999997</v>
      </c>
      <c r="G11" s="41">
        <f>+FB!$E$31</f>
        <v>-473</v>
      </c>
      <c r="H11" s="41">
        <f t="shared" si="1"/>
        <v>817287.54443999997</v>
      </c>
      <c r="I11" s="41"/>
      <c r="J11" s="41">
        <f>+FB!$H$11</f>
        <v>103795.85722999999</v>
      </c>
      <c r="K11" s="41">
        <f>+FB!$I$11</f>
        <v>124560.33858</v>
      </c>
      <c r="L11" s="41">
        <f>+FB!$H$12</f>
        <v>51433.768230000001</v>
      </c>
      <c r="M11" s="41">
        <f>+FB!$I$12</f>
        <v>64320.30429</v>
      </c>
      <c r="N11" s="41">
        <f>+FB!$H$13</f>
        <v>30100.185580000001</v>
      </c>
      <c r="O11" s="41">
        <f>+FB!$I$13</f>
        <v>37194.984279999997</v>
      </c>
      <c r="P11" s="41">
        <f>+FB!$H$14</f>
        <v>47952.778570000002</v>
      </c>
      <c r="Q11" s="41">
        <f>+FB!$I$14</f>
        <v>56571.654549999999</v>
      </c>
      <c r="R11" s="38"/>
      <c r="S11" s="42">
        <f t="shared" si="2"/>
        <v>7.8739900247558277</v>
      </c>
      <c r="T11" s="42">
        <f t="shared" si="2"/>
        <v>6.5613786359057595</v>
      </c>
      <c r="U11" s="42">
        <f t="shared" si="2"/>
        <v>15.890096575955271</v>
      </c>
      <c r="V11" s="42">
        <f t="shared" si="2"/>
        <v>12.706524844085124</v>
      </c>
      <c r="W11" s="42">
        <f t="shared" si="3"/>
        <v>27.16795689736076</v>
      </c>
      <c r="X11" s="42">
        <f t="shared" si="3"/>
        <v>21.985774702416411</v>
      </c>
      <c r="Y11" s="42">
        <f t="shared" si="3"/>
        <v>17.053454853429567</v>
      </c>
      <c r="Z11" s="42">
        <f t="shared" si="3"/>
        <v>14.455305416553351</v>
      </c>
      <c r="AA11" s="41"/>
      <c r="AB11" s="89">
        <f>+FB!$I$23</f>
        <v>9.4656462613924963E-2</v>
      </c>
      <c r="AC11" s="90">
        <f>+FB!$I$24</f>
        <v>8.6471387002909794E-2</v>
      </c>
    </row>
    <row r="12" spans="1:29" s="37" customFormat="1" x14ac:dyDescent="0.3">
      <c r="B12" s="40" t="str">
        <f>+WMT!$B$6</f>
        <v>Walmart Inc.</v>
      </c>
      <c r="C12" s="38"/>
      <c r="D12" s="39">
        <f>+WMT!$E$11</f>
        <v>151.36000000000001</v>
      </c>
      <c r="E12" s="40">
        <f>+WMT!$E$19</f>
        <v>2860.306</v>
      </c>
      <c r="F12" s="41">
        <f t="shared" si="0"/>
        <v>432935.91616000002</v>
      </c>
      <c r="G12" s="41">
        <f>+WMT!$E$31</f>
        <v>54875</v>
      </c>
      <c r="H12" s="41">
        <f t="shared" si="1"/>
        <v>487810.91616000002</v>
      </c>
      <c r="I12" s="41"/>
      <c r="J12" s="41">
        <f>+WMT!$H$11</f>
        <v>551499.94087000005</v>
      </c>
      <c r="K12" s="41">
        <f>+WMT!$I$11</f>
        <v>556363.34626000002</v>
      </c>
      <c r="L12" s="41">
        <f>+WMT!$H$12</f>
        <v>34986.309990000002</v>
      </c>
      <c r="M12" s="41">
        <f>+WMT!$I$12</f>
        <v>35536.351779999997</v>
      </c>
      <c r="N12" s="41">
        <f>+WMT!$H$13</f>
        <v>19180.672409999999</v>
      </c>
      <c r="O12" s="41">
        <f>+WMT!$I$13</f>
        <v>15858.888440000001</v>
      </c>
      <c r="P12" s="41">
        <f>+WMT!$H$14</f>
        <v>29238.333330000001</v>
      </c>
      <c r="Q12" s="41">
        <f>+WMT!$I$14</f>
        <v>28180.6</v>
      </c>
      <c r="R12" s="38"/>
      <c r="S12" s="42">
        <f t="shared" si="2"/>
        <v>0.8845167152519916</v>
      </c>
      <c r="T12" s="42">
        <f t="shared" si="2"/>
        <v>0.87678478361160039</v>
      </c>
      <c r="U12" s="42">
        <f t="shared" si="2"/>
        <v>13.942908420448715</v>
      </c>
      <c r="V12" s="42">
        <f t="shared" si="2"/>
        <v>13.727096106543552</v>
      </c>
      <c r="W12" s="42">
        <f t="shared" si="3"/>
        <v>22.571467094880646</v>
      </c>
      <c r="X12" s="42">
        <f t="shared" si="3"/>
        <v>27.299259831352973</v>
      </c>
      <c r="Y12" s="42">
        <f t="shared" si="3"/>
        <v>14.807133883920326</v>
      </c>
      <c r="Z12" s="42">
        <f t="shared" si="3"/>
        <v>15.362906260335127</v>
      </c>
      <c r="AA12" s="41"/>
      <c r="AB12" s="89">
        <f>+WMT!$I$23</f>
        <v>0.79082099104040959</v>
      </c>
      <c r="AC12" s="90">
        <f>+WMT!$I$24</f>
        <v>0.44159689605881153</v>
      </c>
    </row>
    <row r="13" spans="1:29" s="37" customFormat="1" x14ac:dyDescent="0.3">
      <c r="B13" s="40" t="str">
        <f>+SNAP!$B$6</f>
        <v>Snap Inc.</v>
      </c>
      <c r="C13" s="38"/>
      <c r="D13" s="39">
        <f>+SNAP!$E$11</f>
        <v>44.29</v>
      </c>
      <c r="E13" s="40">
        <f>+SNAP!$E$19</f>
        <v>1723.2675133829571</v>
      </c>
      <c r="F13" s="41">
        <f t="shared" si="0"/>
        <v>76323.518167731163</v>
      </c>
      <c r="G13" s="41">
        <f>+SNAP!$E$31</f>
        <v>-495.97100000000012</v>
      </c>
      <c r="H13" s="41">
        <f t="shared" si="1"/>
        <v>75827.547167731158</v>
      </c>
      <c r="I13" s="41"/>
      <c r="J13" s="41">
        <f>+SNAP!$H$11</f>
        <v>3451.34647</v>
      </c>
      <c r="K13" s="41">
        <f>+SNAP!$I$11</f>
        <v>4608.85257</v>
      </c>
      <c r="L13" s="41">
        <f>+SNAP!$H$12</f>
        <v>452.11083000000002</v>
      </c>
      <c r="M13" s="41">
        <f>+SNAP!$I$12</f>
        <v>1096.5583799999999</v>
      </c>
      <c r="N13" s="41">
        <f>+SNAP!$H$13</f>
        <v>-576.85184000000004</v>
      </c>
      <c r="O13" s="41">
        <f>+SNAP!$I$13</f>
        <v>-17.055160000000001</v>
      </c>
      <c r="P13" s="41">
        <f>+SNAP!$H$14</f>
        <v>282.41818000000001</v>
      </c>
      <c r="Q13" s="41">
        <f>+SNAP!$I$14</f>
        <v>933.93636000000004</v>
      </c>
      <c r="R13" s="38"/>
      <c r="S13" s="42">
        <f t="shared" si="2"/>
        <v>21.970424536291532</v>
      </c>
      <c r="T13" s="42">
        <f t="shared" si="2"/>
        <v>16.452586845868918</v>
      </c>
      <c r="U13" s="42">
        <f t="shared" si="2"/>
        <v>167.71893557102172</v>
      </c>
      <c r="V13" s="42">
        <f t="shared" si="2"/>
        <v>69.150488064056532</v>
      </c>
      <c r="W13" s="42">
        <f t="shared" si="3"/>
        <v>-132.31043549714803</v>
      </c>
      <c r="X13" s="42">
        <f t="shared" si="3"/>
        <v>-4475.0983378479687</v>
      </c>
      <c r="Y13" s="42">
        <f t="shared" si="3"/>
        <v>270.25001778473029</v>
      </c>
      <c r="Z13" s="42">
        <f t="shared" si="3"/>
        <v>81.722397196026463</v>
      </c>
      <c r="AA13" s="41"/>
      <c r="AB13" s="89">
        <f>+SNAP!$I$23</f>
        <v>0.14921926840039273</v>
      </c>
      <c r="AC13" s="90">
        <f>+SNAP!$I$24</f>
        <v>0.12984403629787047</v>
      </c>
    </row>
    <row r="14" spans="1:29" s="37" customFormat="1" x14ac:dyDescent="0.3">
      <c r="B14" s="40" t="str">
        <f>+EBAY!$B$6</f>
        <v>eBay Inc.</v>
      </c>
      <c r="C14" s="38"/>
      <c r="D14" s="39">
        <f>+EBAY!$E$11</f>
        <v>50.53</v>
      </c>
      <c r="E14" s="40">
        <f>+EBAY!$E$19</f>
        <v>716</v>
      </c>
      <c r="F14" s="41">
        <f t="shared" si="0"/>
        <v>36179.480000000003</v>
      </c>
      <c r="G14" s="41">
        <f>+EBAY!$E$31</f>
        <v>7175</v>
      </c>
      <c r="H14" s="41">
        <f t="shared" si="1"/>
        <v>43354.48</v>
      </c>
      <c r="I14" s="41"/>
      <c r="J14" s="41">
        <f>+EBAY!$H$11</f>
        <v>10919.145409999999</v>
      </c>
      <c r="K14" s="41">
        <f>+EBAY!$I$11</f>
        <v>11787.213809999999</v>
      </c>
      <c r="L14" s="41">
        <f>+EBAY!$H$12</f>
        <v>3962.1239999999998</v>
      </c>
      <c r="M14" s="41">
        <f>+EBAY!$I$12</f>
        <v>4394.7444999999998</v>
      </c>
      <c r="N14" s="41">
        <f>+EBAY!$H$13</f>
        <v>2073.2998899999998</v>
      </c>
      <c r="O14" s="41">
        <f>+EBAY!$I$13</f>
        <v>2309.6981500000002</v>
      </c>
      <c r="P14" s="41">
        <f>+EBAY!$H$14</f>
        <v>3375.0111099999999</v>
      </c>
      <c r="Q14" s="41">
        <f>+EBAY!$I$14</f>
        <v>3614.4166700000001</v>
      </c>
      <c r="R14" s="38"/>
      <c r="S14" s="42">
        <f t="shared" si="2"/>
        <v>3.970501204269612</v>
      </c>
      <c r="T14" s="42">
        <f t="shared" si="2"/>
        <v>3.6780939668048664</v>
      </c>
      <c r="U14" s="42">
        <f t="shared" si="2"/>
        <v>10.942231994758368</v>
      </c>
      <c r="V14" s="42">
        <f t="shared" si="2"/>
        <v>9.8650740674457875</v>
      </c>
      <c r="W14" s="42">
        <f t="shared" si="3"/>
        <v>17.450191443361341</v>
      </c>
      <c r="X14" s="42">
        <f t="shared" si="3"/>
        <v>15.66415940541841</v>
      </c>
      <c r="Y14" s="42">
        <f t="shared" si="3"/>
        <v>10.719810637897428</v>
      </c>
      <c r="Z14" s="42">
        <f t="shared" si="3"/>
        <v>10.00977012426185</v>
      </c>
      <c r="AA14" s="41"/>
      <c r="AB14" s="89">
        <f>+EBAY!$I$23</f>
        <v>2.786986301369863</v>
      </c>
      <c r="AC14" s="90">
        <f>+EBAY!$I$24</f>
        <v>0.73593778260083198</v>
      </c>
    </row>
    <row r="15" spans="1:29" s="37" customFormat="1" x14ac:dyDescent="0.3">
      <c r="B15" s="40" t="str">
        <f>+TWTR!$B$6</f>
        <v>Twitter, Inc.</v>
      </c>
      <c r="C15" s="38"/>
      <c r="D15" s="39">
        <f>+TWTR!$E$11</f>
        <v>45.23</v>
      </c>
      <c r="E15" s="40">
        <f>+TWTR!$E$19</f>
        <v>861.39047685324545</v>
      </c>
      <c r="F15" s="41">
        <f t="shared" si="0"/>
        <v>38960.691268072289</v>
      </c>
      <c r="G15" s="41">
        <f>+TWTR!$E$31</f>
        <v>1487.2640000000001</v>
      </c>
      <c r="H15" s="41">
        <f t="shared" si="1"/>
        <v>40447.955268072292</v>
      </c>
      <c r="I15" s="41"/>
      <c r="J15" s="41">
        <f>+TWTR!$H$11</f>
        <v>4389.3746000000001</v>
      </c>
      <c r="K15" s="41">
        <f>+TWTR!$I$11</f>
        <v>5104.0523000000003</v>
      </c>
      <c r="L15" s="41">
        <f>+TWTR!$H$12</f>
        <v>1341.2615800000001</v>
      </c>
      <c r="M15" s="41">
        <f>+TWTR!$I$12</f>
        <v>1656.81483</v>
      </c>
      <c r="N15" s="41">
        <f>+TWTR!$H$13</f>
        <v>216.45393999999999</v>
      </c>
      <c r="O15" s="41">
        <f>+TWTR!$I$13</f>
        <v>353.57278000000002</v>
      </c>
      <c r="P15" s="41">
        <f>+TWTR!$H$14</f>
        <v>1266.0007499999999</v>
      </c>
      <c r="Q15" s="41">
        <f>+TWTR!$I$14</f>
        <v>1597.88318</v>
      </c>
      <c r="R15" s="38"/>
      <c r="S15" s="42">
        <f t="shared" si="2"/>
        <v>9.2149700023489203</v>
      </c>
      <c r="T15" s="42">
        <f t="shared" si="2"/>
        <v>7.924674923113991</v>
      </c>
      <c r="U15" s="42">
        <f t="shared" si="2"/>
        <v>30.15664943453632</v>
      </c>
      <c r="V15" s="42">
        <f t="shared" si="2"/>
        <v>24.413081374985211</v>
      </c>
      <c r="W15" s="42">
        <f t="shared" si="3"/>
        <v>179.9952972353947</v>
      </c>
      <c r="X15" s="42">
        <f t="shared" si="3"/>
        <v>110.19143291537399</v>
      </c>
      <c r="Y15" s="42">
        <f t="shared" si="3"/>
        <v>30.774619421096151</v>
      </c>
      <c r="Z15" s="42">
        <f t="shared" si="3"/>
        <v>24.382690647054865</v>
      </c>
      <c r="AA15" s="41"/>
      <c r="AB15" s="89">
        <f>+TWTR!$I$23</f>
        <v>0.47213203435496376</v>
      </c>
      <c r="AC15" s="90">
        <f>+TWTR!$I$24</f>
        <v>0.32071310408093617</v>
      </c>
    </row>
    <row r="16" spans="1:29" s="37" customFormat="1" x14ac:dyDescent="0.3">
      <c r="B16" s="40" t="str">
        <f>+EXPE!$B$6</f>
        <v>Expedia Group, Inc.</v>
      </c>
      <c r="C16" s="38"/>
      <c r="D16" s="39">
        <f>+EXPE!$E$11</f>
        <v>125.05</v>
      </c>
      <c r="E16" s="40">
        <f>+EXPE!$E$19</f>
        <v>151.4388919032387</v>
      </c>
      <c r="F16" s="41">
        <f t="shared" si="0"/>
        <v>18937.433432499998</v>
      </c>
      <c r="G16" s="41">
        <f>+EXPE!$E$31</f>
        <v>4995</v>
      </c>
      <c r="H16" s="41">
        <f t="shared" si="1"/>
        <v>23932.433432499998</v>
      </c>
      <c r="I16" s="41"/>
      <c r="J16" s="41">
        <f>+EXPE!$H$11</f>
        <v>7787.8850300000004</v>
      </c>
      <c r="K16" s="41">
        <f>+EXPE!$I$11</f>
        <v>10420.944890000001</v>
      </c>
      <c r="L16" s="41">
        <f>+EXPE!$H$12</f>
        <v>1269.8462999999999</v>
      </c>
      <c r="M16" s="41">
        <f>+EXPE!$I$12</f>
        <v>2290.34458</v>
      </c>
      <c r="N16" s="41">
        <f>+EXPE!$H$13</f>
        <v>-200.13301000000001</v>
      </c>
      <c r="O16" s="41">
        <f>+EXPE!$I$13</f>
        <v>588.11049000000003</v>
      </c>
      <c r="P16" s="41">
        <f>+EXPE!$H$14</f>
        <v>3006.54286</v>
      </c>
      <c r="Q16" s="41">
        <f>+EXPE!$I$14</f>
        <v>2792.0866700000001</v>
      </c>
      <c r="R16" s="38"/>
      <c r="S16" s="42">
        <f t="shared" si="2"/>
        <v>3.0730337364135432</v>
      </c>
      <c r="T16" s="42">
        <f t="shared" si="2"/>
        <v>2.2965703863826881</v>
      </c>
      <c r="U16" s="42">
        <f t="shared" si="2"/>
        <v>18.846716671537333</v>
      </c>
      <c r="V16" s="42">
        <f t="shared" si="2"/>
        <v>10.449271974830966</v>
      </c>
      <c r="W16" s="42">
        <f t="shared" si="3"/>
        <v>-94.624237313474652</v>
      </c>
      <c r="X16" s="42">
        <f t="shared" si="3"/>
        <v>32.200468712095237</v>
      </c>
      <c r="Y16" s="42">
        <f t="shared" si="3"/>
        <v>6.2987405516314503</v>
      </c>
      <c r="Z16" s="42">
        <f t="shared" si="3"/>
        <v>6.782537818749014</v>
      </c>
      <c r="AA16" s="41"/>
      <c r="AB16" s="89">
        <f>+EXPE!$I$23</f>
        <v>2.2612481857764877</v>
      </c>
      <c r="AC16" s="90">
        <f>+EXPE!$I$24</f>
        <v>0.69336893635959052</v>
      </c>
    </row>
    <row r="17" spans="2:29" x14ac:dyDescent="0.3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AA17" s="43"/>
    </row>
    <row r="18" spans="2:29" x14ac:dyDescent="0.3">
      <c r="B18" s="44" t="s">
        <v>17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>
        <f>AVERAGE(S9:S16)</f>
        <v>7.0670319058267319</v>
      </c>
      <c r="T18" s="45">
        <f t="shared" ref="T18:Z18" si="4">AVERAGE(T9:T16)</f>
        <v>5.7464437260423384</v>
      </c>
      <c r="U18" s="45">
        <f t="shared" si="4"/>
        <v>37.257600176432113</v>
      </c>
      <c r="V18" s="45">
        <f t="shared" si="4"/>
        <v>21.747318606455483</v>
      </c>
      <c r="W18" s="45">
        <f t="shared" si="4"/>
        <v>14.757113384654588</v>
      </c>
      <c r="X18" s="45">
        <f t="shared" si="4"/>
        <v>-524.29644338165758</v>
      </c>
      <c r="Y18" s="45">
        <f t="shared" si="4"/>
        <v>48.784711172521909</v>
      </c>
      <c r="Z18" s="45">
        <f t="shared" si="4"/>
        <v>23.255020997867245</v>
      </c>
      <c r="AA18" s="44"/>
      <c r="AB18" s="45">
        <f t="shared" ref="AB18:AC18" si="5">AVERAGE(AB9:AB16)</f>
        <v>0.9817526675727255</v>
      </c>
      <c r="AC18" s="108">
        <f t="shared" si="5"/>
        <v>0.38269455750477654</v>
      </c>
    </row>
    <row r="19" spans="2:29" x14ac:dyDescent="0.3">
      <c r="B19" s="44" t="s">
        <v>18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5">
        <f>MEDIAN(S9:S16)</f>
        <v>4.8854815037264832</v>
      </c>
      <c r="T19" s="45">
        <f t="shared" ref="T19:Z19" si="6">MEDIAN(T9:T16)</f>
        <v>4.3317918575640224</v>
      </c>
      <c r="U19" s="45">
        <f t="shared" si="6"/>
        <v>17.537141052665838</v>
      </c>
      <c r="V19" s="45">
        <f t="shared" si="6"/>
        <v>13.909506478532501</v>
      </c>
      <c r="W19" s="45">
        <f t="shared" si="6"/>
        <v>24.869711996120703</v>
      </c>
      <c r="X19" s="45">
        <f t="shared" si="6"/>
        <v>26.321089915317735</v>
      </c>
      <c r="Y19" s="45">
        <f t="shared" si="6"/>
        <v>17.139046432869215</v>
      </c>
      <c r="Z19" s="45">
        <f t="shared" si="6"/>
        <v>15.070019874945583</v>
      </c>
      <c r="AA19" s="44"/>
      <c r="AB19" s="45">
        <f t="shared" ref="AB19:AC19" si="7">MEDIAN(AB9:AB16)</f>
        <v>0.63147651269768668</v>
      </c>
      <c r="AC19" s="108">
        <f t="shared" si="7"/>
        <v>0.38115500006987385</v>
      </c>
    </row>
    <row r="21" spans="2:29" x14ac:dyDescent="0.3">
      <c r="D21" s="46"/>
      <c r="E21" s="47"/>
      <c r="F21" s="48"/>
      <c r="G21" s="49"/>
      <c r="H21" s="48"/>
      <c r="I21" s="48"/>
      <c r="J21" s="49"/>
      <c r="K21" s="49"/>
      <c r="L21" s="49"/>
      <c r="M21" s="49"/>
      <c r="N21" s="49"/>
      <c r="O21" s="49"/>
      <c r="P21" s="49"/>
      <c r="Q21" s="49"/>
      <c r="R21" s="43"/>
      <c r="S21" s="50"/>
      <c r="T21" s="50"/>
      <c r="U21" s="50"/>
      <c r="V21" s="50"/>
      <c r="W21" s="50"/>
      <c r="X21" s="50"/>
      <c r="AA21" s="48"/>
    </row>
    <row r="22" spans="2:29" x14ac:dyDescent="0.3">
      <c r="B22" s="2" t="s">
        <v>22</v>
      </c>
    </row>
    <row r="23" spans="2:29" x14ac:dyDescent="0.3">
      <c r="B23" s="2" t="s">
        <v>98</v>
      </c>
    </row>
    <row r="24" spans="2:29" x14ac:dyDescent="0.3">
      <c r="B24" s="2" t="s">
        <v>81</v>
      </c>
      <c r="D24" s="51"/>
      <c r="E24" s="40"/>
      <c r="F24" s="41"/>
      <c r="G24" s="41"/>
      <c r="H24" s="52"/>
      <c r="I24" s="37"/>
      <c r="J24" s="37"/>
      <c r="K24" s="37"/>
      <c r="L24" s="37"/>
      <c r="M24" s="37"/>
      <c r="AA24" s="37"/>
    </row>
    <row r="25" spans="2:29" x14ac:dyDescent="0.3">
      <c r="B25" s="2" t="s">
        <v>37</v>
      </c>
      <c r="D25" s="51"/>
      <c r="E25" s="40"/>
      <c r="F25" s="41"/>
      <c r="G25" s="41"/>
      <c r="H25" s="52"/>
      <c r="I25" s="37"/>
      <c r="J25" s="37"/>
      <c r="K25" s="37"/>
      <c r="L25" s="37"/>
      <c r="M25" s="37"/>
      <c r="AA25" s="37"/>
    </row>
    <row r="26" spans="2:29" x14ac:dyDescent="0.3">
      <c r="B26" s="2" t="s">
        <v>45</v>
      </c>
      <c r="D26" s="51"/>
      <c r="E26" s="40"/>
      <c r="F26" s="52"/>
      <c r="G26" s="41"/>
      <c r="H26" s="52"/>
      <c r="I26" s="37"/>
      <c r="J26" s="37"/>
      <c r="K26" s="37"/>
      <c r="L26" s="37"/>
      <c r="M26" s="37"/>
      <c r="AA26" s="37"/>
    </row>
  </sheetData>
  <sortState xmlns:xlrd2="http://schemas.microsoft.com/office/spreadsheetml/2017/richdata2" ref="A9:AC16">
    <sortCondition descending="1" ref="H9:H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E92E-B4B5-40E3-8A03-BBB71AA5A9F1}">
  <dimension ref="A1:Z79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_xll.ciqfunctions.udf.CIQ($E$10, "IQ_COMPANY_NAME")</f>
        <v>Amazon.com,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tr">
        <f>_xll.ciqfunctions.udf.CIQ($E$10, "IQ_COMPANY_NAME")</f>
        <v>Amazon.com, Inc.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27</v>
      </c>
      <c r="C8" s="62"/>
      <c r="D8" s="62"/>
      <c r="E8" s="62"/>
      <c r="G8" s="62" t="s">
        <v>47</v>
      </c>
      <c r="H8" s="63"/>
      <c r="I8" s="63"/>
    </row>
    <row r="9" spans="1:9" ht="5.25" customHeight="1" x14ac:dyDescent="0.3"/>
    <row r="10" spans="1:9" ht="17" x14ac:dyDescent="0.6">
      <c r="B10" s="19" t="s">
        <v>38</v>
      </c>
      <c r="E10" s="65" t="str">
        <f>_xll.ciqfunctions.udf.CIQ("NasdaqGS:AMZN", "IQ_COMPANY_TICKER")</f>
        <v>NasdaqGS:AMZN</v>
      </c>
      <c r="G10" s="57" t="s">
        <v>44</v>
      </c>
      <c r="H10" s="31" t="s">
        <v>29</v>
      </c>
      <c r="I10" s="31" t="s">
        <v>30</v>
      </c>
    </row>
    <row r="11" spans="1:9" x14ac:dyDescent="0.3">
      <c r="B11" s="19" t="s">
        <v>77</v>
      </c>
      <c r="E11" s="66">
        <f>_xll.ciqfunctions.udf.CIQ(E10, "IQ_LASTSALEPRICE", E12)</f>
        <v>3118.06</v>
      </c>
      <c r="G11" s="19" t="s">
        <v>28</v>
      </c>
      <c r="H11" s="70">
        <f>_xll.ciqfunctions.udf.CIQ($E$10, "IQ_REVENUE_EST", "FY2021", $E$12)</f>
        <v>449073.07478000002</v>
      </c>
      <c r="I11" s="70">
        <f>_xll.ciqfunctions.udf.CIQ($E$10, "IQ_REVENUE_EST", "FY2022", $E$12)</f>
        <v>526690.18513999996</v>
      </c>
    </row>
    <row r="12" spans="1:9" x14ac:dyDescent="0.3">
      <c r="B12" s="19" t="s">
        <v>39</v>
      </c>
      <c r="E12" s="106">
        <v>44159</v>
      </c>
      <c r="G12" s="19" t="s">
        <v>12</v>
      </c>
      <c r="H12" s="70">
        <f>_xll.ciqfunctions.udf.CIQ($E$10, "IQ_EBITDA_EST", "FY2021", $E$12)</f>
        <v>69169.429690000004</v>
      </c>
      <c r="I12" s="70">
        <f>_xll.ciqfunctions.udf.CIQ($E$10, "IQ_EBITDA_EST", "FY2022", $E$12)</f>
        <v>85991.217669999998</v>
      </c>
    </row>
    <row r="13" spans="1:9" x14ac:dyDescent="0.3">
      <c r="E13" s="67"/>
      <c r="G13" s="19" t="s">
        <v>13</v>
      </c>
      <c r="H13" s="70">
        <f>_xll.ciqfunctions.udf.CIQ($E$10, "IQ_NI_REPORTED_EST", "FY2021", $E$12)</f>
        <v>23687.62614</v>
      </c>
      <c r="I13" s="70">
        <f>_xll.ciqfunctions.udf.CIQ($E$10, "IQ_NI_REPORTED_EST", "FY2022", $E$12)</f>
        <v>33645.065179999998</v>
      </c>
    </row>
    <row r="14" spans="1:9" x14ac:dyDescent="0.3">
      <c r="B14" s="58" t="s">
        <v>40</v>
      </c>
      <c r="E14" s="67"/>
      <c r="G14" s="19" t="s">
        <v>31</v>
      </c>
      <c r="H14" s="70">
        <f>_xll.ciqfunctions.udf.CIQ($E$10, "IQ_CASH_OPER_EST", "FY2021", $E$12)</f>
        <v>69825.182750000007</v>
      </c>
      <c r="I14" s="70">
        <f>_xll.ciqfunctions.udf.CIQ($E$10, "IQ_CASH_OPER_EST", "FY2022", $E$12)</f>
        <v>87149.678570000004</v>
      </c>
    </row>
    <row r="15" spans="1:9" x14ac:dyDescent="0.3">
      <c r="B15" s="19" t="s">
        <v>78</v>
      </c>
      <c r="E15" s="107">
        <f>_xll.ciqfunctions.udf.CIQ(E10, "IQ_TOTAL_OUTSTANDING_BS_DATE", , E12)</f>
        <v>502</v>
      </c>
      <c r="H15" s="67"/>
      <c r="I15" s="67"/>
    </row>
    <row r="16" spans="1:9" ht="16.5" customHeight="1" x14ac:dyDescent="0.3">
      <c r="B16" s="93" t="s">
        <v>88</v>
      </c>
      <c r="C16" s="93"/>
      <c r="D16" s="93"/>
      <c r="E16" s="98">
        <f>+E64</f>
        <v>16.399999999999999</v>
      </c>
      <c r="H16" s="67"/>
      <c r="I16" s="67"/>
    </row>
    <row r="17" spans="2:9" ht="16.5" customHeight="1" x14ac:dyDescent="0.3">
      <c r="B17" s="93" t="s">
        <v>79</v>
      </c>
      <c r="C17" s="93"/>
      <c r="D17" s="93"/>
      <c r="E17" s="98">
        <f>+F51</f>
        <v>0</v>
      </c>
      <c r="G17" s="94" t="s">
        <v>46</v>
      </c>
      <c r="H17" s="100" t="s">
        <v>29</v>
      </c>
      <c r="I17" s="100" t="s">
        <v>30</v>
      </c>
    </row>
    <row r="18" spans="2:9" ht="16.5" customHeight="1" x14ac:dyDescent="0.3">
      <c r="B18" s="97" t="s">
        <v>80</v>
      </c>
      <c r="C18" s="97"/>
      <c r="D18" s="97"/>
      <c r="E18" s="99">
        <f>+E76</f>
        <v>0</v>
      </c>
      <c r="G18" s="19" t="s">
        <v>28</v>
      </c>
      <c r="H18" s="73">
        <f>IFERROR($E$32/H11,"-")</f>
        <v>3.748357224099081</v>
      </c>
      <c r="I18" s="73">
        <f>IFERROR($E$32/I11,"-")</f>
        <v>3.1959705183277038</v>
      </c>
    </row>
    <row r="19" spans="2:9" x14ac:dyDescent="0.3">
      <c r="B19" s="93" t="s">
        <v>87</v>
      </c>
      <c r="E19" s="102">
        <f>SUM(E15:E18)</f>
        <v>518.4</v>
      </c>
      <c r="G19" s="19" t="s">
        <v>12</v>
      </c>
      <c r="H19" s="73">
        <f>IFERROR($E$32/H12,"-")</f>
        <v>24.335697309404836</v>
      </c>
      <c r="I19" s="73">
        <f>IFERROR($E$32/I12,"-")</f>
        <v>19.575095569175232</v>
      </c>
    </row>
    <row r="20" spans="2:9" x14ac:dyDescent="0.3">
      <c r="E20" s="67"/>
      <c r="G20" s="19" t="s">
        <v>13</v>
      </c>
      <c r="H20" s="73">
        <f>IFERROR($E$21/H13,"-")</f>
        <v>68.238256313513403</v>
      </c>
      <c r="I20" s="73">
        <f>IFERROR($E$21/I13,"-")</f>
        <v>48.042775228768335</v>
      </c>
    </row>
    <row r="21" spans="2:9" x14ac:dyDescent="0.3">
      <c r="B21" s="20" t="s">
        <v>41</v>
      </c>
      <c r="C21" s="20"/>
      <c r="D21" s="20"/>
      <c r="E21" s="83">
        <f>+E11*E19</f>
        <v>1616402.304</v>
      </c>
      <c r="G21" s="19" t="s">
        <v>31</v>
      </c>
      <c r="H21" s="73">
        <f>IFERROR($E$21/H14,"-")</f>
        <v>23.149274235161236</v>
      </c>
      <c r="I21" s="73">
        <f>IFERROR($E$21/I14,"-")</f>
        <v>18.547427030401266</v>
      </c>
    </row>
    <row r="22" spans="2:9" x14ac:dyDescent="0.3">
      <c r="E22" s="67"/>
      <c r="H22" s="67"/>
      <c r="I22" s="67"/>
    </row>
    <row r="23" spans="2:9" x14ac:dyDescent="0.3">
      <c r="B23" s="19" t="s">
        <v>82</v>
      </c>
      <c r="E23" s="70">
        <f>_xll.ciqfunctions.udf.CIQ(E10, "IQ_CASH_EQUIV", , E12)</f>
        <v>29930</v>
      </c>
      <c r="G23" s="19" t="s">
        <v>49</v>
      </c>
      <c r="H23" s="67"/>
      <c r="I23" s="73">
        <f>IFERROR(E29/E34,"-")</f>
        <v>1.1696043491392329</v>
      </c>
    </row>
    <row r="24" spans="2:9" x14ac:dyDescent="0.3">
      <c r="E24" s="67"/>
      <c r="G24" s="19" t="s">
        <v>83</v>
      </c>
      <c r="H24" s="67"/>
      <c r="I24" s="74">
        <f>IFERROR(E29/(E29+E34),"-")</f>
        <v>0.53908646966128215</v>
      </c>
    </row>
    <row r="25" spans="2:9" x14ac:dyDescent="0.3">
      <c r="B25" s="19" t="s">
        <v>99</v>
      </c>
      <c r="E25" s="103">
        <f>_xll.ciqfunctions.udf.CIQ(E10, "IQ_TOTAL_DEBT", , E12)</f>
        <v>96814</v>
      </c>
      <c r="G25" s="19" t="s">
        <v>84</v>
      </c>
      <c r="I25" s="74">
        <f>IFERROR(E29/(E29+E21),"-")</f>
        <v>5.6510085605629395E-2</v>
      </c>
    </row>
    <row r="26" spans="2:9" x14ac:dyDescent="0.3">
      <c r="B26" s="19" t="s">
        <v>102</v>
      </c>
      <c r="E26" s="103">
        <f>_xll.ciqfunctions.udf.CIQ(E10, "IQ_CONVERT", , E12, , , "USD")</f>
        <v>0</v>
      </c>
      <c r="I26" s="74"/>
    </row>
    <row r="27" spans="2:9" x14ac:dyDescent="0.3">
      <c r="B27" s="19" t="s">
        <v>101</v>
      </c>
      <c r="E27" s="84">
        <f>+E25-E26</f>
        <v>96814</v>
      </c>
    </row>
    <row r="28" spans="2:9" x14ac:dyDescent="0.3">
      <c r="B28" s="59" t="s">
        <v>103</v>
      </c>
      <c r="C28" s="59"/>
      <c r="D28" s="59"/>
      <c r="E28" s="71">
        <f>+E79</f>
        <v>0</v>
      </c>
    </row>
    <row r="29" spans="2:9" x14ac:dyDescent="0.3">
      <c r="B29" s="20" t="s">
        <v>100</v>
      </c>
      <c r="C29" s="20"/>
      <c r="D29" s="20"/>
      <c r="E29" s="105">
        <f>+E27+E28</f>
        <v>96814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11</v>
      </c>
      <c r="E31" s="84">
        <f>+E29-E23</f>
        <v>66884</v>
      </c>
    </row>
    <row r="32" spans="2:9" x14ac:dyDescent="0.3">
      <c r="B32" s="20" t="s">
        <v>43</v>
      </c>
      <c r="C32" s="20"/>
      <c r="D32" s="20"/>
      <c r="E32" s="83">
        <f>+E21+E31</f>
        <v>1683286.304</v>
      </c>
    </row>
    <row r="33" spans="2:26" x14ac:dyDescent="0.3">
      <c r="E33" s="67"/>
    </row>
    <row r="34" spans="2:26" x14ac:dyDescent="0.3">
      <c r="B34" s="19" t="s">
        <v>48</v>
      </c>
      <c r="E34" s="70">
        <f>_xll.ciqfunctions.udf.CIQ(E10, "IQ_TOTAL_EQUITY", , E12)</f>
        <v>82775</v>
      </c>
    </row>
    <row r="36" spans="2:26" x14ac:dyDescent="0.3">
      <c r="B36" s="62" t="s">
        <v>50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53</v>
      </c>
      <c r="D38" s="60" t="s">
        <v>52</v>
      </c>
      <c r="E38" s="60" t="s">
        <v>53</v>
      </c>
      <c r="F38" s="60"/>
    </row>
    <row r="39" spans="2:26" ht="17" x14ac:dyDescent="0.6">
      <c r="B39" s="29" t="s">
        <v>51</v>
      </c>
      <c r="C39" s="31" t="s">
        <v>55</v>
      </c>
      <c r="D39" s="31" t="s">
        <v>9</v>
      </c>
      <c r="E39" s="31" t="s">
        <v>104</v>
      </c>
      <c r="F39" s="31" t="s">
        <v>54</v>
      </c>
    </row>
    <row r="40" spans="2:26" s="85" customFormat="1" ht="10.5" x14ac:dyDescent="0.25">
      <c r="C40" s="85" t="s">
        <v>24</v>
      </c>
      <c r="D40" s="86" t="s">
        <v>19</v>
      </c>
      <c r="E40" s="85" t="s">
        <v>24</v>
      </c>
      <c r="F40" s="86" t="s">
        <v>23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/>
      <c r="C41" s="68"/>
      <c r="D41" s="66"/>
      <c r="E41" s="64">
        <f>+IF(D41&lt;$E$11,C41,0)</f>
        <v>0</v>
      </c>
      <c r="F41" s="75">
        <f>+D41*E41</f>
        <v>0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56</v>
      </c>
      <c r="C47" s="72"/>
      <c r="D47" s="72"/>
      <c r="E47" s="77">
        <f>SUM(E41:E46)</f>
        <v>0</v>
      </c>
      <c r="F47" s="78">
        <f>SUM(F41:F46)</f>
        <v>0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57</v>
      </c>
      <c r="C49" s="67"/>
      <c r="D49" s="67"/>
      <c r="E49" s="67"/>
      <c r="F49" s="64">
        <f>+E47</f>
        <v>0</v>
      </c>
    </row>
    <row r="50" spans="2:6" x14ac:dyDescent="0.3">
      <c r="B50" s="19" t="s">
        <v>58</v>
      </c>
      <c r="C50" s="67"/>
      <c r="D50" s="67"/>
      <c r="E50" s="67"/>
      <c r="F50" s="64">
        <f>IF(ISERR($F47/E11),"-",$F47/E11)</f>
        <v>0</v>
      </c>
    </row>
    <row r="51" spans="2:6" x14ac:dyDescent="0.3">
      <c r="B51" s="19" t="s">
        <v>85</v>
      </c>
      <c r="C51" s="67"/>
      <c r="D51" s="67"/>
      <c r="E51" s="67"/>
      <c r="F51" s="64">
        <f>+IF(ISERR(F49-F50),"-",F49-F50)</f>
        <v>0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86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89</v>
      </c>
      <c r="F55" s="64"/>
    </row>
    <row r="56" spans="2:6" x14ac:dyDescent="0.3">
      <c r="B56" s="92"/>
      <c r="D56" s="67"/>
      <c r="E56" s="60" t="s">
        <v>53</v>
      </c>
      <c r="F56" s="64"/>
    </row>
    <row r="57" spans="2:6" ht="17" x14ac:dyDescent="0.6">
      <c r="B57" s="29" t="s">
        <v>51</v>
      </c>
      <c r="C57" s="29" t="s">
        <v>90</v>
      </c>
      <c r="D57" s="29" t="s">
        <v>90</v>
      </c>
      <c r="E57" s="31" t="s">
        <v>55</v>
      </c>
      <c r="F57" s="64"/>
    </row>
    <row r="58" spans="2:6" x14ac:dyDescent="0.3">
      <c r="E58" s="85" t="s">
        <v>24</v>
      </c>
      <c r="F58" s="64"/>
    </row>
    <row r="59" spans="2:6" x14ac:dyDescent="0.3">
      <c r="B59" s="56" t="s">
        <v>109</v>
      </c>
      <c r="C59" s="68"/>
      <c r="D59" s="56"/>
      <c r="E59" s="68">
        <v>16.399999999999999</v>
      </c>
      <c r="F59" s="64"/>
    </row>
    <row r="60" spans="2:6" x14ac:dyDescent="0.3">
      <c r="B60" s="56"/>
      <c r="C60" s="56"/>
      <c r="D60" s="56"/>
      <c r="E60" s="56"/>
      <c r="F60" s="64"/>
    </row>
    <row r="61" spans="2:6" x14ac:dyDescent="0.3">
      <c r="B61" s="56"/>
      <c r="C61" s="56"/>
      <c r="D61" s="56"/>
      <c r="E61" s="56"/>
      <c r="F61" s="64"/>
    </row>
    <row r="62" spans="2:6" x14ac:dyDescent="0.3">
      <c r="B62" s="56"/>
      <c r="C62" s="56"/>
      <c r="D62" s="56"/>
      <c r="E62" s="56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56</v>
      </c>
      <c r="D64" s="67"/>
      <c r="E64" s="101">
        <f>SUM(E59:E63)</f>
        <v>16.399999999999999</v>
      </c>
      <c r="F64" s="64"/>
    </row>
    <row r="66" spans="2:5" x14ac:dyDescent="0.3">
      <c r="B66" s="62" t="s">
        <v>42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60</v>
      </c>
      <c r="D68" s="60" t="s">
        <v>61</v>
      </c>
      <c r="E68" s="60" t="s">
        <v>10</v>
      </c>
    </row>
    <row r="69" spans="2:5" ht="17" x14ac:dyDescent="0.6">
      <c r="B69" s="29" t="s">
        <v>59</v>
      </c>
      <c r="C69" s="31" t="s">
        <v>26</v>
      </c>
      <c r="D69" s="31" t="s">
        <v>9</v>
      </c>
      <c r="E69" s="31" t="s">
        <v>62</v>
      </c>
    </row>
    <row r="70" spans="2:5" x14ac:dyDescent="0.3">
      <c r="C70" s="85" t="s">
        <v>24</v>
      </c>
      <c r="D70" s="86" t="s">
        <v>19</v>
      </c>
      <c r="E70" s="85" t="s">
        <v>24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56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63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64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39B0-A73C-4B0B-9DB4-6B6DEE386174}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_xll.ciqfunctions.udf.CIQ($E$10, "IQ_COMPANY_NAME")</f>
        <v>Alphabet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tr">
        <f>_xll.ciqfunctions.udf.CIQ($E$10, "IQ_COMPANY_NAME")</f>
        <v>Alphabet Inc.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27</v>
      </c>
      <c r="C8" s="62"/>
      <c r="D8" s="62"/>
      <c r="E8" s="62"/>
      <c r="G8" s="62" t="s">
        <v>47</v>
      </c>
      <c r="H8" s="63"/>
      <c r="I8" s="63"/>
    </row>
    <row r="9" spans="1:9" ht="5.25" customHeight="1" x14ac:dyDescent="0.3"/>
    <row r="10" spans="1:9" ht="17" x14ac:dyDescent="0.6">
      <c r="B10" s="19" t="s">
        <v>38</v>
      </c>
      <c r="E10" s="65" t="str">
        <f>_xll.ciqfunctions.udf.CIQ("NasdaqGS:GOOG.L", "IQ_COMPANY_TICKER")</f>
        <v>NasdaqGS:GOOG.L</v>
      </c>
      <c r="G10" s="57" t="s">
        <v>44</v>
      </c>
      <c r="H10" s="31" t="s">
        <v>29</v>
      </c>
      <c r="I10" s="31" t="s">
        <v>30</v>
      </c>
    </row>
    <row r="11" spans="1:9" x14ac:dyDescent="0.3">
      <c r="B11" s="19" t="s">
        <v>77</v>
      </c>
      <c r="E11" s="66">
        <f>_xll.ciqfunctions.udf.CIQ(E10, "IQ_LASTSALEPRICE", E12)</f>
        <v>1763.9</v>
      </c>
      <c r="G11" s="19" t="s">
        <v>28</v>
      </c>
      <c r="H11" s="70">
        <f>_xll.ciqfunctions.udf.CIQ($E$10, "IQ_REVENUE_EST", "FY2021", $E$12)</f>
        <v>213952.19751999999</v>
      </c>
      <c r="I11" s="70">
        <f>_xll.ciqfunctions.udf.CIQ($E$10, "IQ_REVENUE_EST", "FY2022", $E$12)</f>
        <v>248926.70772000001</v>
      </c>
    </row>
    <row r="12" spans="1:9" x14ac:dyDescent="0.3">
      <c r="B12" s="19" t="s">
        <v>39</v>
      </c>
      <c r="E12" s="106">
        <v>44159</v>
      </c>
      <c r="G12" s="19" t="s">
        <v>12</v>
      </c>
      <c r="H12" s="70">
        <f>_xll.ciqfunctions.udf.CIQ($E$10, "IQ_EBITDA_EST", "FY2021", $E$12)</f>
        <v>76476.138980000003</v>
      </c>
      <c r="I12" s="70">
        <f>_xll.ciqfunctions.udf.CIQ($E$10, "IQ_EBITDA_EST", "FY2022", $E$12)</f>
        <v>88066.198699999994</v>
      </c>
    </row>
    <row r="13" spans="1:9" x14ac:dyDescent="0.3">
      <c r="E13" s="67"/>
      <c r="G13" s="19" t="s">
        <v>13</v>
      </c>
      <c r="H13" s="70">
        <f>_xll.ciqfunctions.udf.CIQ($E$10, "IQ_NI_REPORTED_EST", "FY2021", $E$12)</f>
        <v>41720.488579999997</v>
      </c>
      <c r="I13" s="70">
        <f>_xll.ciqfunctions.udf.CIQ($E$10, "IQ_NI_REPORTED_EST", "FY2022", $E$12)</f>
        <v>48676.654049999997</v>
      </c>
    </row>
    <row r="14" spans="1:9" x14ac:dyDescent="0.3">
      <c r="B14" s="58" t="s">
        <v>40</v>
      </c>
      <c r="E14" s="67"/>
      <c r="G14" s="19" t="s">
        <v>31</v>
      </c>
      <c r="H14" s="70">
        <f>_xll.ciqfunctions.udf.CIQ($E$10, "IQ_CASH_OPER_EST", "FY2021", $E$12)</f>
        <v>71618.837419999996</v>
      </c>
      <c r="I14" s="70">
        <f>_xll.ciqfunctions.udf.CIQ($E$10, "IQ_CASH_OPER_EST", "FY2022", $E$12)</f>
        <v>83480.909899999999</v>
      </c>
    </row>
    <row r="15" spans="1:9" x14ac:dyDescent="0.3">
      <c r="B15" s="19" t="s">
        <v>78</v>
      </c>
      <c r="E15" s="107">
        <f>_xll.ciqfunctions.udf.CIQ(E10, "IQ_TOTAL_OUTSTANDING_BS_DATE", , E12)</f>
        <v>677.72400000000005</v>
      </c>
      <c r="H15" s="67"/>
      <c r="I15" s="67"/>
    </row>
    <row r="16" spans="1:9" ht="16.5" customHeight="1" x14ac:dyDescent="0.3">
      <c r="B16" s="93" t="s">
        <v>88</v>
      </c>
      <c r="C16" s="93"/>
      <c r="D16" s="93"/>
      <c r="E16" s="98">
        <f>+E64</f>
        <v>21.640221</v>
      </c>
      <c r="H16" s="67"/>
      <c r="I16" s="67"/>
    </row>
    <row r="17" spans="2:9" ht="16.5" customHeight="1" x14ac:dyDescent="0.3">
      <c r="B17" s="93" t="s">
        <v>79</v>
      </c>
      <c r="C17" s="93"/>
      <c r="D17" s="93"/>
      <c r="E17" s="98">
        <f>+F51</f>
        <v>0</v>
      </c>
      <c r="G17" s="94" t="s">
        <v>46</v>
      </c>
      <c r="H17" s="100" t="s">
        <v>29</v>
      </c>
      <c r="I17" s="100" t="s">
        <v>30</v>
      </c>
    </row>
    <row r="18" spans="2:9" ht="16.5" customHeight="1" x14ac:dyDescent="0.3">
      <c r="B18" s="97" t="s">
        <v>80</v>
      </c>
      <c r="C18" s="97"/>
      <c r="D18" s="97"/>
      <c r="E18" s="99">
        <f>+E76</f>
        <v>0</v>
      </c>
      <c r="G18" s="19" t="s">
        <v>28</v>
      </c>
      <c r="H18" s="73">
        <f>IFERROR($E$32/H11,"-")</f>
        <v>5.8004618031833539</v>
      </c>
      <c r="I18" s="73">
        <f>IFERROR($E$32/I11,"-")</f>
        <v>4.9854897483231779</v>
      </c>
    </row>
    <row r="19" spans="2:9" x14ac:dyDescent="0.3">
      <c r="B19" s="93" t="s">
        <v>87</v>
      </c>
      <c r="E19" s="102">
        <f>SUM(E15:E18)</f>
        <v>699.36422100000004</v>
      </c>
      <c r="G19" s="19" t="s">
        <v>12</v>
      </c>
      <c r="H19" s="73">
        <f>IFERROR($E$32/H12,"-")</f>
        <v>16.227565433794343</v>
      </c>
      <c r="I19" s="73">
        <f>IFERROR($E$32/I12,"-")</f>
        <v>14.09191685052145</v>
      </c>
    </row>
    <row r="20" spans="2:9" x14ac:dyDescent="0.3">
      <c r="E20" s="67"/>
      <c r="G20" s="19" t="s">
        <v>13</v>
      </c>
      <c r="H20" s="73">
        <f>IFERROR($E$21/H13,"-")</f>
        <v>29.568410903348539</v>
      </c>
      <c r="I20" s="73">
        <f>IFERROR($E$21/I13,"-")</f>
        <v>25.342919999282493</v>
      </c>
    </row>
    <row r="21" spans="2:9" x14ac:dyDescent="0.3">
      <c r="B21" s="20" t="s">
        <v>41</v>
      </c>
      <c r="C21" s="20"/>
      <c r="D21" s="20"/>
      <c r="E21" s="83">
        <f>+E11*E19</f>
        <v>1233608.5494219002</v>
      </c>
      <c r="G21" s="19" t="s">
        <v>31</v>
      </c>
      <c r="H21" s="73">
        <f>IFERROR($E$21/H14,"-")</f>
        <v>17.224638012308862</v>
      </c>
      <c r="I21" s="73">
        <f>IFERROR($E$21/I14,"-")</f>
        <v>14.777133489556038</v>
      </c>
    </row>
    <row r="22" spans="2:9" x14ac:dyDescent="0.3">
      <c r="E22" s="67"/>
      <c r="H22" s="67"/>
      <c r="I22" s="67"/>
    </row>
    <row r="23" spans="2:9" x14ac:dyDescent="0.3">
      <c r="B23" s="19" t="s">
        <v>82</v>
      </c>
      <c r="E23" s="70">
        <f>_xll.ciqfunctions.udf.CIQ(E10, "IQ_CASH_EQUIV", , E12)</f>
        <v>20129</v>
      </c>
      <c r="G23" s="19" t="s">
        <v>49</v>
      </c>
      <c r="H23" s="67"/>
      <c r="I23" s="73">
        <f>IFERROR(E29/E34,"-")</f>
        <v>0.12935374788653015</v>
      </c>
    </row>
    <row r="24" spans="2:9" x14ac:dyDescent="0.3">
      <c r="E24" s="67"/>
      <c r="G24" s="19" t="s">
        <v>83</v>
      </c>
      <c r="H24" s="67"/>
      <c r="I24" s="74">
        <f>IFERROR(E29/(E29+E34),"-")</f>
        <v>0.11453784797597957</v>
      </c>
    </row>
    <row r="25" spans="2:9" x14ac:dyDescent="0.3">
      <c r="B25" s="19" t="s">
        <v>99</v>
      </c>
      <c r="E25" s="103">
        <f>_xll.ciqfunctions.udf.CIQ(E10, "IQ_TOTAL_DEBT", , E12)</f>
        <v>27542</v>
      </c>
      <c r="G25" s="19" t="s">
        <v>84</v>
      </c>
      <c r="I25" s="74">
        <f>IFERROR(E29/(E29+E21),"-")</f>
        <v>2.1838788408429906E-2</v>
      </c>
    </row>
    <row r="26" spans="2:9" x14ac:dyDescent="0.3">
      <c r="B26" s="19" t="s">
        <v>102</v>
      </c>
      <c r="E26" s="103">
        <f>_xll.ciqfunctions.udf.CIQ(E10, "IQ_CONVERT", , E12, , , "USD")</f>
        <v>0</v>
      </c>
      <c r="I26" s="74"/>
    </row>
    <row r="27" spans="2:9" x14ac:dyDescent="0.3">
      <c r="B27" s="19" t="s">
        <v>101</v>
      </c>
      <c r="E27" s="84">
        <f>+E25-E26</f>
        <v>27542</v>
      </c>
    </row>
    <row r="28" spans="2:9" x14ac:dyDescent="0.3">
      <c r="B28" s="59" t="s">
        <v>103</v>
      </c>
      <c r="C28" s="59"/>
      <c r="D28" s="59"/>
      <c r="E28" s="71">
        <f>+E79</f>
        <v>0</v>
      </c>
    </row>
    <row r="29" spans="2:9" x14ac:dyDescent="0.3">
      <c r="B29" s="20" t="s">
        <v>100</v>
      </c>
      <c r="C29" s="20"/>
      <c r="D29" s="20"/>
      <c r="E29" s="105">
        <f>+E27+E28</f>
        <v>27542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11</v>
      </c>
      <c r="E31" s="84">
        <f>+E29-E23</f>
        <v>7413</v>
      </c>
    </row>
    <row r="32" spans="2:9" x14ac:dyDescent="0.3">
      <c r="B32" s="20" t="s">
        <v>43</v>
      </c>
      <c r="C32" s="20"/>
      <c r="D32" s="20"/>
      <c r="E32" s="83">
        <f>+E21+E31</f>
        <v>1241021.5494219002</v>
      </c>
    </row>
    <row r="33" spans="2:26" x14ac:dyDescent="0.3">
      <c r="E33" s="67"/>
    </row>
    <row r="34" spans="2:26" x14ac:dyDescent="0.3">
      <c r="B34" s="19" t="s">
        <v>48</v>
      </c>
      <c r="E34" s="70">
        <f>_xll.ciqfunctions.udf.CIQ(E10, "IQ_TOTAL_EQUITY", , E12)</f>
        <v>212920</v>
      </c>
    </row>
    <row r="36" spans="2:26" x14ac:dyDescent="0.3">
      <c r="B36" s="62" t="s">
        <v>50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53</v>
      </c>
      <c r="D38" s="60" t="s">
        <v>52</v>
      </c>
      <c r="E38" s="60" t="s">
        <v>53</v>
      </c>
      <c r="F38" s="60"/>
    </row>
    <row r="39" spans="2:26" ht="17" x14ac:dyDescent="0.6">
      <c r="B39" s="29" t="s">
        <v>51</v>
      </c>
      <c r="C39" s="31" t="s">
        <v>55</v>
      </c>
      <c r="D39" s="31" t="s">
        <v>9</v>
      </c>
      <c r="E39" s="31" t="s">
        <v>104</v>
      </c>
      <c r="F39" s="31" t="s">
        <v>54</v>
      </c>
    </row>
    <row r="40" spans="2:26" s="85" customFormat="1" ht="10.5" x14ac:dyDescent="0.25">
      <c r="C40" s="85" t="s">
        <v>24</v>
      </c>
      <c r="D40" s="86" t="s">
        <v>19</v>
      </c>
      <c r="E40" s="85" t="s">
        <v>24</v>
      </c>
      <c r="F40" s="86" t="s">
        <v>23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/>
      <c r="C41" s="68"/>
      <c r="D41" s="66"/>
      <c r="E41" s="64">
        <f>+IF(D41&lt;$E$11,C41,0)</f>
        <v>0</v>
      </c>
      <c r="F41" s="75">
        <f>+D41*E41</f>
        <v>0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56</v>
      </c>
      <c r="C47" s="72"/>
      <c r="D47" s="72"/>
      <c r="E47" s="77">
        <f>SUM(E41:E46)</f>
        <v>0</v>
      </c>
      <c r="F47" s="78">
        <f>SUM(F41:F46)</f>
        <v>0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57</v>
      </c>
      <c r="C49" s="67"/>
      <c r="D49" s="67"/>
      <c r="E49" s="67"/>
      <c r="F49" s="64">
        <f>+E47</f>
        <v>0</v>
      </c>
    </row>
    <row r="50" spans="2:6" x14ac:dyDescent="0.3">
      <c r="B50" s="19" t="s">
        <v>58</v>
      </c>
      <c r="C50" s="67"/>
      <c r="D50" s="67"/>
      <c r="E50" s="67"/>
      <c r="F50" s="64">
        <f>IF(ISERR($F47/E11),"-",$F47/E11)</f>
        <v>0</v>
      </c>
    </row>
    <row r="51" spans="2:6" x14ac:dyDescent="0.3">
      <c r="B51" s="19" t="s">
        <v>85</v>
      </c>
      <c r="C51" s="67"/>
      <c r="D51" s="67"/>
      <c r="E51" s="67"/>
      <c r="F51" s="64">
        <f>+IF(ISERR(F49-F50),"-",F49-F50)</f>
        <v>0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86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89</v>
      </c>
      <c r="F55" s="64"/>
    </row>
    <row r="56" spans="2:6" x14ac:dyDescent="0.3">
      <c r="B56" s="92"/>
      <c r="D56" s="67"/>
      <c r="E56" s="60" t="s">
        <v>53</v>
      </c>
      <c r="F56" s="64"/>
    </row>
    <row r="57" spans="2:6" ht="17" x14ac:dyDescent="0.6">
      <c r="B57" s="29" t="s">
        <v>51</v>
      </c>
      <c r="C57" s="29" t="s">
        <v>90</v>
      </c>
      <c r="D57" s="29" t="s">
        <v>90</v>
      </c>
      <c r="E57" s="31" t="s">
        <v>55</v>
      </c>
      <c r="F57" s="64"/>
    </row>
    <row r="58" spans="2:6" x14ac:dyDescent="0.3">
      <c r="E58" s="85" t="s">
        <v>24</v>
      </c>
      <c r="F58" s="64"/>
    </row>
    <row r="59" spans="2:6" x14ac:dyDescent="0.3">
      <c r="B59" s="56" t="s">
        <v>109</v>
      </c>
      <c r="C59" s="56"/>
      <c r="D59" s="56"/>
      <c r="E59" s="68">
        <v>21.640221</v>
      </c>
      <c r="F59" s="64"/>
    </row>
    <row r="60" spans="2:6" x14ac:dyDescent="0.3">
      <c r="B60" s="56"/>
      <c r="C60" s="56"/>
      <c r="D60" s="56"/>
      <c r="E60" s="56"/>
      <c r="F60" s="64"/>
    </row>
    <row r="61" spans="2:6" x14ac:dyDescent="0.3">
      <c r="B61" s="56"/>
      <c r="C61" s="56"/>
      <c r="D61" s="56"/>
      <c r="E61" s="56"/>
      <c r="F61" s="64"/>
    </row>
    <row r="62" spans="2:6" x14ac:dyDescent="0.3">
      <c r="B62" s="56"/>
      <c r="C62" s="56"/>
      <c r="D62" s="56"/>
      <c r="E62" s="56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56</v>
      </c>
      <c r="D64" s="67"/>
      <c r="E64" s="101">
        <f>SUM(E59:E63)</f>
        <v>21.640221</v>
      </c>
      <c r="F64" s="64"/>
    </row>
    <row r="66" spans="2:5" x14ac:dyDescent="0.3">
      <c r="B66" s="62" t="s">
        <v>42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60</v>
      </c>
      <c r="D68" s="60" t="s">
        <v>61</v>
      </c>
      <c r="E68" s="60" t="s">
        <v>10</v>
      </c>
    </row>
    <row r="69" spans="2:5" ht="17" x14ac:dyDescent="0.6">
      <c r="B69" s="29" t="s">
        <v>59</v>
      </c>
      <c r="C69" s="31" t="s">
        <v>26</v>
      </c>
      <c r="D69" s="31" t="s">
        <v>9</v>
      </c>
      <c r="E69" s="31" t="s">
        <v>62</v>
      </c>
    </row>
    <row r="70" spans="2:5" x14ac:dyDescent="0.3">
      <c r="C70" s="85" t="s">
        <v>24</v>
      </c>
      <c r="D70" s="86" t="s">
        <v>19</v>
      </c>
      <c r="E70" s="85" t="s">
        <v>24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56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63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64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17DB-5480-4F7A-83B9-CF8EAD525315}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_xll.ciqfunctions.udf.CIQ($E$10, "IQ_COMPANY_NAME")</f>
        <v>Facebook,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tr">
        <f>_xll.ciqfunctions.udf.CIQ($E$10, "IQ_COMPANY_NAME")</f>
        <v>Facebook, Inc.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27</v>
      </c>
      <c r="C8" s="62"/>
      <c r="D8" s="62"/>
      <c r="E8" s="62"/>
      <c r="G8" s="62" t="s">
        <v>47</v>
      </c>
      <c r="H8" s="63"/>
      <c r="I8" s="63"/>
    </row>
    <row r="9" spans="1:9" ht="5.25" customHeight="1" x14ac:dyDescent="0.3"/>
    <row r="10" spans="1:9" ht="17" x14ac:dyDescent="0.6">
      <c r="B10" s="19" t="s">
        <v>38</v>
      </c>
      <c r="E10" s="65" t="str">
        <f>_xll.ciqfunctions.udf.CIQ("NasdaqGS:FB", "IQ_COMPANY_TICKER")</f>
        <v>NasdaqGS:FB</v>
      </c>
      <c r="G10" s="57" t="s">
        <v>44</v>
      </c>
      <c r="H10" s="31" t="s">
        <v>29</v>
      </c>
      <c r="I10" s="31" t="s">
        <v>30</v>
      </c>
    </row>
    <row r="11" spans="1:9" x14ac:dyDescent="0.3">
      <c r="B11" s="19" t="s">
        <v>77</v>
      </c>
      <c r="E11" s="66">
        <f>_xll.ciqfunctions.udf.CIQ(E10, "IQ_LASTSALEPRICE", E12)</f>
        <v>276.92</v>
      </c>
      <c r="G11" s="19" t="s">
        <v>28</v>
      </c>
      <c r="H11" s="70">
        <f>_xll.ciqfunctions.udf.CIQ($E$10, "IQ_REVENUE_EST", "FY2021", $E$12)</f>
        <v>103795.85722999999</v>
      </c>
      <c r="I11" s="70">
        <f>_xll.ciqfunctions.udf.CIQ($E$10, "IQ_REVENUE_EST", "FY2022", $E$12)</f>
        <v>124560.33858</v>
      </c>
    </row>
    <row r="12" spans="1:9" x14ac:dyDescent="0.3">
      <c r="B12" s="19" t="s">
        <v>39</v>
      </c>
      <c r="E12" s="106">
        <v>44159</v>
      </c>
      <c r="G12" s="19" t="s">
        <v>12</v>
      </c>
      <c r="H12" s="70">
        <f>_xll.ciqfunctions.udf.CIQ($E$10, "IQ_EBITDA_EST", "FY2021", $E$12)</f>
        <v>51433.768230000001</v>
      </c>
      <c r="I12" s="70">
        <f>_xll.ciqfunctions.udf.CIQ($E$10, "IQ_EBITDA_EST", "FY2022", $E$12)</f>
        <v>64320.30429</v>
      </c>
    </row>
    <row r="13" spans="1:9" x14ac:dyDescent="0.3">
      <c r="E13" s="67"/>
      <c r="G13" s="19" t="s">
        <v>13</v>
      </c>
      <c r="H13" s="70">
        <f>_xll.ciqfunctions.udf.CIQ($E$10, "IQ_NI_REPORTED_EST", "FY2021", $E$12)</f>
        <v>30100.185580000001</v>
      </c>
      <c r="I13" s="70">
        <f>_xll.ciqfunctions.udf.CIQ($E$10, "IQ_NI_REPORTED_EST", "FY2022", $E$12)</f>
        <v>37194.984279999997</v>
      </c>
    </row>
    <row r="14" spans="1:9" x14ac:dyDescent="0.3">
      <c r="B14" s="58" t="s">
        <v>40</v>
      </c>
      <c r="E14" s="67"/>
      <c r="G14" s="19" t="s">
        <v>31</v>
      </c>
      <c r="H14" s="70">
        <f>_xll.ciqfunctions.udf.CIQ($E$10, "IQ_CASH_OPER_EST", "FY2021", $E$12)</f>
        <v>47952.778570000002</v>
      </c>
      <c r="I14" s="70">
        <f>_xll.ciqfunctions.udf.CIQ($E$10, "IQ_CASH_OPER_EST", "FY2022", $E$12)</f>
        <v>56571.654549999999</v>
      </c>
    </row>
    <row r="15" spans="1:9" x14ac:dyDescent="0.3">
      <c r="B15" s="19" t="s">
        <v>78</v>
      </c>
      <c r="E15" s="107">
        <f>_xll.ciqfunctions.udf.CIQ(E10, "IQ_TOTAL_OUTSTANDING_BS_DATE", , E12)</f>
        <v>2850</v>
      </c>
      <c r="H15" s="67"/>
      <c r="I15" s="67"/>
    </row>
    <row r="16" spans="1:9" ht="16.5" customHeight="1" x14ac:dyDescent="0.3">
      <c r="B16" s="93" t="s">
        <v>88</v>
      </c>
      <c r="C16" s="93"/>
      <c r="D16" s="93"/>
      <c r="E16" s="98">
        <f>+E64</f>
        <v>103.057</v>
      </c>
      <c r="H16" s="67"/>
      <c r="I16" s="67"/>
    </row>
    <row r="17" spans="2:9" ht="16.5" customHeight="1" x14ac:dyDescent="0.3">
      <c r="B17" s="93" t="s">
        <v>79</v>
      </c>
      <c r="C17" s="93"/>
      <c r="D17" s="93"/>
      <c r="E17" s="98">
        <f>+F51</f>
        <v>0</v>
      </c>
      <c r="G17" s="94" t="s">
        <v>46</v>
      </c>
      <c r="H17" s="100" t="s">
        <v>29</v>
      </c>
      <c r="I17" s="100" t="s">
        <v>30</v>
      </c>
    </row>
    <row r="18" spans="2:9" ht="16.5" customHeight="1" x14ac:dyDescent="0.3">
      <c r="B18" s="97" t="s">
        <v>80</v>
      </c>
      <c r="C18" s="97"/>
      <c r="D18" s="97"/>
      <c r="E18" s="99">
        <f>+E76</f>
        <v>0</v>
      </c>
      <c r="G18" s="19" t="s">
        <v>28</v>
      </c>
      <c r="H18" s="73">
        <f>IFERROR($E$32/H11,"-")</f>
        <v>7.8739900247558277</v>
      </c>
      <c r="I18" s="73">
        <f>IFERROR($E$32/I11,"-")</f>
        <v>6.5613786359057595</v>
      </c>
    </row>
    <row r="19" spans="2:9" x14ac:dyDescent="0.3">
      <c r="B19" s="93" t="s">
        <v>87</v>
      </c>
      <c r="E19" s="102">
        <f>SUM(E15:E18)</f>
        <v>2953.0569999999998</v>
      </c>
      <c r="G19" s="19" t="s">
        <v>12</v>
      </c>
      <c r="H19" s="73">
        <f>IFERROR($E$32/H12,"-")</f>
        <v>15.890096575955271</v>
      </c>
      <c r="I19" s="73">
        <f>IFERROR($E$32/I12,"-")</f>
        <v>12.706524844085124</v>
      </c>
    </row>
    <row r="20" spans="2:9" x14ac:dyDescent="0.3">
      <c r="E20" s="67"/>
      <c r="G20" s="19" t="s">
        <v>13</v>
      </c>
      <c r="H20" s="73">
        <f>IFERROR($E$21/H13,"-")</f>
        <v>27.16795689736076</v>
      </c>
      <c r="I20" s="73">
        <f>IFERROR($E$21/I13,"-")</f>
        <v>21.985774702416411</v>
      </c>
    </row>
    <row r="21" spans="2:9" x14ac:dyDescent="0.3">
      <c r="B21" s="20" t="s">
        <v>41</v>
      </c>
      <c r="C21" s="20"/>
      <c r="D21" s="20"/>
      <c r="E21" s="83">
        <f>+E11*E19</f>
        <v>817760.54443999997</v>
      </c>
      <c r="G21" s="19" t="s">
        <v>31</v>
      </c>
      <c r="H21" s="73">
        <f>IFERROR($E$21/H14,"-")</f>
        <v>17.053454853429567</v>
      </c>
      <c r="I21" s="73">
        <f>IFERROR($E$21/I14,"-")</f>
        <v>14.455305416553351</v>
      </c>
    </row>
    <row r="22" spans="2:9" x14ac:dyDescent="0.3">
      <c r="E22" s="67"/>
      <c r="H22" s="67"/>
      <c r="I22" s="67"/>
    </row>
    <row r="23" spans="2:9" x14ac:dyDescent="0.3">
      <c r="B23" s="19" t="s">
        <v>82</v>
      </c>
      <c r="E23" s="70">
        <f>_xll.ciqfunctions.udf.CIQ(E10, "IQ_CASH_EQUIV", , E12)</f>
        <v>11617</v>
      </c>
      <c r="G23" s="19" t="s">
        <v>49</v>
      </c>
      <c r="H23" s="67"/>
      <c r="I23" s="73">
        <f>IFERROR(E29/E34,"-")</f>
        <v>9.4656462613924963E-2</v>
      </c>
    </row>
    <row r="24" spans="2:9" x14ac:dyDescent="0.3">
      <c r="E24" s="67"/>
      <c r="G24" s="19" t="s">
        <v>83</v>
      </c>
      <c r="H24" s="67"/>
      <c r="I24" s="74">
        <f>IFERROR(E29/(E29+E34),"-")</f>
        <v>8.6471387002909794E-2</v>
      </c>
    </row>
    <row r="25" spans="2:9" x14ac:dyDescent="0.3">
      <c r="B25" s="19" t="s">
        <v>99</v>
      </c>
      <c r="E25" s="103">
        <f>_xll.ciqfunctions.udf.CIQ(E10, "IQ_TOTAL_DEBT", , E12)</f>
        <v>11144</v>
      </c>
      <c r="G25" s="19" t="s">
        <v>84</v>
      </c>
      <c r="I25" s="74">
        <f>IFERROR(E29/(E29+E21),"-")</f>
        <v>1.3444250094597781E-2</v>
      </c>
    </row>
    <row r="26" spans="2:9" x14ac:dyDescent="0.3">
      <c r="B26" s="19" t="s">
        <v>102</v>
      </c>
      <c r="E26" s="103">
        <f>_xll.ciqfunctions.udf.CIQ(E10, "IQ_CONVERT", , E12, , , "USD")</f>
        <v>0</v>
      </c>
      <c r="I26" s="74"/>
    </row>
    <row r="27" spans="2:9" x14ac:dyDescent="0.3">
      <c r="B27" s="19" t="s">
        <v>101</v>
      </c>
      <c r="E27" s="84">
        <f>+E25-E26</f>
        <v>11144</v>
      </c>
    </row>
    <row r="28" spans="2:9" x14ac:dyDescent="0.3">
      <c r="B28" s="59" t="s">
        <v>103</v>
      </c>
      <c r="C28" s="59"/>
      <c r="D28" s="59"/>
      <c r="E28" s="71">
        <f>+E79</f>
        <v>0</v>
      </c>
    </row>
    <row r="29" spans="2:9" x14ac:dyDescent="0.3">
      <c r="B29" s="20" t="s">
        <v>100</v>
      </c>
      <c r="C29" s="20"/>
      <c r="D29" s="20"/>
      <c r="E29" s="105">
        <f>+E27+E28</f>
        <v>11144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11</v>
      </c>
      <c r="E31" s="84">
        <f>+E29-E23</f>
        <v>-473</v>
      </c>
    </row>
    <row r="32" spans="2:9" x14ac:dyDescent="0.3">
      <c r="B32" s="20" t="s">
        <v>43</v>
      </c>
      <c r="C32" s="20"/>
      <c r="D32" s="20"/>
      <c r="E32" s="83">
        <f>+E21+E31</f>
        <v>817287.54443999997</v>
      </c>
    </row>
    <row r="33" spans="2:26" x14ac:dyDescent="0.3">
      <c r="E33" s="67"/>
    </row>
    <row r="34" spans="2:26" x14ac:dyDescent="0.3">
      <c r="B34" s="19" t="s">
        <v>48</v>
      </c>
      <c r="E34" s="70">
        <f>_xll.ciqfunctions.udf.CIQ(E10, "IQ_TOTAL_EQUITY", , E12)</f>
        <v>117731</v>
      </c>
    </row>
    <row r="36" spans="2:26" x14ac:dyDescent="0.3">
      <c r="B36" s="62" t="s">
        <v>50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53</v>
      </c>
      <c r="D38" s="60" t="s">
        <v>52</v>
      </c>
      <c r="E38" s="60" t="s">
        <v>53</v>
      </c>
      <c r="F38" s="60"/>
    </row>
    <row r="39" spans="2:26" ht="17" x14ac:dyDescent="0.6">
      <c r="B39" s="29" t="s">
        <v>51</v>
      </c>
      <c r="C39" s="31" t="s">
        <v>55</v>
      </c>
      <c r="D39" s="31" t="s">
        <v>9</v>
      </c>
      <c r="E39" s="31" t="s">
        <v>104</v>
      </c>
      <c r="F39" s="31" t="s">
        <v>54</v>
      </c>
    </row>
    <row r="40" spans="2:26" s="85" customFormat="1" ht="10.5" x14ac:dyDescent="0.25">
      <c r="C40" s="85" t="s">
        <v>24</v>
      </c>
      <c r="D40" s="86" t="s">
        <v>19</v>
      </c>
      <c r="E40" s="85" t="s">
        <v>24</v>
      </c>
      <c r="F40" s="86" t="s">
        <v>23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/>
      <c r="C41" s="68"/>
      <c r="D41" s="66"/>
      <c r="E41" s="64">
        <f>+IF(D41&lt;$E$11,C41,0)</f>
        <v>0</v>
      </c>
      <c r="F41" s="75">
        <f>+D41*E41</f>
        <v>0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56</v>
      </c>
      <c r="C47" s="72"/>
      <c r="D47" s="72"/>
      <c r="E47" s="77">
        <f>SUM(E41:E46)</f>
        <v>0</v>
      </c>
      <c r="F47" s="78">
        <f>SUM(F41:F46)</f>
        <v>0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57</v>
      </c>
      <c r="C49" s="67"/>
      <c r="D49" s="67"/>
      <c r="E49" s="67"/>
      <c r="F49" s="64">
        <f>+E47</f>
        <v>0</v>
      </c>
    </row>
    <row r="50" spans="2:6" x14ac:dyDescent="0.3">
      <c r="B50" s="19" t="s">
        <v>58</v>
      </c>
      <c r="C50" s="67"/>
      <c r="D50" s="67"/>
      <c r="E50" s="67"/>
      <c r="F50" s="64">
        <f>IF(ISERR($F47/E11),"-",$F47/E11)</f>
        <v>0</v>
      </c>
    </row>
    <row r="51" spans="2:6" x14ac:dyDescent="0.3">
      <c r="B51" s="19" t="s">
        <v>85</v>
      </c>
      <c r="C51" s="67"/>
      <c r="D51" s="67"/>
      <c r="E51" s="67"/>
      <c r="F51" s="64">
        <f>+IF(ISERR(F49-F50),"-",F49-F50)</f>
        <v>0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86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89</v>
      </c>
      <c r="F55" s="64"/>
    </row>
    <row r="56" spans="2:6" x14ac:dyDescent="0.3">
      <c r="B56" s="92"/>
      <c r="D56" s="67"/>
      <c r="E56" s="60" t="s">
        <v>53</v>
      </c>
      <c r="F56" s="64"/>
    </row>
    <row r="57" spans="2:6" ht="17" x14ac:dyDescent="0.6">
      <c r="B57" s="29" t="s">
        <v>51</v>
      </c>
      <c r="C57" s="29" t="s">
        <v>90</v>
      </c>
      <c r="D57" s="29" t="s">
        <v>90</v>
      </c>
      <c r="E57" s="31" t="s">
        <v>55</v>
      </c>
      <c r="F57" s="64"/>
    </row>
    <row r="58" spans="2:6" x14ac:dyDescent="0.3">
      <c r="E58" s="85" t="s">
        <v>24</v>
      </c>
      <c r="F58" s="64"/>
    </row>
    <row r="59" spans="2:6" x14ac:dyDescent="0.3">
      <c r="B59" s="56" t="s">
        <v>109</v>
      </c>
      <c r="C59" s="56"/>
      <c r="D59" s="56"/>
      <c r="E59" s="68">
        <v>103.057</v>
      </c>
      <c r="F59" s="64"/>
    </row>
    <row r="60" spans="2:6" x14ac:dyDescent="0.3">
      <c r="B60" s="56"/>
      <c r="C60" s="56"/>
      <c r="D60" s="56"/>
      <c r="E60" s="56"/>
      <c r="F60" s="64"/>
    </row>
    <row r="61" spans="2:6" x14ac:dyDescent="0.3">
      <c r="B61" s="56"/>
      <c r="C61" s="56"/>
      <c r="D61" s="56"/>
      <c r="E61" s="56"/>
      <c r="F61" s="64"/>
    </row>
    <row r="62" spans="2:6" x14ac:dyDescent="0.3">
      <c r="B62" s="56"/>
      <c r="C62" s="56"/>
      <c r="D62" s="56"/>
      <c r="E62" s="56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56</v>
      </c>
      <c r="D64" s="67"/>
      <c r="E64" s="101">
        <f>SUM(E59:E63)</f>
        <v>103.057</v>
      </c>
      <c r="F64" s="64"/>
    </row>
    <row r="66" spans="2:5" x14ac:dyDescent="0.3">
      <c r="B66" s="62" t="s">
        <v>42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60</v>
      </c>
      <c r="D68" s="60" t="s">
        <v>61</v>
      </c>
      <c r="E68" s="60" t="s">
        <v>10</v>
      </c>
    </row>
    <row r="69" spans="2:5" ht="17" x14ac:dyDescent="0.6">
      <c r="B69" s="29" t="s">
        <v>59</v>
      </c>
      <c r="C69" s="31" t="s">
        <v>26</v>
      </c>
      <c r="D69" s="31" t="s">
        <v>9</v>
      </c>
      <c r="E69" s="31" t="s">
        <v>62</v>
      </c>
    </row>
    <row r="70" spans="2:5" x14ac:dyDescent="0.3">
      <c r="C70" s="85" t="s">
        <v>24</v>
      </c>
      <c r="D70" s="86" t="s">
        <v>19</v>
      </c>
      <c r="E70" s="85" t="s">
        <v>24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56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63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64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17C-BD1E-42F5-8E7C-6C7C7A7791BA}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_xll.ciqfunctions.udf.CIQ($E$10, "IQ_COMPANY_NAME")</f>
        <v>Walmart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tr">
        <f>_xll.ciqfunctions.udf.CIQ($E$10, "IQ_COMPANY_NAME")</f>
        <v>Walmart Inc.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27</v>
      </c>
      <c r="C8" s="62"/>
      <c r="D8" s="62"/>
      <c r="E8" s="62"/>
      <c r="G8" s="62" t="s">
        <v>47</v>
      </c>
      <c r="H8" s="63"/>
      <c r="I8" s="63"/>
    </row>
    <row r="9" spans="1:9" ht="5.25" customHeight="1" x14ac:dyDescent="0.3"/>
    <row r="10" spans="1:9" ht="17" x14ac:dyDescent="0.6">
      <c r="B10" s="19" t="s">
        <v>38</v>
      </c>
      <c r="E10" s="65" t="str">
        <f>_xll.ciqfunctions.udf.CIQ("NYSE:WMT", "IQ_COMPANY_TICKER")</f>
        <v>NYSE:WMT</v>
      </c>
      <c r="G10" s="57" t="s">
        <v>44</v>
      </c>
      <c r="H10" s="31" t="s">
        <v>29</v>
      </c>
      <c r="I10" s="31" t="s">
        <v>30</v>
      </c>
    </row>
    <row r="11" spans="1:9" x14ac:dyDescent="0.3">
      <c r="B11" s="19" t="s">
        <v>77</v>
      </c>
      <c r="E11" s="66">
        <f>_xll.ciqfunctions.udf.CIQ(E10, "IQ_LASTSALEPRICE", E12)</f>
        <v>151.36000000000001</v>
      </c>
      <c r="G11" s="19" t="s">
        <v>28</v>
      </c>
      <c r="H11" s="70">
        <f>_xll.ciqfunctions.udf.CIQ($E$10, "IQ_REVENUE_EST", "FY2021", $E$12)</f>
        <v>551499.94087000005</v>
      </c>
      <c r="I11" s="70">
        <f>_xll.ciqfunctions.udf.CIQ($E$10, "IQ_REVENUE_EST", "FY2022", $E$12)</f>
        <v>556363.34626000002</v>
      </c>
    </row>
    <row r="12" spans="1:9" x14ac:dyDescent="0.3">
      <c r="B12" s="19" t="s">
        <v>39</v>
      </c>
      <c r="E12" s="106">
        <v>44159</v>
      </c>
      <c r="G12" s="19" t="s">
        <v>12</v>
      </c>
      <c r="H12" s="70">
        <f>_xll.ciqfunctions.udf.CIQ($E$10, "IQ_EBITDA_EST", "FY2021", $E$12)</f>
        <v>34986.309990000002</v>
      </c>
      <c r="I12" s="70">
        <f>_xll.ciqfunctions.udf.CIQ($E$10, "IQ_EBITDA_EST", "FY2022", $E$12)</f>
        <v>35536.351779999997</v>
      </c>
    </row>
    <row r="13" spans="1:9" x14ac:dyDescent="0.3">
      <c r="E13" s="67"/>
      <c r="G13" s="19" t="s">
        <v>13</v>
      </c>
      <c r="H13" s="70">
        <f>_xll.ciqfunctions.udf.CIQ($E$10, "IQ_NI_REPORTED_EST", "FY2021", $E$12)</f>
        <v>19180.672409999999</v>
      </c>
      <c r="I13" s="70">
        <f>_xll.ciqfunctions.udf.CIQ($E$10, "IQ_NI_REPORTED_EST", "FY2022", $E$12)</f>
        <v>15858.888440000001</v>
      </c>
    </row>
    <row r="14" spans="1:9" x14ac:dyDescent="0.3">
      <c r="B14" s="58" t="s">
        <v>40</v>
      </c>
      <c r="E14" s="67"/>
      <c r="G14" s="19" t="s">
        <v>31</v>
      </c>
      <c r="H14" s="70">
        <f>_xll.ciqfunctions.udf.CIQ($E$10, "IQ_CASH_OPER_EST", "FY2021", $E$12)</f>
        <v>29238.333330000001</v>
      </c>
      <c r="I14" s="70">
        <f>_xll.ciqfunctions.udf.CIQ($E$10, "IQ_CASH_OPER_EST", "FY2022", $E$12)</f>
        <v>28180.6</v>
      </c>
    </row>
    <row r="15" spans="1:9" x14ac:dyDescent="0.3">
      <c r="B15" s="19" t="s">
        <v>78</v>
      </c>
      <c r="E15" s="107">
        <f>_xll.ciqfunctions.udf.CIQ(E10, "IQ_TOTAL_OUTSTANDING_BS_DATE", , E12)</f>
        <v>2831</v>
      </c>
      <c r="H15" s="67"/>
      <c r="I15" s="67"/>
    </row>
    <row r="16" spans="1:9" ht="16.5" customHeight="1" x14ac:dyDescent="0.3">
      <c r="B16" s="93" t="s">
        <v>88</v>
      </c>
      <c r="C16" s="93"/>
      <c r="D16" s="93"/>
      <c r="E16" s="98">
        <f>+E64</f>
        <v>29.305999999999997</v>
      </c>
      <c r="H16" s="67"/>
      <c r="I16" s="67"/>
    </row>
    <row r="17" spans="2:9" ht="16.5" customHeight="1" x14ac:dyDescent="0.3">
      <c r="B17" s="93" t="s">
        <v>79</v>
      </c>
      <c r="C17" s="93"/>
      <c r="D17" s="93"/>
      <c r="E17" s="98">
        <f>+F51</f>
        <v>0</v>
      </c>
      <c r="G17" s="94" t="s">
        <v>46</v>
      </c>
      <c r="H17" s="100" t="s">
        <v>29</v>
      </c>
      <c r="I17" s="100" t="s">
        <v>30</v>
      </c>
    </row>
    <row r="18" spans="2:9" ht="16.5" customHeight="1" x14ac:dyDescent="0.3">
      <c r="B18" s="97" t="s">
        <v>80</v>
      </c>
      <c r="C18" s="97"/>
      <c r="D18" s="97"/>
      <c r="E18" s="99">
        <f>+E76</f>
        <v>0</v>
      </c>
      <c r="G18" s="19" t="s">
        <v>28</v>
      </c>
      <c r="H18" s="73">
        <f>IFERROR($E$32/H11,"-")</f>
        <v>0.8845167152519916</v>
      </c>
      <c r="I18" s="73">
        <f>IFERROR($E$32/I11,"-")</f>
        <v>0.87678478361160039</v>
      </c>
    </row>
    <row r="19" spans="2:9" x14ac:dyDescent="0.3">
      <c r="B19" s="93" t="s">
        <v>87</v>
      </c>
      <c r="E19" s="102">
        <f>SUM(E15:E18)</f>
        <v>2860.306</v>
      </c>
      <c r="G19" s="19" t="s">
        <v>12</v>
      </c>
      <c r="H19" s="73">
        <f>IFERROR($E$32/H12,"-")</f>
        <v>13.942908420448715</v>
      </c>
      <c r="I19" s="73">
        <f>IFERROR($E$32/I12,"-")</f>
        <v>13.727096106543552</v>
      </c>
    </row>
    <row r="20" spans="2:9" x14ac:dyDescent="0.3">
      <c r="E20" s="67"/>
      <c r="G20" s="19" t="s">
        <v>13</v>
      </c>
      <c r="H20" s="73">
        <f>IFERROR($E$21/H13,"-")</f>
        <v>22.571467094880646</v>
      </c>
      <c r="I20" s="73">
        <f>IFERROR($E$21/I13,"-")</f>
        <v>27.299259831352973</v>
      </c>
    </row>
    <row r="21" spans="2:9" x14ac:dyDescent="0.3">
      <c r="B21" s="20" t="s">
        <v>41</v>
      </c>
      <c r="C21" s="20"/>
      <c r="D21" s="20"/>
      <c r="E21" s="83">
        <f>+E11*E19</f>
        <v>432935.91616000002</v>
      </c>
      <c r="G21" s="19" t="s">
        <v>31</v>
      </c>
      <c r="H21" s="73">
        <f>IFERROR($E$21/H14,"-")</f>
        <v>14.807133883920326</v>
      </c>
      <c r="I21" s="73">
        <f>IFERROR($E$21/I14,"-")</f>
        <v>15.362906260335127</v>
      </c>
    </row>
    <row r="22" spans="2:9" x14ac:dyDescent="0.3">
      <c r="E22" s="67"/>
      <c r="H22" s="67"/>
      <c r="I22" s="67"/>
    </row>
    <row r="23" spans="2:9" x14ac:dyDescent="0.3">
      <c r="B23" s="19" t="s">
        <v>82</v>
      </c>
      <c r="E23" s="70">
        <f>_xll.ciqfunctions.udf.CIQ(E10, "IQ_CASH_EQUIV", , E12)</f>
        <v>14325</v>
      </c>
      <c r="G23" s="19" t="s">
        <v>49</v>
      </c>
      <c r="H23" s="67"/>
      <c r="I23" s="73">
        <f>IFERROR(E29/E34,"-")</f>
        <v>0.79082099104040959</v>
      </c>
    </row>
    <row r="24" spans="2:9" x14ac:dyDescent="0.3">
      <c r="E24" s="67"/>
      <c r="G24" s="19" t="s">
        <v>83</v>
      </c>
      <c r="H24" s="67"/>
      <c r="I24" s="74">
        <f>IFERROR(E29/(E29+E34),"-")</f>
        <v>0.44159689605881153</v>
      </c>
    </row>
    <row r="25" spans="2:9" x14ac:dyDescent="0.3">
      <c r="B25" s="19" t="s">
        <v>99</v>
      </c>
      <c r="E25" s="103">
        <f>_xll.ciqfunctions.udf.CIQ(E10, "IQ_TOTAL_DEBT", , E12)</f>
        <v>69200</v>
      </c>
      <c r="G25" s="19" t="s">
        <v>84</v>
      </c>
      <c r="I25" s="74">
        <f>IFERROR(E29/(E29+E21),"-")</f>
        <v>0.13781129326337652</v>
      </c>
    </row>
    <row r="26" spans="2:9" x14ac:dyDescent="0.3">
      <c r="B26" s="19" t="s">
        <v>102</v>
      </c>
      <c r="E26" s="103">
        <f>_xll.ciqfunctions.udf.CIQ(E10, "IQ_CONVERT", , E12, , , "USD")</f>
        <v>0</v>
      </c>
      <c r="I26" s="74"/>
    </row>
    <row r="27" spans="2:9" x14ac:dyDescent="0.3">
      <c r="B27" s="19" t="s">
        <v>101</v>
      </c>
      <c r="E27" s="84">
        <f>+E25-E26</f>
        <v>69200</v>
      </c>
    </row>
    <row r="28" spans="2:9" x14ac:dyDescent="0.3">
      <c r="B28" s="59" t="s">
        <v>103</v>
      </c>
      <c r="C28" s="59"/>
      <c r="D28" s="59"/>
      <c r="E28" s="71">
        <f>+E79</f>
        <v>0</v>
      </c>
    </row>
    <row r="29" spans="2:9" x14ac:dyDescent="0.3">
      <c r="B29" s="20" t="s">
        <v>100</v>
      </c>
      <c r="C29" s="20"/>
      <c r="D29" s="20"/>
      <c r="E29" s="105">
        <f>+E27+E28</f>
        <v>69200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11</v>
      </c>
      <c r="E31" s="84">
        <f>+E29-E23</f>
        <v>54875</v>
      </c>
    </row>
    <row r="32" spans="2:9" x14ac:dyDescent="0.3">
      <c r="B32" s="20" t="s">
        <v>43</v>
      </c>
      <c r="C32" s="20"/>
      <c r="D32" s="20"/>
      <c r="E32" s="83">
        <f>+E21+E31</f>
        <v>487810.91616000002</v>
      </c>
    </row>
    <row r="33" spans="2:26" x14ac:dyDescent="0.3">
      <c r="E33" s="67"/>
    </row>
    <row r="34" spans="2:26" x14ac:dyDescent="0.3">
      <c r="B34" s="19" t="s">
        <v>48</v>
      </c>
      <c r="E34" s="70">
        <f>_xll.ciqfunctions.udf.CIQ(E10, "IQ_TOTAL_EQUITY", , E12)</f>
        <v>87504</v>
      </c>
    </row>
    <row r="36" spans="2:26" x14ac:dyDescent="0.3">
      <c r="B36" s="62" t="s">
        <v>50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53</v>
      </c>
      <c r="D38" s="60" t="s">
        <v>52</v>
      </c>
      <c r="E38" s="60" t="s">
        <v>53</v>
      </c>
      <c r="F38" s="60"/>
    </row>
    <row r="39" spans="2:26" ht="17" x14ac:dyDescent="0.6">
      <c r="B39" s="29" t="s">
        <v>51</v>
      </c>
      <c r="C39" s="31" t="s">
        <v>55</v>
      </c>
      <c r="D39" s="31" t="s">
        <v>9</v>
      </c>
      <c r="E39" s="31" t="s">
        <v>104</v>
      </c>
      <c r="F39" s="31" t="s">
        <v>54</v>
      </c>
    </row>
    <row r="40" spans="2:26" s="85" customFormat="1" ht="10.5" x14ac:dyDescent="0.25">
      <c r="C40" s="85" t="s">
        <v>24</v>
      </c>
      <c r="D40" s="86" t="s">
        <v>19</v>
      </c>
      <c r="E40" s="85" t="s">
        <v>24</v>
      </c>
      <c r="F40" s="86" t="s">
        <v>23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/>
      <c r="C41" s="68"/>
      <c r="D41" s="66"/>
      <c r="E41" s="64">
        <f>+IF(D41&lt;$E$11,C41,0)</f>
        <v>0</v>
      </c>
      <c r="F41" s="75">
        <f>+D41*E41</f>
        <v>0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56</v>
      </c>
      <c r="C47" s="72"/>
      <c r="D47" s="72"/>
      <c r="E47" s="77">
        <f>SUM(E41:E46)</f>
        <v>0</v>
      </c>
      <c r="F47" s="78">
        <f>SUM(F41:F46)</f>
        <v>0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57</v>
      </c>
      <c r="C49" s="67"/>
      <c r="D49" s="67"/>
      <c r="E49" s="67"/>
      <c r="F49" s="64">
        <f>+E47</f>
        <v>0</v>
      </c>
    </row>
    <row r="50" spans="2:6" x14ac:dyDescent="0.3">
      <c r="B50" s="19" t="s">
        <v>58</v>
      </c>
      <c r="C50" s="67"/>
      <c r="D50" s="67"/>
      <c r="E50" s="67"/>
      <c r="F50" s="64">
        <f>IF(ISERR($F47/E11),"-",$F47/E11)</f>
        <v>0</v>
      </c>
    </row>
    <row r="51" spans="2:6" x14ac:dyDescent="0.3">
      <c r="B51" s="19" t="s">
        <v>85</v>
      </c>
      <c r="C51" s="67"/>
      <c r="D51" s="67"/>
      <c r="E51" s="67"/>
      <c r="F51" s="64">
        <f>+IF(ISERR(F49-F50),"-",F49-F50)</f>
        <v>0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86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89</v>
      </c>
      <c r="F55" s="64"/>
    </row>
    <row r="56" spans="2:6" x14ac:dyDescent="0.3">
      <c r="B56" s="92"/>
      <c r="D56" s="67"/>
      <c r="E56" s="60" t="s">
        <v>53</v>
      </c>
      <c r="F56" s="64"/>
    </row>
    <row r="57" spans="2:6" ht="17" x14ac:dyDescent="0.6">
      <c r="B57" s="29" t="s">
        <v>51</v>
      </c>
      <c r="C57" s="29" t="s">
        <v>90</v>
      </c>
      <c r="D57" s="29" t="s">
        <v>90</v>
      </c>
      <c r="E57" s="31" t="s">
        <v>55</v>
      </c>
      <c r="F57" s="64"/>
    </row>
    <row r="58" spans="2:6" x14ac:dyDescent="0.3">
      <c r="E58" s="85" t="s">
        <v>24</v>
      </c>
      <c r="F58" s="64"/>
    </row>
    <row r="59" spans="2:6" x14ac:dyDescent="0.3">
      <c r="B59" s="56" t="s">
        <v>110</v>
      </c>
      <c r="C59" s="56"/>
      <c r="D59" s="56"/>
      <c r="E59" s="68">
        <v>6.0449999999999999</v>
      </c>
      <c r="F59" s="64"/>
    </row>
    <row r="60" spans="2:6" x14ac:dyDescent="0.3">
      <c r="B60" s="56" t="s">
        <v>109</v>
      </c>
      <c r="C60" s="56"/>
      <c r="D60" s="56"/>
      <c r="E60" s="68">
        <v>23.260999999999999</v>
      </c>
      <c r="F60" s="64"/>
    </row>
    <row r="61" spans="2:6" x14ac:dyDescent="0.3">
      <c r="B61" s="56"/>
      <c r="C61" s="56"/>
      <c r="D61" s="56"/>
      <c r="E61" s="56"/>
      <c r="F61" s="64"/>
    </row>
    <row r="62" spans="2:6" x14ac:dyDescent="0.3">
      <c r="B62" s="56"/>
      <c r="C62" s="56"/>
      <c r="D62" s="56"/>
      <c r="E62" s="56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56</v>
      </c>
      <c r="D64" s="67"/>
      <c r="E64" s="101">
        <f>SUM(E59:E63)</f>
        <v>29.305999999999997</v>
      </c>
      <c r="F64" s="64"/>
    </row>
    <row r="66" spans="2:5" x14ac:dyDescent="0.3">
      <c r="B66" s="62" t="s">
        <v>42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60</v>
      </c>
      <c r="D68" s="60" t="s">
        <v>61</v>
      </c>
      <c r="E68" s="60" t="s">
        <v>10</v>
      </c>
    </row>
    <row r="69" spans="2:5" ht="17" x14ac:dyDescent="0.6">
      <c r="B69" s="29" t="s">
        <v>59</v>
      </c>
      <c r="C69" s="31" t="s">
        <v>26</v>
      </c>
      <c r="D69" s="31" t="s">
        <v>9</v>
      </c>
      <c r="E69" s="31" t="s">
        <v>62</v>
      </c>
    </row>
    <row r="70" spans="2:5" x14ac:dyDescent="0.3">
      <c r="C70" s="85" t="s">
        <v>24</v>
      </c>
      <c r="D70" s="86" t="s">
        <v>19</v>
      </c>
      <c r="E70" s="85" t="s">
        <v>24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56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63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64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87E6-C6D1-4E9E-BF32-D7042127ABD5}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_xll.ciqfunctions.udf.CIQ($E$10, "IQ_COMPANY_NAME")</f>
        <v>Twitter,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tr">
        <f>_xll.ciqfunctions.udf.CIQ($E$10, "IQ_COMPANY_NAME")</f>
        <v>Twitter, Inc.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27</v>
      </c>
      <c r="C8" s="62"/>
      <c r="D8" s="62"/>
      <c r="E8" s="62"/>
      <c r="G8" s="62" t="s">
        <v>47</v>
      </c>
      <c r="H8" s="63"/>
      <c r="I8" s="63"/>
    </row>
    <row r="9" spans="1:9" ht="5.25" customHeight="1" x14ac:dyDescent="0.3"/>
    <row r="10" spans="1:9" ht="17" x14ac:dyDescent="0.6">
      <c r="B10" s="19" t="s">
        <v>38</v>
      </c>
      <c r="E10" s="65" t="str">
        <f>_xll.ciqfunctions.udf.CIQ("NYSE:TWTR", "IQ_COMPANY_TICKER")</f>
        <v>NYSE:TWTR</v>
      </c>
      <c r="G10" s="57" t="s">
        <v>44</v>
      </c>
      <c r="H10" s="31" t="s">
        <v>29</v>
      </c>
      <c r="I10" s="31" t="s">
        <v>30</v>
      </c>
    </row>
    <row r="11" spans="1:9" x14ac:dyDescent="0.3">
      <c r="B11" s="19" t="s">
        <v>77</v>
      </c>
      <c r="E11" s="66">
        <f>_xll.ciqfunctions.udf.CIQ(E10, "IQ_LASTSALEPRICE", E12)</f>
        <v>45.23</v>
      </c>
      <c r="G11" s="19" t="s">
        <v>28</v>
      </c>
      <c r="H11" s="70">
        <f>_xll.ciqfunctions.udf.CIQ($E$10, "IQ_REVENUE_EST", "FY2021", $E$12)</f>
        <v>4389.3746000000001</v>
      </c>
      <c r="I11" s="70">
        <f>_xll.ciqfunctions.udf.CIQ($E$10, "IQ_REVENUE_EST", "FY2022", $E$12)</f>
        <v>5104.0523000000003</v>
      </c>
    </row>
    <row r="12" spans="1:9" x14ac:dyDescent="0.3">
      <c r="B12" s="19" t="s">
        <v>39</v>
      </c>
      <c r="E12" s="106">
        <v>44159</v>
      </c>
      <c r="G12" s="19" t="s">
        <v>12</v>
      </c>
      <c r="H12" s="70">
        <f>_xll.ciqfunctions.udf.CIQ($E$10, "IQ_EBITDA_EST", "FY2021", $E$12)</f>
        <v>1341.2615800000001</v>
      </c>
      <c r="I12" s="70">
        <f>_xll.ciqfunctions.udf.CIQ($E$10, "IQ_EBITDA_EST", "FY2022", $E$12)</f>
        <v>1656.81483</v>
      </c>
    </row>
    <row r="13" spans="1:9" x14ac:dyDescent="0.3">
      <c r="E13" s="67"/>
      <c r="G13" s="19" t="s">
        <v>13</v>
      </c>
      <c r="H13" s="70">
        <f>_xll.ciqfunctions.udf.CIQ($E$10, "IQ_NI_REPORTED_EST", "FY2021", $E$12)</f>
        <v>216.45393999999999</v>
      </c>
      <c r="I13" s="70">
        <f>_xll.ciqfunctions.udf.CIQ($E$10, "IQ_NI_REPORTED_EST", "FY2022", $E$12)</f>
        <v>353.57278000000002</v>
      </c>
    </row>
    <row r="14" spans="1:9" x14ac:dyDescent="0.3">
      <c r="B14" s="58" t="s">
        <v>40</v>
      </c>
      <c r="E14" s="67"/>
      <c r="G14" s="19" t="s">
        <v>31</v>
      </c>
      <c r="H14" s="70">
        <f>_xll.ciqfunctions.udf.CIQ($E$10, "IQ_CASH_OPER_EST", "FY2021", $E$12)</f>
        <v>1266.0007499999999</v>
      </c>
      <c r="I14" s="70">
        <f>_xll.ciqfunctions.udf.CIQ($E$10, "IQ_CASH_OPER_EST", "FY2022", $E$12)</f>
        <v>1597.88318</v>
      </c>
    </row>
    <row r="15" spans="1:9" x14ac:dyDescent="0.3">
      <c r="B15" s="19" t="s">
        <v>78</v>
      </c>
      <c r="E15" s="107">
        <f>_xll.ciqfunctions.udf.CIQ(E10, "IQ_TOTAL_OUTSTANDING_BS_DATE", , E12)</f>
        <v>792.447</v>
      </c>
      <c r="H15" s="67"/>
      <c r="I15" s="67"/>
    </row>
    <row r="16" spans="1:9" ht="16.5" customHeight="1" x14ac:dyDescent="0.3">
      <c r="B16" s="93" t="s">
        <v>88</v>
      </c>
      <c r="C16" s="93"/>
      <c r="D16" s="93"/>
      <c r="E16" s="98">
        <f>+E64</f>
        <v>42.578000000000003</v>
      </c>
      <c r="H16" s="67"/>
      <c r="I16" s="67"/>
    </row>
    <row r="17" spans="2:9" ht="16.5" customHeight="1" x14ac:dyDescent="0.3">
      <c r="B17" s="93" t="s">
        <v>79</v>
      </c>
      <c r="C17" s="93"/>
      <c r="D17" s="93"/>
      <c r="E17" s="98">
        <f>+F51</f>
        <v>2.269091311076719</v>
      </c>
      <c r="G17" s="94" t="s">
        <v>46</v>
      </c>
      <c r="H17" s="100" t="s">
        <v>29</v>
      </c>
      <c r="I17" s="100" t="s">
        <v>30</v>
      </c>
    </row>
    <row r="18" spans="2:9" ht="16.5" customHeight="1" x14ac:dyDescent="0.3">
      <c r="B18" s="97" t="s">
        <v>80</v>
      </c>
      <c r="C18" s="97"/>
      <c r="D18" s="97"/>
      <c r="E18" s="99">
        <f>+E76</f>
        <v>24.096385542168676</v>
      </c>
      <c r="G18" s="19" t="s">
        <v>28</v>
      </c>
      <c r="H18" s="73">
        <f>IFERROR($E$32/H11,"-")</f>
        <v>9.2149700023489203</v>
      </c>
      <c r="I18" s="73">
        <f>IFERROR($E$32/I11,"-")</f>
        <v>7.924674923113991</v>
      </c>
    </row>
    <row r="19" spans="2:9" x14ac:dyDescent="0.3">
      <c r="B19" s="93" t="s">
        <v>87</v>
      </c>
      <c r="E19" s="102">
        <f>SUM(E15:E18)</f>
        <v>861.39047685324545</v>
      </c>
      <c r="G19" s="19" t="s">
        <v>12</v>
      </c>
      <c r="H19" s="73">
        <f>IFERROR($E$32/H12,"-")</f>
        <v>30.15664943453632</v>
      </c>
      <c r="I19" s="73">
        <f>IFERROR($E$32/I12,"-")</f>
        <v>24.413081374985211</v>
      </c>
    </row>
    <row r="20" spans="2:9" x14ac:dyDescent="0.3">
      <c r="E20" s="67"/>
      <c r="G20" s="19" t="s">
        <v>13</v>
      </c>
      <c r="H20" s="73">
        <f>IFERROR($E$21/H13,"-")</f>
        <v>179.9952972353947</v>
      </c>
      <c r="I20" s="73">
        <f>IFERROR($E$21/I13,"-")</f>
        <v>110.19143291537399</v>
      </c>
    </row>
    <row r="21" spans="2:9" x14ac:dyDescent="0.3">
      <c r="B21" s="20" t="s">
        <v>41</v>
      </c>
      <c r="C21" s="20"/>
      <c r="D21" s="20"/>
      <c r="E21" s="83">
        <f>+E11*E19</f>
        <v>38960.691268072289</v>
      </c>
      <c r="G21" s="19" t="s">
        <v>31</v>
      </c>
      <c r="H21" s="73">
        <f>IFERROR($E$21/H14,"-")</f>
        <v>30.774619421096151</v>
      </c>
      <c r="I21" s="73">
        <f>IFERROR($E$21/I14,"-")</f>
        <v>24.382690647054865</v>
      </c>
    </row>
    <row r="22" spans="2:9" x14ac:dyDescent="0.3">
      <c r="E22" s="67"/>
      <c r="H22" s="67"/>
      <c r="I22" s="67"/>
    </row>
    <row r="23" spans="2:9" x14ac:dyDescent="0.3">
      <c r="B23" s="19" t="s">
        <v>82</v>
      </c>
      <c r="E23" s="70">
        <f>_xll.ciqfunctions.udf.CIQ(E10, "IQ_CASH_EQUIV", , E12)</f>
        <v>2201.0729999999999</v>
      </c>
      <c r="G23" s="19" t="s">
        <v>49</v>
      </c>
      <c r="H23" s="67"/>
      <c r="I23" s="73">
        <f>IFERROR(E29/E34,"-")</f>
        <v>0.47213203435496376</v>
      </c>
    </row>
    <row r="24" spans="2:9" x14ac:dyDescent="0.3">
      <c r="E24" s="67"/>
      <c r="G24" s="19" t="s">
        <v>83</v>
      </c>
      <c r="H24" s="67"/>
      <c r="I24" s="74">
        <f>IFERROR(E29/(E29+E34),"-")</f>
        <v>0.32071310408093617</v>
      </c>
    </row>
    <row r="25" spans="2:9" x14ac:dyDescent="0.3">
      <c r="B25" s="19" t="s">
        <v>99</v>
      </c>
      <c r="E25" s="103">
        <f>_xll.ciqfunctions.udf.CIQ(E10, "IQ_TOTAL_DEBT", , E12)</f>
        <v>4348.5540000000001</v>
      </c>
      <c r="G25" s="19" t="s">
        <v>84</v>
      </c>
      <c r="I25" s="74">
        <f>IFERROR(E29/(E29+E21),"-")</f>
        <v>8.6481149741954269E-2</v>
      </c>
    </row>
    <row r="26" spans="2:9" x14ac:dyDescent="0.3">
      <c r="B26" s="19" t="s">
        <v>102</v>
      </c>
      <c r="E26" s="103">
        <f>_xll.ciqfunctions.udf.CIQ(E10, "IQ_CONVERT", , E12, , , "USD")</f>
        <v>2764.2170000000001</v>
      </c>
      <c r="I26" s="74"/>
    </row>
    <row r="27" spans="2:9" x14ac:dyDescent="0.3">
      <c r="B27" s="19" t="s">
        <v>101</v>
      </c>
      <c r="E27" s="84">
        <f>+E25-E26</f>
        <v>1584.337</v>
      </c>
    </row>
    <row r="28" spans="2:9" x14ac:dyDescent="0.3">
      <c r="B28" s="59" t="s">
        <v>103</v>
      </c>
      <c r="C28" s="59"/>
      <c r="D28" s="59"/>
      <c r="E28" s="71">
        <f>+E79</f>
        <v>2104</v>
      </c>
    </row>
    <row r="29" spans="2:9" x14ac:dyDescent="0.3">
      <c r="B29" s="20" t="s">
        <v>100</v>
      </c>
      <c r="C29" s="20"/>
      <c r="D29" s="20"/>
      <c r="E29" s="105">
        <f>+E27+E28</f>
        <v>3688.337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11</v>
      </c>
      <c r="E31" s="84">
        <f>+E29-E23</f>
        <v>1487.2640000000001</v>
      </c>
    </row>
    <row r="32" spans="2:9" x14ac:dyDescent="0.3">
      <c r="B32" s="20" t="s">
        <v>43</v>
      </c>
      <c r="C32" s="20"/>
      <c r="D32" s="20"/>
      <c r="E32" s="83">
        <f>+E21+E31</f>
        <v>40447.955268072292</v>
      </c>
    </row>
    <row r="33" spans="2:26" x14ac:dyDescent="0.3">
      <c r="E33" s="67"/>
    </row>
    <row r="34" spans="2:26" x14ac:dyDescent="0.3">
      <c r="B34" s="19" t="s">
        <v>48</v>
      </c>
      <c r="E34" s="70">
        <f>_xll.ciqfunctions.udf.CIQ(E10, "IQ_TOTAL_EQUITY", , E12)</f>
        <v>7812.0879999999997</v>
      </c>
    </row>
    <row r="36" spans="2:26" x14ac:dyDescent="0.3">
      <c r="B36" s="62" t="s">
        <v>50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53</v>
      </c>
      <c r="D38" s="60" t="s">
        <v>52</v>
      </c>
      <c r="E38" s="60" t="s">
        <v>53</v>
      </c>
      <c r="F38" s="60"/>
    </row>
    <row r="39" spans="2:26" ht="17" x14ac:dyDescent="0.6">
      <c r="B39" s="29" t="s">
        <v>51</v>
      </c>
      <c r="C39" s="31" t="s">
        <v>55</v>
      </c>
      <c r="D39" s="31" t="s">
        <v>9</v>
      </c>
      <c r="E39" s="31" t="s">
        <v>104</v>
      </c>
      <c r="F39" s="31" t="s">
        <v>54</v>
      </c>
    </row>
    <row r="40" spans="2:26" s="85" customFormat="1" ht="10.5" x14ac:dyDescent="0.25">
      <c r="C40" s="85" t="s">
        <v>24</v>
      </c>
      <c r="D40" s="86" t="s">
        <v>19</v>
      </c>
      <c r="E40" s="85" t="s">
        <v>24</v>
      </c>
      <c r="F40" s="86" t="s">
        <v>23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 t="s">
        <v>111</v>
      </c>
      <c r="C41" s="68">
        <v>2.9</v>
      </c>
      <c r="D41" s="66">
        <v>9.84</v>
      </c>
      <c r="E41" s="64">
        <f>+IF(D41&lt;$E$11,C41,0)</f>
        <v>2.9</v>
      </c>
      <c r="F41" s="75">
        <f>+D41*E41</f>
        <v>28.535999999999998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56</v>
      </c>
      <c r="C47" s="72"/>
      <c r="D47" s="72"/>
      <c r="E47" s="77">
        <f>SUM(E41:E46)</f>
        <v>2.9</v>
      </c>
      <c r="F47" s="78">
        <f>SUM(F41:F46)</f>
        <v>28.535999999999998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57</v>
      </c>
      <c r="C49" s="67"/>
      <c r="D49" s="67"/>
      <c r="E49" s="67"/>
      <c r="F49" s="64">
        <f>+E47</f>
        <v>2.9</v>
      </c>
    </row>
    <row r="50" spans="2:6" x14ac:dyDescent="0.3">
      <c r="B50" s="19" t="s">
        <v>58</v>
      </c>
      <c r="C50" s="67"/>
      <c r="D50" s="67"/>
      <c r="E50" s="67"/>
      <c r="F50" s="64">
        <f>IF(ISERR($F47/E11),"-",$F47/E11)</f>
        <v>0.630908688923281</v>
      </c>
    </row>
    <row r="51" spans="2:6" x14ac:dyDescent="0.3">
      <c r="B51" s="19" t="s">
        <v>85</v>
      </c>
      <c r="C51" s="67"/>
      <c r="D51" s="67"/>
      <c r="E51" s="67"/>
      <c r="F51" s="64">
        <f>+IF(ISERR(F49-F50),"-",F49-F50)</f>
        <v>2.269091311076719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86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89</v>
      </c>
      <c r="F55" s="64"/>
    </row>
    <row r="56" spans="2:6" x14ac:dyDescent="0.3">
      <c r="B56" s="92"/>
      <c r="D56" s="67"/>
      <c r="E56" s="60" t="s">
        <v>53</v>
      </c>
      <c r="F56" s="64"/>
    </row>
    <row r="57" spans="2:6" ht="17" x14ac:dyDescent="0.6">
      <c r="B57" s="29" t="s">
        <v>51</v>
      </c>
      <c r="C57" s="29" t="s">
        <v>90</v>
      </c>
      <c r="D57" s="29" t="s">
        <v>90</v>
      </c>
      <c r="E57" s="31" t="s">
        <v>55</v>
      </c>
      <c r="F57" s="64"/>
    </row>
    <row r="58" spans="2:6" x14ac:dyDescent="0.3">
      <c r="E58" s="85" t="s">
        <v>24</v>
      </c>
      <c r="F58" s="64"/>
    </row>
    <row r="59" spans="2:6" x14ac:dyDescent="0.3">
      <c r="B59" s="56" t="s">
        <v>112</v>
      </c>
      <c r="C59" s="56"/>
      <c r="D59" s="56"/>
      <c r="E59" s="68">
        <v>0.72899999999999998</v>
      </c>
      <c r="F59" s="64"/>
    </row>
    <row r="60" spans="2:6" x14ac:dyDescent="0.3">
      <c r="B60" s="56" t="s">
        <v>113</v>
      </c>
      <c r="C60" s="56"/>
      <c r="D60" s="56"/>
      <c r="E60" s="68">
        <v>0.91700000000000004</v>
      </c>
      <c r="F60" s="64"/>
    </row>
    <row r="61" spans="2:6" x14ac:dyDescent="0.3">
      <c r="B61" s="56" t="s">
        <v>109</v>
      </c>
      <c r="C61" s="56"/>
      <c r="D61" s="56"/>
      <c r="E61" s="68">
        <v>38.932000000000002</v>
      </c>
      <c r="F61" s="64"/>
    </row>
    <row r="62" spans="2:6" x14ac:dyDescent="0.3">
      <c r="B62" s="56" t="s">
        <v>114</v>
      </c>
      <c r="C62" s="56"/>
      <c r="D62" s="56"/>
      <c r="E62" s="68">
        <v>2</v>
      </c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56</v>
      </c>
      <c r="D64" s="67"/>
      <c r="E64" s="101">
        <f>SUM(E59:E63)</f>
        <v>42.578000000000003</v>
      </c>
      <c r="F64" s="64"/>
    </row>
    <row r="66" spans="2:5" x14ac:dyDescent="0.3">
      <c r="B66" s="62" t="s">
        <v>42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60</v>
      </c>
      <c r="D68" s="60" t="s">
        <v>61</v>
      </c>
      <c r="E68" s="60" t="s">
        <v>10</v>
      </c>
    </row>
    <row r="69" spans="2:5" ht="17" x14ac:dyDescent="0.6">
      <c r="B69" s="29" t="s">
        <v>59</v>
      </c>
      <c r="C69" s="31" t="s">
        <v>26</v>
      </c>
      <c r="D69" s="31" t="s">
        <v>9</v>
      </c>
      <c r="E69" s="31" t="s">
        <v>62</v>
      </c>
    </row>
    <row r="70" spans="2:5" x14ac:dyDescent="0.3">
      <c r="C70" s="85" t="s">
        <v>24</v>
      </c>
      <c r="D70" s="86" t="s">
        <v>19</v>
      </c>
      <c r="E70" s="85" t="s">
        <v>24</v>
      </c>
    </row>
    <row r="71" spans="2:5" x14ac:dyDescent="0.3">
      <c r="B71" s="56" t="s">
        <v>105</v>
      </c>
      <c r="C71" s="70">
        <v>954</v>
      </c>
      <c r="D71" s="66">
        <v>77.64</v>
      </c>
      <c r="E71" s="64">
        <f>IF(ISNUMBER($D71),IF($E$11&gt;$D71,$C71/$D71,0),0)</f>
        <v>0</v>
      </c>
    </row>
    <row r="72" spans="2:5" x14ac:dyDescent="0.3">
      <c r="B72" s="56" t="s">
        <v>106</v>
      </c>
      <c r="C72" s="70">
        <v>1150</v>
      </c>
      <c r="D72" s="66">
        <v>57.14</v>
      </c>
      <c r="E72" s="64">
        <f t="shared" ref="E72:E75" si="2">IF(ISNUMBER($D72),IF($E$11&gt;$D72,$C72/$D72,0),0)</f>
        <v>0</v>
      </c>
    </row>
    <row r="73" spans="2:5" x14ac:dyDescent="0.3">
      <c r="B73" s="56" t="s">
        <v>107</v>
      </c>
      <c r="C73" s="70">
        <v>1000</v>
      </c>
      <c r="D73" s="66">
        <v>41.5</v>
      </c>
      <c r="E73" s="64">
        <f t="shared" si="2"/>
        <v>24.096385542168676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56</v>
      </c>
      <c r="C76" s="83">
        <f>SUM(C71:C75)</f>
        <v>3104</v>
      </c>
      <c r="D76" s="72"/>
      <c r="E76" s="77">
        <f>SUM(E71:E75)</f>
        <v>24.096385542168676</v>
      </c>
    </row>
    <row r="77" spans="2:5" x14ac:dyDescent="0.3">
      <c r="C77" s="67"/>
      <c r="D77" s="67"/>
      <c r="E77" s="67"/>
    </row>
    <row r="78" spans="2:5" x14ac:dyDescent="0.3">
      <c r="B78" s="19" t="s">
        <v>63</v>
      </c>
      <c r="C78" s="67"/>
      <c r="D78" s="67"/>
      <c r="E78" s="84">
        <f>SUMIF(D71:D75,"&lt;"&amp;$E$11,C71:C75)</f>
        <v>1000</v>
      </c>
    </row>
    <row r="79" spans="2:5" x14ac:dyDescent="0.3">
      <c r="B79" s="19" t="s">
        <v>64</v>
      </c>
      <c r="C79" s="67"/>
      <c r="D79" s="67"/>
      <c r="E79" s="84">
        <f>+C76-E78</f>
        <v>2104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4030-66A7-4643-9D42-BD682BC2EDB3}">
  <dimension ref="A1:Z79"/>
  <sheetViews>
    <sheetView showGridLines="0" zoomScaleNormal="100" workbookViewId="0">
      <pane ySplit="3" topLeftCell="A4" activePane="bottomLeft" state="frozen"/>
      <selection activeCell="B34" sqref="B34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50.7265625" style="19" customWidth="1"/>
    <col min="3" max="6" width="15.7265625" style="19" customWidth="1"/>
    <col min="7" max="7" width="50.7265625" style="19" customWidth="1"/>
    <col min="8" max="9" width="15.7265625" style="19" customWidth="1"/>
    <col min="10" max="16384" width="11.7265625" style="19"/>
  </cols>
  <sheetData>
    <row r="1" spans="1:9" s="15" customFormat="1" ht="15.5" x14ac:dyDescent="0.35">
      <c r="A1" s="53" t="s">
        <v>36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tr">
        <f>_xll.ciqfunctions.udf.CIQ($E$10, "IQ_COMPANY_NAME")</f>
        <v>eBay Inc.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5" x14ac:dyDescent="0.35">
      <c r="A3" s="54" t="s">
        <v>122</v>
      </c>
      <c r="B3" s="18"/>
      <c r="C3" s="18"/>
      <c r="D3" s="18"/>
      <c r="E3" s="17"/>
      <c r="F3" s="17"/>
      <c r="G3" s="17"/>
      <c r="H3" s="17"/>
      <c r="I3" s="17"/>
    </row>
    <row r="6" spans="1:9" ht="15.5" x14ac:dyDescent="0.3">
      <c r="B6" s="55" t="str">
        <f>_xll.ciqfunctions.udf.CIQ($E$10, "IQ_COMPANY_NAME")</f>
        <v>eBay Inc.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27</v>
      </c>
      <c r="C8" s="62"/>
      <c r="D8" s="62"/>
      <c r="E8" s="62"/>
      <c r="G8" s="62" t="s">
        <v>47</v>
      </c>
      <c r="H8" s="63"/>
      <c r="I8" s="63"/>
    </row>
    <row r="9" spans="1:9" ht="5.25" customHeight="1" x14ac:dyDescent="0.3"/>
    <row r="10" spans="1:9" ht="17" x14ac:dyDescent="0.6">
      <c r="B10" s="19" t="s">
        <v>38</v>
      </c>
      <c r="E10" s="65" t="str">
        <f>_xll.ciqfunctions.udf.CIQ("NasdaqGS:EBAY", "IQ_COMPANY_TICKER")</f>
        <v>NasdaqGS:EBAY</v>
      </c>
      <c r="G10" s="57" t="s">
        <v>44</v>
      </c>
      <c r="H10" s="31" t="s">
        <v>29</v>
      </c>
      <c r="I10" s="31" t="s">
        <v>30</v>
      </c>
    </row>
    <row r="11" spans="1:9" x14ac:dyDescent="0.3">
      <c r="B11" s="19" t="s">
        <v>77</v>
      </c>
      <c r="E11" s="66">
        <f>_xll.ciqfunctions.udf.CIQ(E10, "IQ_LASTSALEPRICE", E12)</f>
        <v>50.53</v>
      </c>
      <c r="G11" s="19" t="s">
        <v>28</v>
      </c>
      <c r="H11" s="70">
        <f>_xll.ciqfunctions.udf.CIQ($E$10, "IQ_REVENUE_EST", "FY2021", $E$12)</f>
        <v>10919.145409999999</v>
      </c>
      <c r="I11" s="70">
        <f>_xll.ciqfunctions.udf.CIQ($E$10, "IQ_REVENUE_EST", "FY2022", $E$12)</f>
        <v>11787.213809999999</v>
      </c>
    </row>
    <row r="12" spans="1:9" x14ac:dyDescent="0.3">
      <c r="B12" s="19" t="s">
        <v>39</v>
      </c>
      <c r="E12" s="106">
        <v>44159</v>
      </c>
      <c r="G12" s="19" t="s">
        <v>12</v>
      </c>
      <c r="H12" s="70">
        <f>_xll.ciqfunctions.udf.CIQ($E$10, "IQ_EBITDA_EST", "FY2021", $E$12)</f>
        <v>3962.1239999999998</v>
      </c>
      <c r="I12" s="70">
        <f>_xll.ciqfunctions.udf.CIQ($E$10, "IQ_EBITDA_EST", "FY2022", $E$12)</f>
        <v>4394.7444999999998</v>
      </c>
    </row>
    <row r="13" spans="1:9" x14ac:dyDescent="0.3">
      <c r="E13" s="67"/>
      <c r="G13" s="19" t="s">
        <v>13</v>
      </c>
      <c r="H13" s="70">
        <f>_xll.ciqfunctions.udf.CIQ($E$10, "IQ_NI_REPORTED_EST", "FY2021", $E$12)</f>
        <v>2073.2998899999998</v>
      </c>
      <c r="I13" s="70">
        <f>_xll.ciqfunctions.udf.CIQ($E$10, "IQ_NI_REPORTED_EST", "FY2022", $E$12)</f>
        <v>2309.6981500000002</v>
      </c>
    </row>
    <row r="14" spans="1:9" x14ac:dyDescent="0.3">
      <c r="B14" s="58" t="s">
        <v>40</v>
      </c>
      <c r="E14" s="67"/>
      <c r="G14" s="19" t="s">
        <v>31</v>
      </c>
      <c r="H14" s="70">
        <f>_xll.ciqfunctions.udf.CIQ($E$10, "IQ_CASH_OPER_EST", "FY2021", $E$12)</f>
        <v>3375.0111099999999</v>
      </c>
      <c r="I14" s="70">
        <f>_xll.ciqfunctions.udf.CIQ($E$10, "IQ_CASH_OPER_EST", "FY2022", $E$12)</f>
        <v>3614.4166700000001</v>
      </c>
    </row>
    <row r="15" spans="1:9" x14ac:dyDescent="0.3">
      <c r="B15" s="19" t="s">
        <v>78</v>
      </c>
      <c r="E15" s="107">
        <f>_xll.ciqfunctions.udf.CIQ(E10, "IQ_TOTAL_OUTSTANDING_BS_DATE", , E12)</f>
        <v>689</v>
      </c>
      <c r="H15" s="67"/>
      <c r="I15" s="67"/>
    </row>
    <row r="16" spans="1:9" ht="16.5" customHeight="1" x14ac:dyDescent="0.3">
      <c r="B16" s="93" t="s">
        <v>88</v>
      </c>
      <c r="C16" s="93"/>
      <c r="D16" s="93"/>
      <c r="E16" s="98">
        <f>+E64</f>
        <v>27</v>
      </c>
      <c r="H16" s="67"/>
      <c r="I16" s="67"/>
    </row>
    <row r="17" spans="2:9" ht="16.5" customHeight="1" x14ac:dyDescent="0.3">
      <c r="B17" s="93" t="s">
        <v>79</v>
      </c>
      <c r="C17" s="93"/>
      <c r="D17" s="93"/>
      <c r="E17" s="98">
        <f>+F51</f>
        <v>0</v>
      </c>
      <c r="G17" s="94" t="s">
        <v>46</v>
      </c>
      <c r="H17" s="100" t="s">
        <v>29</v>
      </c>
      <c r="I17" s="100" t="s">
        <v>30</v>
      </c>
    </row>
    <row r="18" spans="2:9" ht="16.5" customHeight="1" x14ac:dyDescent="0.3">
      <c r="B18" s="97" t="s">
        <v>80</v>
      </c>
      <c r="C18" s="97"/>
      <c r="D18" s="97"/>
      <c r="E18" s="99">
        <f>+E76</f>
        <v>0</v>
      </c>
      <c r="G18" s="19" t="s">
        <v>28</v>
      </c>
      <c r="H18" s="73">
        <f>IFERROR($E$32/H11,"-")</f>
        <v>3.970501204269612</v>
      </c>
      <c r="I18" s="73">
        <f>IFERROR($E$32/I11,"-")</f>
        <v>3.6780939668048664</v>
      </c>
    </row>
    <row r="19" spans="2:9" x14ac:dyDescent="0.3">
      <c r="B19" s="93" t="s">
        <v>87</v>
      </c>
      <c r="E19" s="102">
        <f>SUM(E15:E18)</f>
        <v>716</v>
      </c>
      <c r="G19" s="19" t="s">
        <v>12</v>
      </c>
      <c r="H19" s="73">
        <f>IFERROR($E$32/H12,"-")</f>
        <v>10.942231994758368</v>
      </c>
      <c r="I19" s="73">
        <f>IFERROR($E$32/I12,"-")</f>
        <v>9.8650740674457875</v>
      </c>
    </row>
    <row r="20" spans="2:9" x14ac:dyDescent="0.3">
      <c r="E20" s="67"/>
      <c r="G20" s="19" t="s">
        <v>13</v>
      </c>
      <c r="H20" s="73">
        <f>IFERROR($E$21/H13,"-")</f>
        <v>17.450191443361341</v>
      </c>
      <c r="I20" s="73">
        <f>IFERROR($E$21/I13,"-")</f>
        <v>15.66415940541841</v>
      </c>
    </row>
    <row r="21" spans="2:9" x14ac:dyDescent="0.3">
      <c r="B21" s="20" t="s">
        <v>41</v>
      </c>
      <c r="C21" s="20"/>
      <c r="D21" s="20"/>
      <c r="E21" s="83">
        <f>+E11*E19</f>
        <v>36179.480000000003</v>
      </c>
      <c r="G21" s="19" t="s">
        <v>31</v>
      </c>
      <c r="H21" s="73">
        <f>IFERROR($E$21/H14,"-")</f>
        <v>10.719810637897428</v>
      </c>
      <c r="I21" s="73">
        <f>IFERROR($E$21/I14,"-")</f>
        <v>10.00977012426185</v>
      </c>
    </row>
    <row r="22" spans="2:9" x14ac:dyDescent="0.3">
      <c r="E22" s="67"/>
      <c r="H22" s="67"/>
      <c r="I22" s="67"/>
    </row>
    <row r="23" spans="2:9" x14ac:dyDescent="0.3">
      <c r="B23" s="19" t="s">
        <v>82</v>
      </c>
      <c r="E23" s="70">
        <f>_xll.ciqfunctions.udf.CIQ(E10, "IQ_CASH_EQUIV", , E12)</f>
        <v>963</v>
      </c>
      <c r="G23" s="19" t="s">
        <v>49</v>
      </c>
      <c r="H23" s="67"/>
      <c r="I23" s="73">
        <f>IFERROR(E29/E34,"-")</f>
        <v>2.786986301369863</v>
      </c>
    </row>
    <row r="24" spans="2:9" x14ac:dyDescent="0.3">
      <c r="E24" s="67"/>
      <c r="G24" s="19" t="s">
        <v>83</v>
      </c>
      <c r="H24" s="67"/>
      <c r="I24" s="74">
        <f>IFERROR(E29/(E29+E34),"-")</f>
        <v>0.73593778260083198</v>
      </c>
    </row>
    <row r="25" spans="2:9" x14ac:dyDescent="0.3">
      <c r="B25" s="19" t="s">
        <v>99</v>
      </c>
      <c r="E25" s="103">
        <f>_xll.ciqfunctions.udf.CIQ(E10, "IQ_TOTAL_DEBT", , E12)</f>
        <v>8138</v>
      </c>
      <c r="G25" s="19" t="s">
        <v>84</v>
      </c>
      <c r="I25" s="74">
        <f>IFERROR(E29/(E29+E21),"-")</f>
        <v>0.18362957460577631</v>
      </c>
    </row>
    <row r="26" spans="2:9" x14ac:dyDescent="0.3">
      <c r="B26" s="19" t="s">
        <v>102</v>
      </c>
      <c r="E26" s="103">
        <f>_xll.ciqfunctions.udf.CIQ(E10, "IQ_CONVERT", , E12, , , "USD")</f>
        <v>0</v>
      </c>
      <c r="I26" s="74"/>
    </row>
    <row r="27" spans="2:9" x14ac:dyDescent="0.3">
      <c r="B27" s="19" t="s">
        <v>101</v>
      </c>
      <c r="E27" s="84">
        <f>+E25-E26</f>
        <v>8138</v>
      </c>
    </row>
    <row r="28" spans="2:9" x14ac:dyDescent="0.3">
      <c r="B28" s="59" t="s">
        <v>103</v>
      </c>
      <c r="C28" s="59"/>
      <c r="D28" s="59"/>
      <c r="E28" s="71">
        <f>+E79</f>
        <v>0</v>
      </c>
    </row>
    <row r="29" spans="2:9" x14ac:dyDescent="0.3">
      <c r="B29" s="20" t="s">
        <v>100</v>
      </c>
      <c r="C29" s="20"/>
      <c r="D29" s="20"/>
      <c r="E29" s="105">
        <f>+E27+E28</f>
        <v>8138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11</v>
      </c>
      <c r="E31" s="84">
        <f>+E29-E23</f>
        <v>7175</v>
      </c>
    </row>
    <row r="32" spans="2:9" x14ac:dyDescent="0.3">
      <c r="B32" s="20" t="s">
        <v>43</v>
      </c>
      <c r="C32" s="20"/>
      <c r="D32" s="20"/>
      <c r="E32" s="83">
        <f>+E21+E31</f>
        <v>43354.48</v>
      </c>
    </row>
    <row r="33" spans="2:26" x14ac:dyDescent="0.3">
      <c r="E33" s="67"/>
    </row>
    <row r="34" spans="2:26" x14ac:dyDescent="0.3">
      <c r="B34" s="19" t="s">
        <v>48</v>
      </c>
      <c r="E34" s="70">
        <f>_xll.ciqfunctions.udf.CIQ(E10, "IQ_TOTAL_EQUITY", , E12)</f>
        <v>2920</v>
      </c>
    </row>
    <row r="36" spans="2:26" x14ac:dyDescent="0.3">
      <c r="B36" s="62" t="s">
        <v>50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53</v>
      </c>
      <c r="D38" s="60" t="s">
        <v>52</v>
      </c>
      <c r="E38" s="60" t="s">
        <v>53</v>
      </c>
      <c r="F38" s="60"/>
    </row>
    <row r="39" spans="2:26" ht="17" x14ac:dyDescent="0.6">
      <c r="B39" s="29" t="s">
        <v>51</v>
      </c>
      <c r="C39" s="31" t="s">
        <v>55</v>
      </c>
      <c r="D39" s="31" t="s">
        <v>9</v>
      </c>
      <c r="E39" s="31" t="s">
        <v>104</v>
      </c>
      <c r="F39" s="31" t="s">
        <v>54</v>
      </c>
    </row>
    <row r="40" spans="2:26" s="85" customFormat="1" ht="10.5" x14ac:dyDescent="0.25">
      <c r="C40" s="85" t="s">
        <v>24</v>
      </c>
      <c r="D40" s="86" t="s">
        <v>19</v>
      </c>
      <c r="E40" s="85" t="s">
        <v>24</v>
      </c>
      <c r="F40" s="86" t="s">
        <v>23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/>
      <c r="C41" s="68"/>
      <c r="D41" s="66"/>
      <c r="E41" s="64">
        <f>+IF(D41&lt;$E$11,C41,0)</f>
        <v>0</v>
      </c>
      <c r="F41" s="75">
        <f>+D41*E41</f>
        <v>0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56</v>
      </c>
      <c r="C47" s="72"/>
      <c r="D47" s="72"/>
      <c r="E47" s="77">
        <f>SUM(E41:E46)</f>
        <v>0</v>
      </c>
      <c r="F47" s="78">
        <f>SUM(F41:F46)</f>
        <v>0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57</v>
      </c>
      <c r="C49" s="67"/>
      <c r="D49" s="67"/>
      <c r="E49" s="67"/>
      <c r="F49" s="64">
        <f>+E47</f>
        <v>0</v>
      </c>
    </row>
    <row r="50" spans="2:6" x14ac:dyDescent="0.3">
      <c r="B50" s="19" t="s">
        <v>58</v>
      </c>
      <c r="C50" s="67"/>
      <c r="D50" s="67"/>
      <c r="E50" s="67"/>
      <c r="F50" s="64">
        <f>IF(ISERR($F47/E11),"-",$F47/E11)</f>
        <v>0</v>
      </c>
    </row>
    <row r="51" spans="2:6" x14ac:dyDescent="0.3">
      <c r="B51" s="19" t="s">
        <v>85</v>
      </c>
      <c r="C51" s="67"/>
      <c r="D51" s="67"/>
      <c r="E51" s="67"/>
      <c r="F51" s="64">
        <f>+IF(ISERR(F49-F50),"-",F49-F50)</f>
        <v>0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86</v>
      </c>
      <c r="C53" s="62"/>
      <c r="D53" s="62"/>
      <c r="E53" s="62"/>
      <c r="F53" s="64"/>
    </row>
    <row r="54" spans="2:6" s="91" customFormat="1" ht="5.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89</v>
      </c>
      <c r="F55" s="64"/>
    </row>
    <row r="56" spans="2:6" x14ac:dyDescent="0.3">
      <c r="B56" s="92"/>
      <c r="D56" s="67"/>
      <c r="E56" s="60" t="s">
        <v>53</v>
      </c>
      <c r="F56" s="64"/>
    </row>
    <row r="57" spans="2:6" ht="17" x14ac:dyDescent="0.6">
      <c r="B57" s="29" t="s">
        <v>51</v>
      </c>
      <c r="C57" s="29" t="s">
        <v>90</v>
      </c>
      <c r="D57" s="29" t="s">
        <v>90</v>
      </c>
      <c r="E57" s="31" t="s">
        <v>55</v>
      </c>
      <c r="F57" s="64"/>
    </row>
    <row r="58" spans="2:6" x14ac:dyDescent="0.3">
      <c r="E58" s="85" t="s">
        <v>24</v>
      </c>
      <c r="F58" s="64"/>
    </row>
    <row r="59" spans="2:6" x14ac:dyDescent="0.3">
      <c r="B59" s="56" t="s">
        <v>109</v>
      </c>
      <c r="C59" s="56"/>
      <c r="D59" s="56"/>
      <c r="E59" s="68">
        <v>27</v>
      </c>
      <c r="F59" s="64"/>
    </row>
    <row r="60" spans="2:6" x14ac:dyDescent="0.3">
      <c r="B60" s="56"/>
      <c r="C60" s="56"/>
      <c r="D60" s="56"/>
      <c r="E60" s="68"/>
      <c r="F60" s="64"/>
    </row>
    <row r="61" spans="2:6" x14ac:dyDescent="0.3">
      <c r="B61" s="56"/>
      <c r="C61" s="56"/>
      <c r="D61" s="56"/>
      <c r="E61" s="68"/>
      <c r="F61" s="64"/>
    </row>
    <row r="62" spans="2:6" x14ac:dyDescent="0.3">
      <c r="B62" s="56"/>
      <c r="C62" s="56"/>
      <c r="D62" s="56"/>
      <c r="E62" s="68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56</v>
      </c>
      <c r="D64" s="67"/>
      <c r="E64" s="101">
        <f>SUM(E59:E63)</f>
        <v>27</v>
      </c>
      <c r="F64" s="64"/>
    </row>
    <row r="66" spans="2:5" x14ac:dyDescent="0.3">
      <c r="B66" s="62" t="s">
        <v>42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60</v>
      </c>
      <c r="D68" s="60" t="s">
        <v>61</v>
      </c>
      <c r="E68" s="60" t="s">
        <v>10</v>
      </c>
    </row>
    <row r="69" spans="2:5" ht="17" x14ac:dyDescent="0.6">
      <c r="B69" s="29" t="s">
        <v>59</v>
      </c>
      <c r="C69" s="31" t="s">
        <v>26</v>
      </c>
      <c r="D69" s="31" t="s">
        <v>9</v>
      </c>
      <c r="E69" s="31" t="s">
        <v>62</v>
      </c>
    </row>
    <row r="70" spans="2:5" x14ac:dyDescent="0.3">
      <c r="C70" s="85" t="s">
        <v>24</v>
      </c>
      <c r="D70" s="86" t="s">
        <v>19</v>
      </c>
      <c r="E70" s="85" t="s">
        <v>24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56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63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64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Comps Table</vt:lpstr>
      <vt:lpstr>AMZN</vt:lpstr>
      <vt:lpstr>GOOG.L</vt:lpstr>
      <vt:lpstr>FB</vt:lpstr>
      <vt:lpstr>WMT</vt:lpstr>
      <vt:lpstr>TWTR</vt:lpstr>
      <vt:lpstr>EBAY</vt:lpstr>
      <vt:lpstr>SNAP</vt:lpstr>
      <vt:lpstr>EXPE</vt:lpstr>
      <vt:lpstr>Company Template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Katie Au Yeung</cp:lastModifiedBy>
  <dcterms:created xsi:type="dcterms:W3CDTF">2020-09-13T07:04:14Z</dcterms:created>
  <dcterms:modified xsi:type="dcterms:W3CDTF">2021-04-30T20:14:19Z</dcterms:modified>
</cp:coreProperties>
</file>