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41. Business Valuation Part II\Attachments\"/>
    </mc:Choice>
  </mc:AlternateContent>
  <xr:revisionPtr revIDLastSave="0" documentId="13_ncr:1_{66156864-C747-4744-9B12-3891EFC3D568}" xr6:coauthVersionLast="46" xr6:coauthVersionMax="46" xr10:uidLastSave="{00000000-0000-0000-0000-000000000000}"/>
  <bookViews>
    <workbookView xWindow="2660" yWindow="2740" windowWidth="9200" windowHeight="4540" firstSheet="1" activeTab="1" xr2:uid="{FED1C20F-AE0D-417B-A7E2-FF11FEC31890}"/>
  </bookViews>
  <sheets>
    <sheet name="_CIQHiddenCacheSheet" sheetId="25" state="veryHidden" r:id="rId1"/>
    <sheet name="Cover Page" sheetId="5" r:id="rId2"/>
    <sheet name="FB" sheetId="18" r:id="rId3"/>
    <sheet name="FB (Capital IQ)" sheetId="23" r:id="rId4"/>
    <sheet name="Acquisition Assumptions" sheetId="6" r:id="rId5"/>
  </sheets>
  <definedNames>
    <definedName name="CIQWBGuid" hidden="1">"3e754fd9-1695-4697-a0d5-86d7303769a0"</definedName>
    <definedName name="CIQWBInfo" hidden="1">"{ ""CIQVersion"":""9.45.614.5792""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"10/29/2020 19:04:14"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23" l="1"/>
  <c r="I13" i="23"/>
  <c r="I12" i="23"/>
  <c r="H12" i="23"/>
  <c r="I11" i="23"/>
  <c r="H14" i="23"/>
  <c r="H13" i="23"/>
  <c r="H11" i="23"/>
  <c r="E34" i="23"/>
  <c r="E26" i="23"/>
  <c r="C76" i="23"/>
  <c r="E75" i="23"/>
  <c r="E74" i="23"/>
  <c r="E73" i="23"/>
  <c r="E72" i="23"/>
  <c r="E71" i="23"/>
  <c r="E61" i="23"/>
  <c r="E64" i="23" s="1"/>
  <c r="E16" i="23" s="1"/>
  <c r="E15" i="23"/>
  <c r="E61" i="18"/>
  <c r="E64" i="18" s="1"/>
  <c r="E16" i="18" s="1"/>
  <c r="E34" i="18"/>
  <c r="E25" i="18"/>
  <c r="E15" i="18"/>
  <c r="A2" i="6"/>
  <c r="F25" i="6"/>
  <c r="E26" i="6"/>
  <c r="F26" i="6"/>
  <c r="F27" i="6" s="1"/>
  <c r="E41" i="18"/>
  <c r="E47" i="18" s="1"/>
  <c r="F49" i="18" s="1"/>
  <c r="E42" i="18"/>
  <c r="E43" i="18"/>
  <c r="E44" i="18"/>
  <c r="E45" i="18"/>
  <c r="E46" i="18"/>
  <c r="F41" i="18"/>
  <c r="F47" i="18" s="1"/>
  <c r="F50" i="18" s="1"/>
  <c r="F42" i="18"/>
  <c r="F43" i="18"/>
  <c r="F44" i="18"/>
  <c r="F45" i="18"/>
  <c r="F46" i="18"/>
  <c r="E71" i="18"/>
  <c r="E72" i="18"/>
  <c r="E73" i="18"/>
  <c r="E76" i="18" s="1"/>
  <c r="E18" i="18" s="1"/>
  <c r="E74" i="18"/>
  <c r="E75" i="18"/>
  <c r="C76" i="18"/>
  <c r="E79" i="18" s="1"/>
  <c r="E28" i="18" s="1"/>
  <c r="E78" i="18"/>
  <c r="E25" i="23"/>
  <c r="E23" i="23"/>
  <c r="E11" i="23"/>
  <c r="A2" i="23"/>
  <c r="B6" i="23"/>
  <c r="E27" i="23" l="1"/>
  <c r="E45" i="23"/>
  <c r="F45" i="23" s="1"/>
  <c r="E41" i="23"/>
  <c r="F41" i="23" s="1"/>
  <c r="E43" i="23"/>
  <c r="F43" i="23" s="1"/>
  <c r="E78" i="23"/>
  <c r="E79" i="23" s="1"/>
  <c r="E28" i="23" s="1"/>
  <c r="E46" i="23"/>
  <c r="F46" i="23" s="1"/>
  <c r="E42" i="23"/>
  <c r="F42" i="23" s="1"/>
  <c r="E44" i="23"/>
  <c r="F44" i="23" s="1"/>
  <c r="E76" i="23"/>
  <c r="E18" i="23" s="1"/>
  <c r="E27" i="18"/>
  <c r="E29" i="18" s="1"/>
  <c r="F51" i="18"/>
  <c r="E17" i="18" s="1"/>
  <c r="E19" i="18" s="1"/>
  <c r="E21" i="18" s="1"/>
  <c r="E29" i="23" l="1"/>
  <c r="E31" i="23" s="1"/>
  <c r="E47" i="23"/>
  <c r="F49" i="23" s="1"/>
  <c r="F47" i="23"/>
  <c r="F50" i="23" s="1"/>
  <c r="F51" i="23" s="1"/>
  <c r="E17" i="23" s="1"/>
  <c r="E19" i="23" s="1"/>
  <c r="E21" i="23" s="1"/>
  <c r="H21" i="18"/>
  <c r="I21" i="18"/>
  <c r="H20" i="18"/>
  <c r="I20" i="18"/>
  <c r="I23" i="18"/>
  <c r="I24" i="18"/>
  <c r="E31" i="18"/>
  <c r="E32" i="18" s="1"/>
  <c r="I25" i="18"/>
  <c r="I23" i="23" l="1"/>
  <c r="I24" i="23"/>
  <c r="I21" i="23"/>
  <c r="H20" i="23"/>
  <c r="H21" i="23"/>
  <c r="I20" i="23"/>
  <c r="I25" i="23"/>
  <c r="E32" i="23"/>
  <c r="H19" i="23" s="1"/>
  <c r="I19" i="18"/>
  <c r="H18" i="18"/>
  <c r="I18" i="18"/>
  <c r="H19" i="18"/>
  <c r="I19" i="23" l="1"/>
  <c r="I18" i="23"/>
  <c r="H18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CFI</author>
  </authors>
  <commentList>
    <comment ref="E15" authorId="0" shapeId="0" xr:uid="{16C9C40C-7F6A-4244-855B-90659D957702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Feb 19, 2014 press release:
- 2.6 billion shares outstanding pre-acquisition
- 183 million shares issued as a part of consideration for WhatsApp acquisition</t>
        </r>
      </text>
    </comment>
    <comment ref="E25" authorId="0" shapeId="0" xr:uid="{2B42440B-706B-468B-83FE-20C21897C67B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February 19, 2014 press release
- $4 billion cash consideration funded with new debt</t>
        </r>
      </text>
    </comment>
    <comment ref="E34" authorId="0" shapeId="0" xr:uid="{E66FBB03-65A0-47E5-A3D9-507526CFBB0B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February 19, 2014 press release:
- 183 million shares at $65.265/sh. Issued as consideration</t>
        </r>
      </text>
    </comment>
    <comment ref="E60" authorId="0" shapeId="0" xr:uid="{A6B3D458-71BE-4978-A76F-A654BF05533A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February 19, 2014 press release:
- 46 million RSU's issued as consideration</t>
        </r>
      </text>
    </comment>
    <comment ref="E61" authorId="0" shapeId="0" xr:uid="{9A6E61DD-D4AF-4740-B5B9-1E12E87674D6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February 19, 2014 press release:
- updated number of dilutives outstanding pre-acquisition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CFI</author>
  </authors>
  <commentList>
    <comment ref="E15" authorId="0" shapeId="0" xr:uid="{F5CCDF5E-DF78-4166-B3C1-17F33CC9B966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Feb 19, 2014 press release:
- 2.6 billion shares outstanding pre-acquisition
- 183 million shares issued as a part of consideration for WhatsApp acquisition</t>
        </r>
      </text>
    </comment>
    <comment ref="E25" authorId="0" shapeId="0" xr:uid="{512C186B-27F2-4B92-A68B-AD25CF69720D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February 19, 2014 press release
- $4 billion cash consideration funded with new debt</t>
        </r>
      </text>
    </comment>
    <comment ref="E34" authorId="0" shapeId="0" xr:uid="{400029ED-8490-4885-AB64-EB821CC93DC8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February 19, 2014 press release:
- 183 million shares at $65.265/sh. Issued as consideration</t>
        </r>
      </text>
    </comment>
    <comment ref="E60" authorId="0" shapeId="0" xr:uid="{F6FF7C24-88C7-4637-97B1-CDCFC93790B3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February 19, 2014 press release:
- 46 million RSU's issued as consideration</t>
        </r>
      </text>
    </comment>
    <comment ref="E61" authorId="0" shapeId="0" xr:uid="{F6B93B11-7DB2-4C15-9901-4EE41438C72C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February 19, 2014 press release:
- updated number of dilutives outstanding pre-acquisition</t>
        </r>
      </text>
    </comment>
  </commentList>
</comments>
</file>

<file path=xl/sharedStrings.xml><?xml version="1.0" encoding="utf-8"?>
<sst xmlns="http://schemas.openxmlformats.org/spreadsheetml/2006/main" count="215" uniqueCount="105">
  <si>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</si>
  <si>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</si>
  <si>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</si>
  <si>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</si>
  <si>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</si>
  <si>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2020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</si>
  <si>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</si>
  <si>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</si>
  <si>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</si>
  <si>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Price</t>
  </si>
  <si>
    <t>Shares</t>
  </si>
  <si>
    <t>Net Debt</t>
  </si>
  <si>
    <t>EBITDA</t>
  </si>
  <si>
    <t>Earnings</t>
  </si>
  <si>
    <t>[$/sh.]</t>
  </si>
  <si>
    <t>[$MM]</t>
  </si>
  <si>
    <t>[MM]</t>
  </si>
  <si>
    <t>Value</t>
  </si>
  <si>
    <t>Current Capitalization</t>
  </si>
  <si>
    <t>Revenue</t>
  </si>
  <si>
    <t>FY+1</t>
  </si>
  <si>
    <t>FY+2</t>
  </si>
  <si>
    <t>Cash Flow</t>
  </si>
  <si>
    <t>© Corporate Finance Institute. All rights reserved.</t>
  </si>
  <si>
    <t>Stock Ticker</t>
  </si>
  <si>
    <t>Date</t>
  </si>
  <si>
    <t>Shares Outstanding</t>
  </si>
  <si>
    <t>Market Capitalization (Diluted)</t>
  </si>
  <si>
    <t>Convertible Debt</t>
  </si>
  <si>
    <t>Enterprise Value (Diluted)</t>
  </si>
  <si>
    <t>Consensus Research Estimates</t>
  </si>
  <si>
    <t>Current Trading Multiples</t>
  </si>
  <si>
    <t>Financial Estimates and Current Trading Multiples</t>
  </si>
  <si>
    <t>Book Equity</t>
  </si>
  <si>
    <t>Total Debt / Equity</t>
  </si>
  <si>
    <t>Options and Dilutive Securities Schedule</t>
  </si>
  <si>
    <t>Type</t>
  </si>
  <si>
    <t>Exercise</t>
  </si>
  <si>
    <t>Number</t>
  </si>
  <si>
    <t>Proceeds</t>
  </si>
  <si>
    <t>Outstanding</t>
  </si>
  <si>
    <t>Total</t>
  </si>
  <si>
    <t>In-the-Money Options</t>
  </si>
  <si>
    <t>Shares Repurchased (TSM)</t>
  </si>
  <si>
    <t>Details</t>
  </si>
  <si>
    <t>Face</t>
  </si>
  <si>
    <t>Conversion</t>
  </si>
  <si>
    <t>Issued</t>
  </si>
  <si>
    <t>All Amounts Denominated in $MM Unless Otherwise Stated</t>
  </si>
  <si>
    <t>Total Converted</t>
  </si>
  <si>
    <t>Total Unconverted</t>
  </si>
  <si>
    <t>Table of Contents</t>
  </si>
  <si>
    <r>
      <t xml:space="preserve">Share Price </t>
    </r>
    <r>
      <rPr>
        <i/>
        <sz val="11"/>
        <color theme="1"/>
        <rFont val="Arial Narrow"/>
        <family val="2"/>
      </rPr>
      <t>($/sh.)</t>
    </r>
  </si>
  <si>
    <r>
      <t>Basic Shares Outstanding</t>
    </r>
    <r>
      <rPr>
        <i/>
        <sz val="11"/>
        <color theme="1"/>
        <rFont val="Arial Narrow"/>
        <family val="2"/>
      </rPr>
      <t xml:space="preserve"> (MM)</t>
    </r>
  </si>
  <si>
    <r>
      <t xml:space="preserve">Dilution From Equity Instruments (TSM) </t>
    </r>
    <r>
      <rPr>
        <i/>
        <sz val="11"/>
        <color theme="1"/>
        <rFont val="Arial Narrow"/>
        <family val="2"/>
      </rPr>
      <t>(MM)</t>
    </r>
  </si>
  <si>
    <r>
      <t xml:space="preserve">Dilution From Convertible Debt </t>
    </r>
    <r>
      <rPr>
        <i/>
        <sz val="11"/>
        <color theme="1"/>
        <rFont val="Arial Narrow"/>
        <family val="2"/>
      </rPr>
      <t>(MM)</t>
    </r>
  </si>
  <si>
    <t>Cash and Cash Equivalents</t>
  </si>
  <si>
    <t>Total Debt / Book Capitalization</t>
  </si>
  <si>
    <t>Total Debt / Market Capitalization</t>
  </si>
  <si>
    <t>Additional Shares Issued (TSM)</t>
  </si>
  <si>
    <t>Restricted Stock Units / Restricted Stock Awards</t>
  </si>
  <si>
    <r>
      <t>Diluted Shares Outstanding (TSM)</t>
    </r>
    <r>
      <rPr>
        <i/>
        <sz val="11"/>
        <color theme="1"/>
        <rFont val="Arial Narrow"/>
        <family val="2"/>
      </rPr>
      <t xml:space="preserve"> (MM)</t>
    </r>
  </si>
  <si>
    <r>
      <t xml:space="preserve">Dilution From Unvested RSUs/RSAs </t>
    </r>
    <r>
      <rPr>
        <i/>
        <sz val="11"/>
        <color theme="1"/>
        <rFont val="Arial Narrow"/>
        <family val="2"/>
      </rPr>
      <t>(MM)</t>
    </r>
  </si>
  <si>
    <t>Unvested</t>
  </si>
  <si>
    <t xml:space="preserve"> </t>
  </si>
  <si>
    <t>Total Debt (Balance Sheet)</t>
  </si>
  <si>
    <t>Total Debt (Adjusted)</t>
  </si>
  <si>
    <t>Total Non-Convertible Debt</t>
  </si>
  <si>
    <t>Total Convertible Debt (Balance Sheet)</t>
  </si>
  <si>
    <t>Convertible Debt Outstanding (If-Converted)</t>
  </si>
  <si>
    <t>Exercised</t>
  </si>
  <si>
    <t>1.</t>
  </si>
  <si>
    <t>The acquisition of WhatsApp was announced on February 19, 2014. Once again this is subsequent to when the 2013 year-end filings were released and so the numbers in the Excel table will not reflect this acquisition.</t>
  </si>
  <si>
    <t>2.</t>
  </si>
  <si>
    <t>Total consideration paid by Facebook is $19 billion, comprised of cash, Facebook shares and restricted share units.</t>
  </si>
  <si>
    <t>3.</t>
  </si>
  <si>
    <t>The $19 billion of consideration paid by Facebook is comprised of:</t>
  </si>
  <si>
    <t>a.</t>
  </si>
  <si>
    <t>$4 billion of cash</t>
  </si>
  <si>
    <t>b.</t>
  </si>
  <si>
    <t>183,865,778 Facebook shares at an assumed price of $65.265 per share</t>
  </si>
  <si>
    <t>c.</t>
  </si>
  <si>
    <t>45,966,444 restricted share units at an assumed price of $65.265</t>
  </si>
  <si>
    <t>4.</t>
  </si>
  <si>
    <t>As of February 17, 2014, there are 2,551,654,996 Facebook shares outstanding, which is higher than what was reported at year-end</t>
  </si>
  <si>
    <t>5.</t>
  </si>
  <si>
    <t>As of February 17, 2014, approximately 139 million dilutive securities primarily consisting of unvested RSUs were outstanding</t>
  </si>
  <si>
    <t>Shares &amp; Dilutives at February 17, 2014 (MM)</t>
  </si>
  <si>
    <t>Dilutives</t>
  </si>
  <si>
    <t>Consideration Paid</t>
  </si>
  <si>
    <t>Cash</t>
  </si>
  <si>
    <t>RSU's</t>
  </si>
  <si>
    <t>All Amounts Denominated in US$MM Unless Otherwise Stated</t>
  </si>
  <si>
    <t>Comparable Trading Metrics Template (Pro Forma Adjustments)</t>
  </si>
  <si>
    <t>Facebook</t>
  </si>
  <si>
    <t>NasdaqGS:FB</t>
  </si>
  <si>
    <t>Stock Options</t>
  </si>
  <si>
    <t>Facebook, Inc.</t>
  </si>
  <si>
    <t>RSU's - WhatsApp Acquisition Consideration</t>
  </si>
  <si>
    <t>RSU's - Increase from 2013 Year-end</t>
  </si>
  <si>
    <t>BAABTAVMT0NBTAFI/////wFQFgAAABRDSVEuLklRX0NPTVBBTllfTkFNRQUAAAAAAAAACAAAABQoSW52YWxpZCBJZGVudGlmaWVyKSzrPSphkdgIQbpBKmGR2AghQ0lRLk5BU0RBUUdTOkZCLklRX0NPTVBBTllfVElDS0VSAQAAABfbPAEDAAAAC05hc2RhcUdTOkZCACzrPSphkdgIQeFBKmGR2AgvQ0lRLk5BU0RBUUdTOkZCLklRX0xBU1RTQUxFUFJJQ0UuMjAxNC0wMy0wMS5VU0QBAAAAF9s8AQIAAAAFNjguNDYARbbgbV+R2Ajufv38aJHYCB9DSVEuTkFTREFRR1M6RkIuSVFfQ09NUEFOWV9OQU1FAQAAABfbPAEDAAAADkZhY2Vib29rLCBJbmMuAEW24G1fkdgIIm0c4miR2AgvQ0lRLk5BU0RBUUdTOkZCLklRX0NBU0hfRVFVSVYuLjIwMTQtMDMtMDEuLi5VU0QBAAAAF9s8AQIAAAAEMzMyMwEIAAAABQAAAAExAQAAAAoxNzczOTYzMDgxAwAAAAMxNjACAAAABDEwOTYEAAAAATAHAAAACDMvMS8yMDE0CAAAAAoxMi8zMS8yMDEzCQAAAAEwRbbgbV+R2AjAfFofaZHYCDFDSVEuTkFTREFRR1M6RkIuSVFfVE9UQUxfRVFVSVRZLi4yMDE0LTAzLTAxLi4uVVNEAQAAABfbPAECAAAABTE1NDcwAQgAAAAFAAAAATEBAAAACjE3NzM5NjMwODEDAAAAAzE2MAIAAAAEMTI3NQQAAAABMAcAAAAIMy8xLzIwMTQIAAAACjEyLzMxLzIwMTMJAAAAATBFtuBtX5HYCJ1u4l5pkdgIL0NJUS5OQVNEQVFHUzpGQi5JUV9UT1RB</t>
  </si>
  <si>
    <t>TF9ERUJULi4yMDE0LTAzLTAxLi4uVVNEAQAAABfbPAECAAAAAzQ3NgEIAAAABQAAAAExAQAAAAoxNzczOTYzMDgxAwAAAAMxNjACAAAABDQxNzMEAAAAATAHAAAACDMvMS8yMDE0CAAAAAoxMi8zMS8yMDEzCQAAAAEwRbbgbV+R2AibdOsuaZHYCDVDSVEuTkFTREFRR1M6RkIuSVFfRUJJVERBX0VTVC5GWTIwMTUuMjAxNC0wMy0wMS4uLlVTRAEAAAAX2zwBAgAAAAo4ODkyLjI5MDkyAQ4AAAAFAAAAATMBAAAAATACAAAACjEwMDE1MzMxMTADAAAABjEwMDE4NwQAAAABMgYAAAABMAcAAAADMTYwCAAAAAEwCQAAAAExCgAAAAEwCwAAAAo2ODA0ODExNDY5DAAAAAExDQAAAAgzLzIvMjAxNBAAAAAIMy8xLzIwMTRFtuBtX5HYCHbCXgNqkdgIOENJUS5OQVNEQVFHUzpGQi5JUV9DQVNIX09QRVJfRVNULkZZMjAxNS4yMDE0LTAzLTAxLi4uVVNEAQAAABfbPAECAAAACTY1MDcuODEyNQEOAAAABQAAAAEzAQAAAAEwAgAAAAoxMDAxNTMzMTEwAwAAAAYxMDQwNzYEAAAAATIGAAAAATAHAAAAAzE2MAgAAAABMAkAAAABMQoAAAABMAsAAAAKNTkyNTA5NDQ0OQwAAAABMQ0AAAAIMy8yLzIwMTQQAAAACDMvMS8yMDE0RbbgbV+R2AitTJEJapHYCDhDSVEuTkFTREFRR1M6RkIuSVFfQ0FTSF9PUEVSX0VTVC5GWTIwMTQuMjAxNC0wMy0wMS4uLlVTRAEAAAAX2zwBAgAAAAo0OTI0LjY4ODI0AQ4AAAAFAAAAATMBAAAAATAC</t>
  </si>
  <si>
    <t>AAAACjEwMDE1MzMxMDUDAAAABjEwNDA3NgQAAAABMgYAAAABMAcAAAADMTYwCAAAAAEwCQAAAAExCgAAAAEwCwAAAAo2MDk5MzgyOTc0DAAAAAExDQAAAAgzLzIvMjAxNBAAAAAIMy8xLzIwMTRFtuBtX5HYCHP0W9ppkdgINkNJUS5OQVNEQVFHUzpGQi5JUV9SRVZFTlVFX0VTVC5GWTIwMTQuMjAxNC0wMy0wMS4uLlVTRAEAAAAX2zwBAgAAAAsxMTMwNy45NjI5NwEOAAAABQAAAAEzAQAAAAEwAgAAAAoxMDAxNTMzMTA1AwAAAAYxMDAxODAEAAAAATIGAAAAATAHAAAAAzE2MAgAAAABMAkAAAABMQoAAAABMAsAAAAKNzExODQwODk4MwwAAAABMQ0AAAAIMy8yLzIwMTQQAAAACDMvMS8yMDE0RbbgbV+R2Ah/HFzaaZHYCDpDSVEuTkFTREFRR1M6RkIuSVFfTklfUkVQT1JURURfRVNULkZZMjAxNC4yMDE0LTAzLTAxLi4uVVNEAQAAABfbPAECAAAACTI0NzMuNTc0MQEOAAAABQAAAAEzAQAAAAEwAgAAAAoxMDAxNTMzMTA1AwAAAAYxMDAyNjQEAAAAATIGAAAAATAHAAAAAzE2MAgAAAABMAkAAAABMQoAAAABMAsAAAAKNjAzNTM1NDc1NwwAAAABMQ0AAAAIMy8yLzIwMTQQAAAACDMvMS8yMDE0RbbgbV+R2Ahz9FvaaZHYCDZDSVEuTkFTREFRR1M6RkIuSVFfUkVWRU5VRV9FU1QuRlkyMDE1LjIwMTQtMDMtMDEuLi5VU0QBAAAAF9s8AQIAAAALMTQ3NjAuNDY5NTgBDgAAAAUAAAABMwEAAAABMAIAAAAKMTAwMTUz</t>
  </si>
  <si>
    <t>MzExMAMAAAAGMTAwMTgwBAAAAAEyBgAAAAEwBwAAAAMxNjAIAAAAATAJAAAAATEKAAAAATALAAAACjYwMzUzNTQ5MzMMAAAAATENAAAACDMvMi8yMDE0EAAAAAgzLzEvMjAxNEW24G1fkdgIrgph3WmR2Ag6Q0lRLk5BU0RBUUdTOkZCLklRX05JX1JFUE9SVEVEX0VTVC5GWTIwMTUuMjAxNC0wMy0wMS4uLlVTRAEAAAAX2zwBAgAAAAozNTM0LjQ0NTE3AQ4AAAAFAAAAATMBAAAAATACAAAACjEwMDE1MzMxMTADAAAABjEwMDI2NAQAAAABMgYAAAABMAcAAAADMTYwCAAAAAEwCQAAAAExCgAAAAEwCwAAAAo2MDM1MzU1MzE1DAAAAAExDQAAAAgzLzIvMjAxNBAAAAAIMy8xLzIwMTRFtuBtX5HYCNA8igZqkdgINUNJUS5OQVNEQVFHUzpGQi5JUV9FQklUREFfRVNULkZZMjAxNC4yMDE0LTAzLTAxLi4uVVNEAQAAABfbPAECAAAACjY3OTkuOTczNjYBDgAAAAUAAAABMwEAAAABMAIAAAAKMTAwMTUzMzEwNQMAAAAGMTAwMTg3BAAAAAEyBgAAAAEwBwAAAAMxNjAIAAAAATAJAAAAATEKAAAAATALAAAACjY4MDQ4MDc1NjcMAAAAATENAAAACDMvMi8yMDE0EAAAAAgzLzEvMjAxNEW24G1fkdgIfKaw/2mR2AgqQ0lRLi5JUV9FQklUREFfRVNULkZZMjAxNC4yMDE0LTAzLTAxLi4uVVNEBQAAAAEAAAAIAAAAFChJbnZhbGlkIElkZW50aWZpZXIpydueKmGR2AjJ254qYZHYCC1DSVEuLklRX0NBU0hfT1BFUl9FU1QuRlky</t>
  </si>
  <si>
    <t>MDE0LjIwMTQtMDMtMDEuLi5VU0QFAAAAAQAAAAgAAAAUKEludmFsaWQgSWRlbnRpZmllcinJ254qYZHYCMnbniphkdgIJENJUS4uSVFfVE9UQUxfREVCVC4uMjAxNC0wMy0wMS4uLlVTRAUAAAABAAAACAAAABQoSW52YWxpZCBJZGVudGlmaWVyKcnbniphkdgIydueKmGR2AgmQ0lRLi5JUV9UT1RBTF9FUVVJVFkuLjIwMTQtMDMtMDEuLi5VU0QFAAAAAQAAAAgAAAAUKEludmFsaWQgSWRlbnRpZmllcinJ254qYZHYCMnbniphkdgIJ0NJUS5FMTAuSVFfTEFTVFNBTEVQUklDRS4yMDE0LTAzLTAxLlVTRAEAAACl8MMBAwAAAAAApptC+GiR2AgUb0T4aJHYCCxDSVEuTkFTREFRR1M6RkIuSVFfQ09OVkVSVC4uMjAxNC0wMy0wMS4uLlVTRAEAAAAX2zwBAwAAAAAA4KNtPmmR2AhJnm8+aZHYCC9DSVEuTkFTREFRR1M6RkIuSVFfRUJJVERBX0VTVC4uMjAxNC0wMy0wMS4uLlVTRAEAAAAX2zwBAgAAAAo2Nzk5Ljk3MzY2AQ4AAAAFAAAAAjExAQAAAAEwAgAAAAoxMDAxNTMzMTA1AwAAAAYxMDAxODcEAAAAATIGAAAAATAHAAAAAzE2MAgAAAABMAkAAAABMQoAAAABMAsAAAAKNjgwNDgwNzU2NwwAAAACMTINAAAACDMvMi8yMDE0EAAAAAgzLzEvMjAxNEX+HZlpkdgIc/Rb2mmR2Ag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</si>
</sst>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;\-&quot;$&quot;#,##0"/>
    <numFmt numFmtId="7" formatCode="&quot;$&quot;#,##0.00;\-&quot;$&quot;#,##0.00"/>
    <numFmt numFmtId="43" formatCode="_-* #,##0.00_-;\-* #,##0.00_-;_-* &quot;-&quot;??_-;_-@_-"/>
    <numFmt numFmtId="164" formatCode="0.0\x"/>
    <numFmt numFmtId="165" formatCode="&quot;$&quot;#,##0"/>
    <numFmt numFmtId="166" formatCode="#,##0.0_ ;\-#,##0.0\ "/>
    <numFmt numFmtId="167" formatCode="#,##0.0_)_%;\(#,##0.0\)_%;#,##0.0_)_%;@_)_%"/>
    <numFmt numFmtId="168" formatCode="0.0%"/>
    <numFmt numFmtId="169" formatCode="_-* #,##0.0_-;\-* #,##0.0_-;_-* &quot;-&quot;??_-;_-@_-"/>
    <numFmt numFmtId="170" formatCode="&quot;$&quot;#,##0.000;\-&quot;$&quot;#,##0.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u/>
      <sz val="12"/>
      <color theme="2"/>
      <name val="Arial Narrow"/>
      <family val="2"/>
    </font>
    <font>
      <sz val="12"/>
      <color theme="1"/>
      <name val="Arial Narrow"/>
      <family val="2"/>
    </font>
    <font>
      <u/>
      <sz val="10"/>
      <color theme="1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4"/>
      <color rgb="FFFFFFFF"/>
      <name val="Arial Narrow"/>
      <family val="2"/>
    </font>
    <font>
      <i/>
      <sz val="12"/>
      <color theme="0"/>
      <name val="Arial Narrow"/>
      <family val="2"/>
    </font>
    <font>
      <i/>
      <sz val="10"/>
      <color theme="0"/>
      <name val="Arial Narrow"/>
      <family val="2"/>
    </font>
    <font>
      <b/>
      <u val="singleAccounting"/>
      <sz val="11"/>
      <name val="Arial Narrow"/>
      <family val="2"/>
    </font>
    <font>
      <sz val="8"/>
      <name val="Arial Narrow"/>
      <family val="2"/>
    </font>
    <font>
      <i/>
      <sz val="8"/>
      <name val="Arial Narrow"/>
      <family val="2"/>
    </font>
    <font>
      <b/>
      <sz val="8"/>
      <name val="Arial Narrow"/>
      <family val="2"/>
    </font>
    <font>
      <sz val="8"/>
      <color theme="0"/>
      <name val="Arial Narrow"/>
      <family val="2"/>
    </font>
    <font>
      <i/>
      <sz val="11"/>
      <color theme="0"/>
      <name val="Arial Narrow"/>
      <family val="2"/>
    </font>
    <font>
      <b/>
      <sz val="12"/>
      <color theme="0"/>
      <name val="Arial Narrow"/>
      <family val="2"/>
    </font>
    <font>
      <u val="singleAccounting"/>
      <sz val="11"/>
      <name val="Arial Narrow"/>
      <family val="2"/>
    </font>
    <font>
      <i/>
      <sz val="11"/>
      <color theme="1"/>
      <name val="Arial Narrow"/>
      <family val="2"/>
    </font>
    <font>
      <u/>
      <sz val="11"/>
      <color theme="1"/>
      <name val="Arial Narrow"/>
      <family val="2"/>
    </font>
    <font>
      <u/>
      <sz val="12"/>
      <color rgb="FF0000FF"/>
      <name val="Arial Narrow"/>
      <family val="2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167" fontId="3" fillId="0" borderId="0"/>
    <xf numFmtId="0" fontId="3" fillId="0" borderId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95">
    <xf numFmtId="0" fontId="0" fillId="0" borderId="0" xfId="0"/>
    <xf numFmtId="0" fontId="5" fillId="2" borderId="0" xfId="2" applyFont="1" applyFill="1"/>
    <xf numFmtId="0" fontId="5" fillId="0" borderId="0" xfId="2" applyFont="1"/>
    <xf numFmtId="0" fontId="6" fillId="0" borderId="0" xfId="2" applyFont="1" applyProtection="1">
      <protection locked="0"/>
    </xf>
    <xf numFmtId="0" fontId="7" fillId="0" borderId="0" xfId="2" applyFont="1" applyAlignment="1">
      <alignment horizontal="right"/>
    </xf>
    <xf numFmtId="0" fontId="8" fillId="0" borderId="2" xfId="2" applyFont="1" applyBorder="1" applyProtection="1">
      <protection locked="0"/>
    </xf>
    <xf numFmtId="0" fontId="9" fillId="0" borderId="0" xfId="7" quotePrefix="1" applyFont="1" applyFill="1"/>
    <xf numFmtId="0" fontId="9" fillId="0" borderId="0" xfId="7" quotePrefix="1" applyFont="1"/>
    <xf numFmtId="0" fontId="10" fillId="0" borderId="0" xfId="2" applyFont="1"/>
    <xf numFmtId="0" fontId="5" fillId="0" borderId="1" xfId="2" applyFont="1" applyBorder="1"/>
    <xf numFmtId="0" fontId="11" fillId="0" borderId="0" xfId="3" applyFont="1"/>
    <xf numFmtId="0" fontId="12" fillId="3" borderId="0" xfId="2" applyFont="1" applyFill="1"/>
    <xf numFmtId="0" fontId="5" fillId="3" borderId="0" xfId="2" applyFont="1" applyFill="1"/>
    <xf numFmtId="0" fontId="5" fillId="4" borderId="0" xfId="2" applyFont="1" applyFill="1"/>
    <xf numFmtId="37" fontId="13" fillId="3" borderId="0" xfId="0" applyNumberFormat="1" applyFont="1" applyFill="1" applyAlignment="1">
      <alignment vertical="top"/>
    </xf>
    <xf numFmtId="0" fontId="10" fillId="0" borderId="0" xfId="0" applyFont="1"/>
    <xf numFmtId="0" fontId="14" fillId="3" borderId="0" xfId="0" applyFont="1" applyFill="1" applyAlignment="1">
      <alignment horizontal="left" vertical="center" readingOrder="1"/>
    </xf>
    <xf numFmtId="37" fontId="15" fillId="3" borderId="0" xfId="0" applyNumberFormat="1" applyFont="1" applyFill="1" applyAlignment="1">
      <alignment vertical="top"/>
    </xf>
    <xf numFmtId="37" fontId="16" fillId="3" borderId="0" xfId="0" applyNumberFormat="1" applyFont="1" applyFill="1" applyAlignment="1">
      <alignment vertical="top"/>
    </xf>
    <xf numFmtId="0" fontId="5" fillId="0" borderId="0" xfId="0" applyFont="1"/>
    <xf numFmtId="0" fontId="7" fillId="0" borderId="0" xfId="0" applyFont="1"/>
    <xf numFmtId="0" fontId="17" fillId="0" borderId="0" xfId="4" applyFont="1" applyAlignment="1">
      <alignment horizontal="left"/>
    </xf>
    <xf numFmtId="0" fontId="17" fillId="0" borderId="0" xfId="4" applyFont="1" applyAlignment="1">
      <alignment horizontal="center"/>
    </xf>
    <xf numFmtId="37" fontId="21" fillId="3" borderId="0" xfId="0" applyNumberFormat="1" applyFont="1" applyFill="1" applyAlignment="1">
      <alignment vertical="top"/>
    </xf>
    <xf numFmtId="37" fontId="22" fillId="3" borderId="0" xfId="0" applyNumberFormat="1" applyFont="1" applyFill="1" applyAlignment="1">
      <alignment vertical="top"/>
    </xf>
    <xf numFmtId="37" fontId="23" fillId="3" borderId="0" xfId="0" applyNumberFormat="1" applyFont="1" applyFill="1" applyAlignment="1">
      <alignment vertical="top"/>
    </xf>
    <xf numFmtId="0" fontId="5" fillId="5" borderId="0" xfId="0" applyFont="1" applyFill="1"/>
    <xf numFmtId="0" fontId="24" fillId="0" borderId="0" xfId="4" applyFont="1" applyAlignment="1">
      <alignment horizontal="left"/>
    </xf>
    <xf numFmtId="0" fontId="26" fillId="0" borderId="0" xfId="0" applyFont="1"/>
    <xf numFmtId="0" fontId="5" fillId="0" borderId="2" xfId="0" applyFont="1" applyBorder="1"/>
    <xf numFmtId="0" fontId="7" fillId="0" borderId="0" xfId="0" applyFont="1" applyAlignment="1">
      <alignment horizontal="center"/>
    </xf>
    <xf numFmtId="0" fontId="5" fillId="5" borderId="2" xfId="0" applyFont="1" applyFill="1" applyBorder="1"/>
    <xf numFmtId="0" fontId="7" fillId="6" borderId="0" xfId="0" applyFont="1" applyFill="1"/>
    <xf numFmtId="0" fontId="5" fillId="6" borderId="0" xfId="0" applyFont="1" applyFill="1"/>
    <xf numFmtId="166" fontId="5" fillId="0" borderId="0" xfId="0" applyNumberFormat="1" applyFont="1" applyAlignment="1">
      <alignment horizontal="right"/>
    </xf>
    <xf numFmtId="0" fontId="5" fillId="5" borderId="0" xfId="0" applyFont="1" applyFill="1" applyAlignment="1">
      <alignment horizontal="right"/>
    </xf>
    <xf numFmtId="7" fontId="5" fillId="5" borderId="0" xfId="0" applyNumberFormat="1" applyFont="1" applyFill="1" applyAlignment="1">
      <alignment horizontal="right"/>
    </xf>
    <xf numFmtId="0" fontId="5" fillId="0" borderId="0" xfId="0" applyFont="1" applyAlignment="1">
      <alignment horizontal="right"/>
    </xf>
    <xf numFmtId="166" fontId="5" fillId="5" borderId="0" xfId="0" applyNumberFormat="1" applyFont="1" applyFill="1" applyAlignment="1">
      <alignment horizontal="right"/>
    </xf>
    <xf numFmtId="166" fontId="5" fillId="0" borderId="2" xfId="0" applyNumberFormat="1" applyFont="1" applyBorder="1" applyAlignment="1">
      <alignment horizontal="right"/>
    </xf>
    <xf numFmtId="5" fontId="5" fillId="5" borderId="0" xfId="0" applyNumberFormat="1" applyFont="1" applyFill="1" applyAlignment="1">
      <alignment horizontal="right"/>
    </xf>
    <xf numFmtId="5" fontId="5" fillId="0" borderId="2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168" fontId="5" fillId="0" borderId="0" xfId="1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5" fillId="0" borderId="2" xfId="0" applyNumberFormat="1" applyFont="1" applyBorder="1" applyAlignment="1">
      <alignment horizontal="right"/>
    </xf>
    <xf numFmtId="166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166" fontId="5" fillId="5" borderId="2" xfId="0" applyNumberFormat="1" applyFont="1" applyFill="1" applyBorder="1" applyAlignment="1">
      <alignment horizontal="right"/>
    </xf>
    <xf numFmtId="7" fontId="5" fillId="5" borderId="2" xfId="0" applyNumberFormat="1" applyFont="1" applyFill="1" applyBorder="1" applyAlignment="1">
      <alignment horizontal="right"/>
    </xf>
    <xf numFmtId="5" fontId="5" fillId="5" borderId="2" xfId="0" applyNumberFormat="1" applyFont="1" applyFill="1" applyBorder="1" applyAlignment="1">
      <alignment horizontal="right"/>
    </xf>
    <xf numFmtId="0" fontId="27" fillId="0" borderId="0" xfId="7" quotePrefix="1" applyFont="1" applyFill="1" applyProtection="1">
      <protection locked="0"/>
    </xf>
    <xf numFmtId="5" fontId="7" fillId="0" borderId="0" xfId="0" applyNumberFormat="1" applyFont="1" applyAlignment="1">
      <alignment horizontal="right"/>
    </xf>
    <xf numFmtId="5" fontId="5" fillId="0" borderId="0" xfId="0" applyNumberFormat="1" applyFont="1" applyAlignment="1">
      <alignment horizontal="right"/>
    </xf>
    <xf numFmtId="0" fontId="18" fillId="0" borderId="0" xfId="2" applyFont="1" applyAlignment="1">
      <alignment horizontal="center"/>
    </xf>
    <xf numFmtId="0" fontId="19" fillId="0" borderId="0" xfId="2" applyFont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5" fillId="0" borderId="0" xfId="0" applyFont="1" applyFill="1"/>
    <xf numFmtId="0" fontId="7" fillId="0" borderId="0" xfId="0" applyFont="1" applyFill="1"/>
    <xf numFmtId="0" fontId="5" fillId="0" borderId="0" xfId="0" applyFont="1" applyAlignment="1">
      <alignment vertical="center"/>
    </xf>
    <xf numFmtId="0" fontId="24" fillId="0" borderId="0" xfId="4" applyFont="1" applyAlignment="1">
      <alignment horizontal="left" vertical="center"/>
    </xf>
    <xf numFmtId="0" fontId="5" fillId="0" borderId="0" xfId="0" applyFont="1" applyFill="1" applyAlignment="1">
      <alignment horizontal="right"/>
    </xf>
    <xf numFmtId="166" fontId="5" fillId="0" borderId="0" xfId="0" applyNumberFormat="1" applyFont="1" applyFill="1" applyAlignment="1">
      <alignment horizontal="right"/>
    </xf>
    <xf numFmtId="0" fontId="5" fillId="0" borderId="2" xfId="0" applyFont="1" applyBorder="1" applyAlignment="1">
      <alignment vertical="center"/>
    </xf>
    <xf numFmtId="169" fontId="5" fillId="0" borderId="0" xfId="8" applyNumberFormat="1" applyFont="1" applyAlignment="1">
      <alignment horizontal="right" vertical="center"/>
    </xf>
    <xf numFmtId="169" fontId="5" fillId="0" borderId="2" xfId="8" applyNumberFormat="1" applyFont="1" applyBorder="1" applyAlignment="1">
      <alignment horizontal="right" vertical="center"/>
    </xf>
    <xf numFmtId="0" fontId="17" fillId="0" borderId="0" xfId="4" applyFont="1" applyAlignment="1">
      <alignment horizontal="center" vertical="center"/>
    </xf>
    <xf numFmtId="169" fontId="7" fillId="0" borderId="0" xfId="8" applyNumberFormat="1" applyFont="1" applyBorder="1" applyAlignment="1">
      <alignment horizontal="right"/>
    </xf>
    <xf numFmtId="166" fontId="5" fillId="0" borderId="0" xfId="0" applyNumberFormat="1" applyFont="1" applyAlignment="1">
      <alignment horizontal="right" vertical="center"/>
    </xf>
    <xf numFmtId="5" fontId="7" fillId="5" borderId="0" xfId="0" applyNumberFormat="1" applyFont="1" applyFill="1" applyAlignment="1">
      <alignment horizontal="right"/>
    </xf>
    <xf numFmtId="0" fontId="10" fillId="2" borderId="0" xfId="2" applyFont="1" applyFill="1"/>
    <xf numFmtId="5" fontId="7" fillId="0" borderId="0" xfId="0" applyNumberFormat="1" applyFont="1" applyFill="1" applyAlignment="1">
      <alignment horizontal="right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horizontal="left" vertical="center" indent="10"/>
    </xf>
    <xf numFmtId="0" fontId="0" fillId="0" borderId="0" xfId="0" applyAlignment="1">
      <alignment horizontal="left" vertical="center"/>
    </xf>
    <xf numFmtId="0" fontId="28" fillId="0" borderId="0" xfId="0" applyFont="1"/>
    <xf numFmtId="166" fontId="0" fillId="0" borderId="0" xfId="0" applyNumberFormat="1"/>
    <xf numFmtId="5" fontId="0" fillId="0" borderId="0" xfId="0" applyNumberFormat="1"/>
    <xf numFmtId="170" fontId="0" fillId="0" borderId="0" xfId="0" applyNumberFormat="1"/>
    <xf numFmtId="0" fontId="0" fillId="0" borderId="2" xfId="0" applyBorder="1"/>
    <xf numFmtId="166" fontId="0" fillId="0" borderId="2" xfId="0" applyNumberFormat="1" applyBorder="1"/>
    <xf numFmtId="170" fontId="0" fillId="0" borderId="2" xfId="0" applyNumberFormat="1" applyBorder="1"/>
    <xf numFmtId="5" fontId="0" fillId="0" borderId="2" xfId="0" applyNumberFormat="1" applyBorder="1"/>
    <xf numFmtId="5" fontId="28" fillId="0" borderId="0" xfId="0" applyNumberFormat="1" applyFont="1"/>
    <xf numFmtId="0" fontId="29" fillId="0" borderId="0" xfId="7" quotePrefix="1" applyFont="1" applyFill="1" applyProtection="1">
      <protection locked="0"/>
    </xf>
    <xf numFmtId="14" fontId="5" fillId="5" borderId="0" xfId="0" applyNumberFormat="1" applyFont="1" applyFill="1" applyAlignment="1">
      <alignment horizontal="right"/>
    </xf>
    <xf numFmtId="166" fontId="5" fillId="7" borderId="0" xfId="0" applyNumberFormat="1" applyFont="1" applyFill="1" applyAlignment="1">
      <alignment horizontal="right"/>
    </xf>
    <xf numFmtId="5" fontId="7" fillId="7" borderId="0" xfId="0" applyNumberFormat="1" applyFont="1" applyFill="1" applyAlignment="1">
      <alignment horizontal="right"/>
    </xf>
    <xf numFmtId="5" fontId="5" fillId="7" borderId="0" xfId="0" applyNumberFormat="1" applyFont="1" applyFill="1" applyAlignment="1">
      <alignment horizontal="right"/>
    </xf>
    <xf numFmtId="0" fontId="5" fillId="7" borderId="0" xfId="0" applyFont="1" applyFill="1"/>
    <xf numFmtId="166" fontId="5" fillId="7" borderId="0" xfId="0" applyNumberFormat="1" applyFont="1" applyFill="1"/>
  </cellXfs>
  <cellStyles count="9">
    <cellStyle name="=C:\WINNT\SYSTEM32\COMMAND.COM 2" xfId="6" xr:uid="{17513744-6964-4139-9C1D-FFBE53C9FC48}"/>
    <cellStyle name="Comma" xfId="8" builtinId="3"/>
    <cellStyle name="Hyperlink" xfId="7" builtinId="8"/>
    <cellStyle name="Hyperlink 2 2" xfId="3" xr:uid="{D41391FD-38C6-4CED-8615-B36C7A15082E}"/>
    <cellStyle name="Normal" xfId="0" builtinId="0"/>
    <cellStyle name="Normal 2 2 2" xfId="2" xr:uid="{A79F478B-C262-45F9-A6CF-4A76329AC37A}"/>
    <cellStyle name="Normal_Master Junior Database v2" xfId="4" xr:uid="{C07A771D-9E73-4959-8A12-069E112B0CDB}"/>
    <cellStyle name="Number 2" xfId="5" xr:uid="{8ED61268-C0E5-4926-817F-2630F06D617C}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4</xdr:row>
      <xdr:rowOff>88129</xdr:rowOff>
    </xdr:from>
    <xdr:ext cx="3446303" cy="90846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251C8-72D1-4C64-8F7A-5FC6C8102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482724" y="989829"/>
          <a:ext cx="3446303" cy="9084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DB330-3EF7-4DC4-B711-AB32DB331007}">
  <dimension ref="A1:F1"/>
  <sheetViews>
    <sheetView workbookViewId="0"/>
  </sheetViews>
  <sheetFormatPr defaultRowHeight="14.5" x14ac:dyDescent="0.35"/>
  <sheetData>
    <row r="1" spans="1:6" x14ac:dyDescent="0.35">
      <c r="A1">
        <v>6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E2C3F-E155-4C16-9529-C2535A0F5008}">
  <dimension ref="B1:M50"/>
  <sheetViews>
    <sheetView showGridLines="0" tabSelected="1" zoomScale="90" zoomScaleNormal="90" workbookViewId="0"/>
  </sheetViews>
  <sheetFormatPr defaultColWidth="9.1796875" defaultRowHeight="14" x14ac:dyDescent="0.3"/>
  <cols>
    <col min="1" max="2" width="11" style="1" customWidth="1"/>
    <col min="3" max="3" width="54.453125" style="1" customWidth="1"/>
    <col min="4" max="20" width="11" style="1" customWidth="1"/>
    <col min="21" max="16384" width="9.1796875" style="1"/>
  </cols>
  <sheetData>
    <row r="1" spans="2:13" ht="16.5" customHeight="1" x14ac:dyDescent="0.3"/>
    <row r="2" spans="2:13" ht="15.75" customHeight="1" x14ac:dyDescent="0.3"/>
    <row r="3" spans="2:13" ht="19.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9.5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t="19.5" customHeigh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ht="19.5" customHeight="1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ht="19.5" customHeight="1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ht="19.5" customHeight="1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 ht="19.5" customHeight="1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ht="19.5" customHeight="1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ht="27" x14ac:dyDescent="0.5">
      <c r="B12" s="2"/>
      <c r="C12" s="3" t="s">
        <v>93</v>
      </c>
      <c r="D12" s="2"/>
      <c r="E12" s="2"/>
      <c r="F12" s="2"/>
      <c r="G12" s="2"/>
      <c r="H12" s="2"/>
      <c r="I12" s="2"/>
      <c r="J12" s="2"/>
      <c r="K12" s="2"/>
      <c r="L12" s="4" t="s">
        <v>0</v>
      </c>
      <c r="M12" s="2"/>
    </row>
    <row r="13" spans="2:13" ht="17.25" customHeight="1" x14ac:dyDescent="0.5">
      <c r="B13" s="2"/>
      <c r="C13" s="3"/>
      <c r="D13" s="2"/>
      <c r="E13" s="2"/>
      <c r="F13" s="2"/>
      <c r="G13" s="2"/>
      <c r="H13" s="2"/>
      <c r="I13" s="2"/>
      <c r="J13" s="2"/>
      <c r="K13" s="2"/>
      <c r="L13" s="4"/>
      <c r="M13" s="2"/>
    </row>
    <row r="14" spans="2:13" ht="19.5" customHeight="1" x14ac:dyDescent="0.35">
      <c r="B14" s="2"/>
      <c r="C14" s="5" t="s">
        <v>51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s="72" customFormat="1" ht="19.5" customHeight="1" x14ac:dyDescent="0.35">
      <c r="B15" s="8"/>
      <c r="C15" s="88" t="s">
        <v>94</v>
      </c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2:13" s="72" customFormat="1" ht="19.5" customHeight="1" x14ac:dyDescent="0.35">
      <c r="B16" s="8"/>
      <c r="C16" s="52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2:13" s="72" customFormat="1" ht="19.5" customHeight="1" x14ac:dyDescent="0.35">
      <c r="B17" s="8"/>
      <c r="C17" s="6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2:13" s="72" customFormat="1" ht="19.5" customHeight="1" x14ac:dyDescent="0.35">
      <c r="B18" s="8"/>
      <c r="C18" s="6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2:13" s="72" customFormat="1" ht="19.5" customHeight="1" x14ac:dyDescent="0.35">
      <c r="B19" s="8"/>
      <c r="C19" s="6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2:13" s="72" customFormat="1" ht="17.25" customHeight="1" x14ac:dyDescent="0.35">
      <c r="B20" s="8"/>
      <c r="C20" s="6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2:13" s="72" customFormat="1" ht="17.25" customHeight="1" x14ac:dyDescent="0.35"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2:13" s="72" customFormat="1" ht="17.25" customHeight="1" x14ac:dyDescent="0.3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2:13" ht="19.5" customHeight="1" x14ac:dyDescent="0.3">
      <c r="B23" s="2"/>
      <c r="C23" s="2" t="s">
        <v>1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ht="19.5" customHeight="1" x14ac:dyDescent="0.3">
      <c r="B24" s="2"/>
      <c r="C24" s="9" t="s">
        <v>2</v>
      </c>
      <c r="D24" s="9"/>
      <c r="E24" s="9"/>
      <c r="F24" s="9"/>
      <c r="G24" s="9"/>
      <c r="H24" s="9"/>
      <c r="I24" s="9"/>
      <c r="J24" s="9"/>
      <c r="K24" s="9"/>
      <c r="L24" s="9"/>
      <c r="M24" s="2"/>
    </row>
    <row r="25" spans="2:13" ht="19.5" customHeight="1" x14ac:dyDescent="0.3">
      <c r="B25" s="2"/>
      <c r="C25" s="2" t="s">
        <v>3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ht="19.5" customHeight="1" x14ac:dyDescent="0.3">
      <c r="B26" s="2"/>
      <c r="C26" s="10" t="s">
        <v>4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ht="19.5" customHeight="1" x14ac:dyDescent="0.3">
      <c r="B27" s="2"/>
      <c r="C27" s="10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ht="19.5" customHeight="1" x14ac:dyDescent="0.3">
      <c r="B28" s="2"/>
      <c r="C28" s="11" t="s">
        <v>5</v>
      </c>
      <c r="D28" s="11"/>
      <c r="E28" s="12"/>
      <c r="F28" s="12"/>
      <c r="G28" s="12"/>
      <c r="H28" s="12"/>
      <c r="I28" s="12"/>
      <c r="J28" s="12"/>
      <c r="K28" s="12"/>
      <c r="L28" s="12"/>
      <c r="M28" s="2"/>
    </row>
    <row r="29" spans="2:13" ht="19.5" customHeight="1" x14ac:dyDescent="0.3">
      <c r="B29" s="13"/>
      <c r="C29" s="11" t="s">
        <v>6</v>
      </c>
      <c r="D29" s="11"/>
      <c r="E29" s="11"/>
      <c r="F29" s="11"/>
      <c r="G29" s="11"/>
      <c r="H29" s="11"/>
      <c r="I29" s="11"/>
      <c r="J29" s="11"/>
      <c r="K29" s="11"/>
      <c r="L29" s="11"/>
      <c r="M29" s="13"/>
    </row>
    <row r="30" spans="2:13" ht="19.5" customHeight="1" x14ac:dyDescent="0.3">
      <c r="B30" s="13"/>
      <c r="C30" s="11" t="s">
        <v>7</v>
      </c>
      <c r="D30" s="11"/>
      <c r="E30" s="11"/>
      <c r="F30" s="11"/>
      <c r="G30" s="11"/>
      <c r="H30" s="11"/>
      <c r="I30" s="11"/>
      <c r="J30" s="11"/>
      <c r="K30" s="11"/>
      <c r="L30" s="11"/>
      <c r="M30" s="13"/>
    </row>
    <row r="31" spans="2:13" ht="19.5" customHeight="1" x14ac:dyDescent="0.3">
      <c r="B31" s="13"/>
      <c r="C31" s="11" t="s">
        <v>8</v>
      </c>
      <c r="D31" s="11"/>
      <c r="E31" s="11"/>
      <c r="F31" s="11"/>
      <c r="G31" s="11"/>
      <c r="H31" s="11"/>
      <c r="I31" s="11"/>
      <c r="J31" s="11"/>
      <c r="K31" s="11"/>
      <c r="L31" s="11"/>
      <c r="M31" s="13"/>
    </row>
    <row r="32" spans="2:13" ht="19.5" customHeight="1" x14ac:dyDescent="0.3">
      <c r="B32" s="13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3"/>
    </row>
    <row r="33" spans="2:13" ht="19.5" customHeight="1" x14ac:dyDescent="0.3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2:13" ht="19.5" customHeight="1" x14ac:dyDescent="0.3"/>
    <row r="35" spans="2:13" ht="19.5" customHeight="1" x14ac:dyDescent="0.3"/>
    <row r="36" spans="2:13" ht="19.5" customHeight="1" x14ac:dyDescent="0.3"/>
    <row r="37" spans="2:13" ht="19.5" customHeight="1" x14ac:dyDescent="0.3"/>
    <row r="38" spans="2:13" ht="19.5" customHeight="1" x14ac:dyDescent="0.3"/>
    <row r="39" spans="2:13" ht="19.5" customHeight="1" x14ac:dyDescent="0.3"/>
    <row r="40" spans="2:13" ht="19.5" customHeight="1" x14ac:dyDescent="0.3"/>
    <row r="41" spans="2:13" ht="19.5" customHeight="1" x14ac:dyDescent="0.3"/>
    <row r="42" spans="2:13" ht="19.5" customHeight="1" x14ac:dyDescent="0.3"/>
    <row r="43" spans="2:13" ht="19.5" customHeight="1" x14ac:dyDescent="0.3"/>
    <row r="44" spans="2:13" ht="19.5" customHeight="1" x14ac:dyDescent="0.3"/>
    <row r="45" spans="2:13" ht="19.5" customHeight="1" x14ac:dyDescent="0.3"/>
    <row r="46" spans="2:13" ht="19.5" customHeight="1" x14ac:dyDescent="0.3"/>
    <row r="47" spans="2:13" ht="19.5" customHeight="1" x14ac:dyDescent="0.3"/>
    <row r="48" spans="2:13" ht="19.5" customHeight="1" x14ac:dyDescent="0.3"/>
    <row r="49" ht="19.5" customHeight="1" x14ac:dyDescent="0.3"/>
    <row r="50" ht="19.5" customHeight="1" x14ac:dyDescent="0.3"/>
  </sheetData>
  <hyperlinks>
    <hyperlink ref="C26" r:id="rId1" xr:uid="{B0BDEEC0-9969-47FF-9997-DE3A4AA15AD3}"/>
    <hyperlink ref="C15" location="FB!A1" display="Facebook" xr:uid="{5E563DC0-6253-4AE1-AD5C-D63364E744E9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475B-7A27-4FD5-BEB5-E269A36B53F7}">
  <dimension ref="A1:Z79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ColWidth="11.7265625" defaultRowHeight="14" x14ac:dyDescent="0.3"/>
  <cols>
    <col min="1" max="1" width="5.7265625" style="19" customWidth="1"/>
    <col min="2" max="2" width="50.7265625" style="19" customWidth="1"/>
    <col min="3" max="6" width="15.7265625" style="19" customWidth="1"/>
    <col min="7" max="7" width="50.7265625" style="19" customWidth="1"/>
    <col min="8" max="9" width="15.7265625" style="19" customWidth="1"/>
    <col min="10" max="16384" width="11.7265625" style="19"/>
  </cols>
  <sheetData>
    <row r="1" spans="1:9" s="15" customFormat="1" ht="15.5" x14ac:dyDescent="0.35">
      <c r="A1" s="23" t="s">
        <v>23</v>
      </c>
      <c r="B1" s="14"/>
      <c r="C1" s="14"/>
      <c r="D1" s="14"/>
      <c r="E1" s="14"/>
      <c r="F1" s="14"/>
      <c r="G1" s="14"/>
      <c r="H1" s="14"/>
      <c r="I1" s="14"/>
    </row>
    <row r="2" spans="1:9" s="2" customFormat="1" ht="18" x14ac:dyDescent="0.3">
      <c r="A2" s="16" t="s">
        <v>97</v>
      </c>
      <c r="B2" s="16"/>
      <c r="C2" s="16"/>
      <c r="D2" s="16"/>
      <c r="E2" s="16"/>
      <c r="F2" s="16"/>
      <c r="G2" s="16"/>
      <c r="H2" s="16"/>
      <c r="I2" s="16"/>
    </row>
    <row r="3" spans="1:9" s="15" customFormat="1" ht="15.5" x14ac:dyDescent="0.35">
      <c r="A3" s="24" t="s">
        <v>48</v>
      </c>
      <c r="B3" s="18"/>
      <c r="C3" s="18"/>
      <c r="D3" s="18"/>
      <c r="E3" s="17"/>
      <c r="F3" s="17"/>
      <c r="G3" s="17"/>
      <c r="H3" s="17"/>
      <c r="I3" s="17"/>
    </row>
    <row r="6" spans="1:9" ht="15.5" x14ac:dyDescent="0.3">
      <c r="B6" s="25" t="s">
        <v>97</v>
      </c>
      <c r="C6" s="17"/>
      <c r="D6" s="17"/>
      <c r="E6" s="17"/>
      <c r="F6" s="17"/>
      <c r="G6" s="17"/>
      <c r="H6" s="17"/>
      <c r="I6" s="17"/>
    </row>
    <row r="8" spans="1:9" x14ac:dyDescent="0.3">
      <c r="B8" s="32" t="s">
        <v>18</v>
      </c>
      <c r="C8" s="32"/>
      <c r="D8" s="32"/>
      <c r="E8" s="32"/>
      <c r="G8" s="32" t="s">
        <v>32</v>
      </c>
      <c r="H8" s="33"/>
      <c r="I8" s="33"/>
    </row>
    <row r="9" spans="1:9" ht="5.25" customHeight="1" x14ac:dyDescent="0.3"/>
    <row r="10" spans="1:9" ht="17" x14ac:dyDescent="0.6">
      <c r="B10" s="19" t="s">
        <v>24</v>
      </c>
      <c r="E10" s="35" t="s">
        <v>95</v>
      </c>
      <c r="G10" s="27" t="s">
        <v>30</v>
      </c>
      <c r="H10" s="22" t="s">
        <v>20</v>
      </c>
      <c r="I10" s="22" t="s">
        <v>21</v>
      </c>
    </row>
    <row r="11" spans="1:9" x14ac:dyDescent="0.3">
      <c r="B11" s="19" t="s">
        <v>52</v>
      </c>
      <c r="E11" s="36">
        <v>68.459999999999994</v>
      </c>
      <c r="G11" s="19" t="s">
        <v>19</v>
      </c>
      <c r="H11" s="40">
        <v>11307.96297</v>
      </c>
      <c r="I11" s="40">
        <v>14760.469580000001</v>
      </c>
    </row>
    <row r="12" spans="1:9" x14ac:dyDescent="0.3">
      <c r="B12" s="19" t="s">
        <v>25</v>
      </c>
      <c r="E12" s="89">
        <v>41699</v>
      </c>
      <c r="G12" s="19" t="s">
        <v>12</v>
      </c>
      <c r="H12" s="40">
        <v>6799.9736599999997</v>
      </c>
      <c r="I12" s="40">
        <v>8892.2909199999995</v>
      </c>
    </row>
    <row r="13" spans="1:9" x14ac:dyDescent="0.3">
      <c r="E13" s="37"/>
      <c r="G13" s="19" t="s">
        <v>13</v>
      </c>
      <c r="H13" s="40">
        <v>2473.5740999999998</v>
      </c>
      <c r="I13" s="40">
        <v>3534.44517</v>
      </c>
    </row>
    <row r="14" spans="1:9" x14ac:dyDescent="0.3">
      <c r="B14" s="28" t="s">
        <v>26</v>
      </c>
      <c r="E14" s="37"/>
      <c r="G14" s="19" t="s">
        <v>22</v>
      </c>
      <c r="H14" s="40">
        <v>4924.6882400000004</v>
      </c>
      <c r="I14" s="40">
        <v>6507.8125</v>
      </c>
    </row>
    <row r="15" spans="1:9" x14ac:dyDescent="0.3">
      <c r="B15" s="19" t="s">
        <v>53</v>
      </c>
      <c r="E15" s="90">
        <f>2551.654996+183.865778</f>
        <v>2735.5207740000001</v>
      </c>
      <c r="H15" s="37"/>
      <c r="I15" s="37"/>
    </row>
    <row r="16" spans="1:9" ht="16.5" customHeight="1" x14ac:dyDescent="0.3">
      <c r="B16" s="61" t="s">
        <v>62</v>
      </c>
      <c r="C16" s="61"/>
      <c r="D16" s="61"/>
      <c r="E16" s="66">
        <f>+E64</f>
        <v>162.86444399999999</v>
      </c>
      <c r="H16" s="37"/>
      <c r="I16" s="37"/>
    </row>
    <row r="17" spans="2:9" ht="16.5" customHeight="1" x14ac:dyDescent="0.3">
      <c r="B17" s="61" t="s">
        <v>54</v>
      </c>
      <c r="C17" s="61"/>
      <c r="D17" s="61"/>
      <c r="E17" s="66">
        <f>+F51</f>
        <v>20.955898626935436</v>
      </c>
      <c r="G17" s="62" t="s">
        <v>31</v>
      </c>
      <c r="H17" s="68" t="s">
        <v>20</v>
      </c>
      <c r="I17" s="68" t="s">
        <v>21</v>
      </c>
    </row>
    <row r="18" spans="2:9" ht="16.5" customHeight="1" x14ac:dyDescent="0.3">
      <c r="B18" s="65" t="s">
        <v>55</v>
      </c>
      <c r="C18" s="65"/>
      <c r="D18" s="65"/>
      <c r="E18" s="67">
        <f>+E76</f>
        <v>0</v>
      </c>
      <c r="G18" s="19" t="s">
        <v>19</v>
      </c>
      <c r="H18" s="43">
        <f>IFERROR($E$32/H11,"-")</f>
        <v>17.776065713830327</v>
      </c>
      <c r="I18" s="43">
        <f>IFERROR($E$32/I11,"-")</f>
        <v>13.618204472074794</v>
      </c>
    </row>
    <row r="19" spans="2:9" x14ac:dyDescent="0.3">
      <c r="B19" s="61" t="s">
        <v>61</v>
      </c>
      <c r="E19" s="70">
        <f>SUM(E15:E18)</f>
        <v>2919.3411166269352</v>
      </c>
      <c r="G19" s="19" t="s">
        <v>12</v>
      </c>
      <c r="H19" s="43">
        <f>IFERROR($E$32/H12,"-")</f>
        <v>29.560569333775916</v>
      </c>
      <c r="I19" s="43">
        <f>IFERROR($E$32/I12,"-")</f>
        <v>22.605096330370621</v>
      </c>
    </row>
    <row r="20" spans="2:9" x14ac:dyDescent="0.3">
      <c r="E20" s="37"/>
      <c r="G20" s="19" t="s">
        <v>13</v>
      </c>
      <c r="H20" s="43">
        <f>IFERROR($E$21/H13,"-")</f>
        <v>80.79729361828295</v>
      </c>
      <c r="I20" s="43">
        <f>IFERROR($E$21/I13,"-")</f>
        <v>56.545817867159045</v>
      </c>
    </row>
    <row r="21" spans="2:9" x14ac:dyDescent="0.3">
      <c r="B21" s="20" t="s">
        <v>27</v>
      </c>
      <c r="C21" s="20"/>
      <c r="D21" s="20"/>
      <c r="E21" s="53">
        <f>+E11*E19</f>
        <v>199858.09284427998</v>
      </c>
      <c r="G21" s="19" t="s">
        <v>22</v>
      </c>
      <c r="H21" s="43">
        <f>IFERROR($E$21/H14,"-")</f>
        <v>40.582892379047323</v>
      </c>
      <c r="I21" s="43">
        <f>IFERROR($E$21/I14,"-")</f>
        <v>30.710487255783718</v>
      </c>
    </row>
    <row r="22" spans="2:9" x14ac:dyDescent="0.3">
      <c r="E22" s="37"/>
      <c r="H22" s="37"/>
      <c r="I22" s="37"/>
    </row>
    <row r="23" spans="2:9" x14ac:dyDescent="0.3">
      <c r="B23" s="19" t="s">
        <v>56</v>
      </c>
      <c r="E23" s="40">
        <v>3323</v>
      </c>
      <c r="G23" s="19" t="s">
        <v>34</v>
      </c>
      <c r="H23" s="37"/>
      <c r="I23" s="43">
        <f>IFERROR(E29/E34,"-")</f>
        <v>0.16294139060099594</v>
      </c>
    </row>
    <row r="24" spans="2:9" x14ac:dyDescent="0.3">
      <c r="E24" s="37"/>
      <c r="G24" s="19" t="s">
        <v>57</v>
      </c>
      <c r="H24" s="37"/>
      <c r="I24" s="44">
        <f>IFERROR(E29/(E29+E34),"-")</f>
        <v>0.14011143804658077</v>
      </c>
    </row>
    <row r="25" spans="2:9" x14ac:dyDescent="0.3">
      <c r="B25" s="19" t="s">
        <v>65</v>
      </c>
      <c r="E25" s="91">
        <f>476+4000</f>
        <v>4476</v>
      </c>
      <c r="G25" s="19" t="s">
        <v>58</v>
      </c>
      <c r="I25" s="44">
        <f>IFERROR(E29/(E29+E21),"-")</f>
        <v>2.1905301938091624E-2</v>
      </c>
    </row>
    <row r="26" spans="2:9" x14ac:dyDescent="0.3">
      <c r="B26" s="19" t="s">
        <v>68</v>
      </c>
      <c r="E26" s="71">
        <v>0</v>
      </c>
      <c r="I26" s="44"/>
    </row>
    <row r="27" spans="2:9" x14ac:dyDescent="0.3">
      <c r="B27" s="19" t="s">
        <v>67</v>
      </c>
      <c r="E27" s="54">
        <f>+E25-E26</f>
        <v>4476</v>
      </c>
    </row>
    <row r="28" spans="2:9" x14ac:dyDescent="0.3">
      <c r="B28" s="29" t="s">
        <v>69</v>
      </c>
      <c r="C28" s="29"/>
      <c r="D28" s="29"/>
      <c r="E28" s="41">
        <f>+E79</f>
        <v>0</v>
      </c>
    </row>
    <row r="29" spans="2:9" x14ac:dyDescent="0.3">
      <c r="B29" s="20" t="s">
        <v>66</v>
      </c>
      <c r="C29" s="20"/>
      <c r="D29" s="20"/>
      <c r="E29" s="73">
        <f>+E27+E28</f>
        <v>4476</v>
      </c>
    </row>
    <row r="30" spans="2:9" x14ac:dyDescent="0.3">
      <c r="B30" s="20"/>
      <c r="C30" s="20"/>
      <c r="D30" s="20"/>
      <c r="E30" s="42"/>
    </row>
    <row r="31" spans="2:9" x14ac:dyDescent="0.3">
      <c r="B31" s="19" t="s">
        <v>11</v>
      </c>
      <c r="E31" s="54">
        <f>+E29-E23</f>
        <v>1153</v>
      </c>
    </row>
    <row r="32" spans="2:9" x14ac:dyDescent="0.3">
      <c r="B32" s="20" t="s">
        <v>29</v>
      </c>
      <c r="C32" s="20"/>
      <c r="D32" s="20"/>
      <c r="E32" s="53">
        <f>+E21+E31</f>
        <v>201011.09284427998</v>
      </c>
    </row>
    <row r="33" spans="2:26" x14ac:dyDescent="0.3">
      <c r="E33" s="37"/>
    </row>
    <row r="34" spans="2:26" x14ac:dyDescent="0.3">
      <c r="B34" s="19" t="s">
        <v>33</v>
      </c>
      <c r="E34" s="92">
        <f>15470+(183.865778*65.265)</f>
        <v>27470.000001170003</v>
      </c>
    </row>
    <row r="36" spans="2:26" x14ac:dyDescent="0.3">
      <c r="B36" s="32" t="s">
        <v>35</v>
      </c>
      <c r="C36" s="32"/>
      <c r="D36" s="32"/>
      <c r="E36" s="32"/>
      <c r="F36" s="32"/>
    </row>
    <row r="37" spans="2:26" ht="5.25" customHeight="1" x14ac:dyDescent="0.3"/>
    <row r="38" spans="2:26" x14ac:dyDescent="0.3">
      <c r="B38" s="30"/>
      <c r="C38" s="30" t="s">
        <v>38</v>
      </c>
      <c r="D38" s="30" t="s">
        <v>37</v>
      </c>
      <c r="E38" s="30" t="s">
        <v>38</v>
      </c>
      <c r="F38" s="30"/>
    </row>
    <row r="39" spans="2:26" ht="17" x14ac:dyDescent="0.6">
      <c r="B39" s="21" t="s">
        <v>36</v>
      </c>
      <c r="C39" s="22" t="s">
        <v>40</v>
      </c>
      <c r="D39" s="22" t="s">
        <v>9</v>
      </c>
      <c r="E39" s="22" t="s">
        <v>70</v>
      </c>
      <c r="F39" s="22" t="s">
        <v>39</v>
      </c>
    </row>
    <row r="40" spans="2:26" s="55" customFormat="1" ht="10.5" x14ac:dyDescent="0.25">
      <c r="C40" s="55" t="s">
        <v>16</v>
      </c>
      <c r="D40" s="56" t="s">
        <v>14</v>
      </c>
      <c r="E40" s="55" t="s">
        <v>16</v>
      </c>
      <c r="F40" s="56" t="s">
        <v>15</v>
      </c>
      <c r="G40" s="56"/>
      <c r="H40" s="56"/>
      <c r="I40" s="57"/>
      <c r="J40" s="56"/>
      <c r="K40" s="56"/>
      <c r="L40" s="56"/>
      <c r="M40" s="56"/>
      <c r="N40" s="56"/>
      <c r="O40" s="56"/>
      <c r="P40" s="56"/>
      <c r="Q40" s="56"/>
      <c r="R40" s="58"/>
      <c r="S40" s="56"/>
      <c r="T40" s="56"/>
      <c r="U40" s="56"/>
      <c r="V40" s="56"/>
      <c r="W40" s="56"/>
      <c r="X40" s="56"/>
      <c r="Y40" s="56"/>
      <c r="Z40" s="56"/>
    </row>
    <row r="41" spans="2:26" x14ac:dyDescent="0.3">
      <c r="B41" s="26" t="s">
        <v>96</v>
      </c>
      <c r="C41" s="38">
        <v>22.102</v>
      </c>
      <c r="D41" s="36">
        <v>3.55</v>
      </c>
      <c r="E41" s="34">
        <f>+IF(D41&lt;$E$11,C41,0)</f>
        <v>22.102</v>
      </c>
      <c r="F41" s="45">
        <f>+D41*E41</f>
        <v>78.462099999999992</v>
      </c>
    </row>
    <row r="42" spans="2:26" x14ac:dyDescent="0.3">
      <c r="B42" s="26"/>
      <c r="C42" s="38"/>
      <c r="D42" s="36"/>
      <c r="E42" s="34">
        <f t="shared" ref="E42:E46" si="0">+IF(D42&lt;$E$11,C42,0)</f>
        <v>0</v>
      </c>
      <c r="F42" s="45">
        <f t="shared" ref="F42:F46" si="1">+D42*E42</f>
        <v>0</v>
      </c>
    </row>
    <row r="43" spans="2:26" x14ac:dyDescent="0.3">
      <c r="B43" s="26"/>
      <c r="C43" s="38"/>
      <c r="D43" s="36"/>
      <c r="E43" s="34">
        <f t="shared" si="0"/>
        <v>0</v>
      </c>
      <c r="F43" s="45">
        <f t="shared" si="1"/>
        <v>0</v>
      </c>
    </row>
    <row r="44" spans="2:26" x14ac:dyDescent="0.3">
      <c r="B44" s="26"/>
      <c r="C44" s="38"/>
      <c r="D44" s="36"/>
      <c r="E44" s="34">
        <f t="shared" si="0"/>
        <v>0</v>
      </c>
      <c r="F44" s="45">
        <f t="shared" si="1"/>
        <v>0</v>
      </c>
    </row>
    <row r="45" spans="2:26" x14ac:dyDescent="0.3">
      <c r="B45" s="26"/>
      <c r="C45" s="38"/>
      <c r="D45" s="36"/>
      <c r="E45" s="34">
        <f t="shared" si="0"/>
        <v>0</v>
      </c>
      <c r="F45" s="45">
        <f t="shared" si="1"/>
        <v>0</v>
      </c>
    </row>
    <row r="46" spans="2:26" x14ac:dyDescent="0.3">
      <c r="B46" s="31"/>
      <c r="C46" s="49"/>
      <c r="D46" s="50"/>
      <c r="E46" s="39">
        <f t="shared" si="0"/>
        <v>0</v>
      </c>
      <c r="F46" s="46">
        <f t="shared" si="1"/>
        <v>0</v>
      </c>
    </row>
    <row r="47" spans="2:26" x14ac:dyDescent="0.3">
      <c r="B47" s="20" t="s">
        <v>41</v>
      </c>
      <c r="C47" s="42"/>
      <c r="D47" s="42"/>
      <c r="E47" s="47">
        <f>SUM(E41:E46)</f>
        <v>22.102</v>
      </c>
      <c r="F47" s="48">
        <f>SUM(F41:F46)</f>
        <v>78.462099999999992</v>
      </c>
    </row>
    <row r="48" spans="2:26" x14ac:dyDescent="0.3">
      <c r="C48" s="37"/>
      <c r="D48" s="37"/>
      <c r="E48" s="37"/>
      <c r="F48" s="37"/>
    </row>
    <row r="49" spans="2:6" x14ac:dyDescent="0.3">
      <c r="B49" s="19" t="s">
        <v>42</v>
      </c>
      <c r="C49" s="37"/>
      <c r="D49" s="37"/>
      <c r="E49" s="37"/>
      <c r="F49" s="34">
        <f>+E47</f>
        <v>22.102</v>
      </c>
    </row>
    <row r="50" spans="2:6" x14ac:dyDescent="0.3">
      <c r="B50" s="19" t="s">
        <v>43</v>
      </c>
      <c r="C50" s="37"/>
      <c r="D50" s="37"/>
      <c r="E50" s="37"/>
      <c r="F50" s="34">
        <f>IF(ISERR($F47/E11),"-",$F47/E11)</f>
        <v>1.1461013730645633</v>
      </c>
    </row>
    <row r="51" spans="2:6" x14ac:dyDescent="0.3">
      <c r="B51" s="19" t="s">
        <v>59</v>
      </c>
      <c r="C51" s="37"/>
      <c r="D51" s="37"/>
      <c r="E51" s="37"/>
      <c r="F51" s="34">
        <f>+IF(ISERR(F49-F50),"-",F49-F50)</f>
        <v>20.955898626935436</v>
      </c>
    </row>
    <row r="52" spans="2:6" x14ac:dyDescent="0.3">
      <c r="C52" s="37"/>
      <c r="D52" s="37"/>
      <c r="E52" s="37"/>
      <c r="F52" s="34"/>
    </row>
    <row r="53" spans="2:6" x14ac:dyDescent="0.3">
      <c r="B53" s="32" t="s">
        <v>60</v>
      </c>
      <c r="C53" s="32"/>
      <c r="D53" s="32"/>
      <c r="E53" s="32"/>
      <c r="F53" s="34"/>
    </row>
    <row r="54" spans="2:6" s="59" customFormat="1" ht="5.5" customHeight="1" x14ac:dyDescent="0.3">
      <c r="B54" s="60"/>
      <c r="D54" s="63"/>
      <c r="E54" s="60"/>
      <c r="F54" s="64"/>
    </row>
    <row r="55" spans="2:6" x14ac:dyDescent="0.3">
      <c r="B55" s="60"/>
      <c r="D55" s="37"/>
      <c r="E55" s="30" t="s">
        <v>63</v>
      </c>
      <c r="F55" s="34"/>
    </row>
    <row r="56" spans="2:6" x14ac:dyDescent="0.3">
      <c r="B56" s="60"/>
      <c r="D56" s="37"/>
      <c r="E56" s="30" t="s">
        <v>38</v>
      </c>
      <c r="F56" s="34"/>
    </row>
    <row r="57" spans="2:6" ht="17" x14ac:dyDescent="0.6">
      <c r="B57" s="21" t="s">
        <v>36</v>
      </c>
      <c r="C57" s="21" t="s">
        <v>64</v>
      </c>
      <c r="D57" s="21" t="s">
        <v>64</v>
      </c>
      <c r="E57" s="22" t="s">
        <v>40</v>
      </c>
      <c r="F57" s="34"/>
    </row>
    <row r="58" spans="2:6" x14ac:dyDescent="0.3">
      <c r="E58" s="55" t="s">
        <v>16</v>
      </c>
      <c r="F58" s="34"/>
    </row>
    <row r="59" spans="2:6" x14ac:dyDescent="0.3">
      <c r="B59" s="26" t="s">
        <v>91</v>
      </c>
      <c r="C59" s="26"/>
      <c r="D59" s="26"/>
      <c r="E59" s="26">
        <v>103.971</v>
      </c>
      <c r="F59" s="34"/>
    </row>
    <row r="60" spans="2:6" x14ac:dyDescent="0.3">
      <c r="B60" s="93" t="s">
        <v>98</v>
      </c>
      <c r="C60" s="93"/>
      <c r="D60" s="93"/>
      <c r="E60" s="93">
        <v>45.966444000000003</v>
      </c>
      <c r="F60" s="34"/>
    </row>
    <row r="61" spans="2:6" x14ac:dyDescent="0.3">
      <c r="B61" s="93" t="s">
        <v>99</v>
      </c>
      <c r="C61" s="93"/>
      <c r="D61" s="93"/>
      <c r="E61" s="94">
        <f>139-(E59+C41)</f>
        <v>12.926999999999992</v>
      </c>
      <c r="F61" s="34"/>
    </row>
    <row r="62" spans="2:6" x14ac:dyDescent="0.3">
      <c r="B62" s="26"/>
      <c r="C62" s="26"/>
      <c r="D62" s="26"/>
      <c r="E62" s="26"/>
      <c r="F62" s="34"/>
    </row>
    <row r="63" spans="2:6" x14ac:dyDescent="0.3">
      <c r="B63" s="31"/>
      <c r="C63" s="31"/>
      <c r="D63" s="31"/>
      <c r="E63" s="31"/>
      <c r="F63" s="34"/>
    </row>
    <row r="64" spans="2:6" x14ac:dyDescent="0.3">
      <c r="B64" s="20" t="s">
        <v>41</v>
      </c>
      <c r="D64" s="37"/>
      <c r="E64" s="69">
        <f>SUM(E59:E63)</f>
        <v>162.86444399999999</v>
      </c>
      <c r="F64" s="34"/>
    </row>
    <row r="66" spans="2:5" x14ac:dyDescent="0.3">
      <c r="B66" s="32" t="s">
        <v>28</v>
      </c>
      <c r="C66" s="32"/>
      <c r="D66" s="32"/>
      <c r="E66" s="32"/>
    </row>
    <row r="67" spans="2:5" ht="5.25" customHeight="1" x14ac:dyDescent="0.3"/>
    <row r="68" spans="2:5" x14ac:dyDescent="0.3">
      <c r="B68" s="30"/>
      <c r="C68" s="30" t="s">
        <v>45</v>
      </c>
      <c r="D68" s="30" t="s">
        <v>46</v>
      </c>
      <c r="E68" s="30" t="s">
        <v>10</v>
      </c>
    </row>
    <row r="69" spans="2:5" ht="17" x14ac:dyDescent="0.6">
      <c r="B69" s="21" t="s">
        <v>44</v>
      </c>
      <c r="C69" s="22" t="s">
        <v>17</v>
      </c>
      <c r="D69" s="22" t="s">
        <v>9</v>
      </c>
      <c r="E69" s="22" t="s">
        <v>47</v>
      </c>
    </row>
    <row r="70" spans="2:5" x14ac:dyDescent="0.3">
      <c r="C70" s="55" t="s">
        <v>16</v>
      </c>
      <c r="D70" s="56" t="s">
        <v>14</v>
      </c>
      <c r="E70" s="55" t="s">
        <v>16</v>
      </c>
    </row>
    <row r="71" spans="2:5" x14ac:dyDescent="0.3">
      <c r="B71" s="26"/>
      <c r="C71" s="40"/>
      <c r="D71" s="36"/>
      <c r="E71" s="34">
        <f>IF(ISNUMBER($D71),IF($E$11&gt;$D71,$C71/$D71,0),0)</f>
        <v>0</v>
      </c>
    </row>
    <row r="72" spans="2:5" x14ac:dyDescent="0.3">
      <c r="B72" s="26"/>
      <c r="C72" s="40"/>
      <c r="D72" s="36"/>
      <c r="E72" s="34">
        <f t="shared" ref="E72:E75" si="2">IF(ISNUMBER($D72),IF($E$11&gt;$D72,$C72/$D72,0),0)</f>
        <v>0</v>
      </c>
    </row>
    <row r="73" spans="2:5" x14ac:dyDescent="0.3">
      <c r="B73" s="26"/>
      <c r="C73" s="40"/>
      <c r="D73" s="36"/>
      <c r="E73" s="34">
        <f t="shared" si="2"/>
        <v>0</v>
      </c>
    </row>
    <row r="74" spans="2:5" x14ac:dyDescent="0.3">
      <c r="B74" s="26"/>
      <c r="C74" s="40"/>
      <c r="D74" s="36"/>
      <c r="E74" s="34">
        <f t="shared" si="2"/>
        <v>0</v>
      </c>
    </row>
    <row r="75" spans="2:5" x14ac:dyDescent="0.3">
      <c r="B75" s="31"/>
      <c r="C75" s="51"/>
      <c r="D75" s="50"/>
      <c r="E75" s="39">
        <f t="shared" si="2"/>
        <v>0</v>
      </c>
    </row>
    <row r="76" spans="2:5" x14ac:dyDescent="0.3">
      <c r="B76" s="20" t="s">
        <v>41</v>
      </c>
      <c r="C76" s="53">
        <f>SUM(C71:C75)</f>
        <v>0</v>
      </c>
      <c r="D76" s="42"/>
      <c r="E76" s="47">
        <f>SUM(E71:E75)</f>
        <v>0</v>
      </c>
    </row>
    <row r="77" spans="2:5" x14ac:dyDescent="0.3">
      <c r="C77" s="37"/>
      <c r="D77" s="37"/>
      <c r="E77" s="37"/>
    </row>
    <row r="78" spans="2:5" x14ac:dyDescent="0.3">
      <c r="B78" s="19" t="s">
        <v>49</v>
      </c>
      <c r="C78" s="37"/>
      <c r="D78" s="37"/>
      <c r="E78" s="54">
        <f>SUMIF(D71:D75,"&lt;"&amp;$E$11,C71:C75)</f>
        <v>0</v>
      </c>
    </row>
    <row r="79" spans="2:5" x14ac:dyDescent="0.3">
      <c r="B79" s="19" t="s">
        <v>50</v>
      </c>
      <c r="C79" s="37"/>
      <c r="D79" s="37"/>
      <c r="E79" s="54">
        <f>+C76-E78</f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78AEF-D8DC-4AB0-8C1F-A3C32842215B}">
  <dimension ref="A1:Z79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ColWidth="11.7265625" defaultRowHeight="14" x14ac:dyDescent="0.3"/>
  <cols>
    <col min="1" max="1" width="5.7265625" style="19" customWidth="1"/>
    <col min="2" max="2" width="50.7265625" style="19" customWidth="1"/>
    <col min="3" max="6" width="15.7265625" style="19" customWidth="1"/>
    <col min="7" max="7" width="50.7265625" style="19" customWidth="1"/>
    <col min="8" max="9" width="15.7265625" style="19" customWidth="1"/>
    <col min="10" max="16384" width="11.7265625" style="19"/>
  </cols>
  <sheetData>
    <row r="1" spans="1:9" s="15" customFormat="1" ht="15.5" x14ac:dyDescent="0.35">
      <c r="A1" s="23" t="s">
        <v>23</v>
      </c>
      <c r="B1" s="14"/>
      <c r="C1" s="14"/>
      <c r="D1" s="14"/>
      <c r="E1" s="14"/>
      <c r="F1" s="14"/>
      <c r="G1" s="14"/>
      <c r="H1" s="14"/>
      <c r="I1" s="14"/>
    </row>
    <row r="2" spans="1:9" s="2" customFormat="1" ht="18" x14ac:dyDescent="0.3">
      <c r="A2" s="16" t="str">
        <f>_xll.ciqfunctions.udf.CIQ($E$10, "IQ_COMPANY_NAME")</f>
        <v>Facebook, Inc.</v>
      </c>
      <c r="B2" s="16"/>
      <c r="C2" s="16"/>
      <c r="D2" s="16"/>
      <c r="E2" s="16"/>
      <c r="F2" s="16"/>
      <c r="G2" s="16"/>
      <c r="H2" s="16"/>
      <c r="I2" s="16"/>
    </row>
    <row r="3" spans="1:9" s="15" customFormat="1" ht="15.5" x14ac:dyDescent="0.35">
      <c r="A3" s="24" t="s">
        <v>48</v>
      </c>
      <c r="B3" s="18"/>
      <c r="C3" s="18"/>
      <c r="D3" s="18"/>
      <c r="E3" s="17"/>
      <c r="F3" s="17"/>
      <c r="G3" s="17"/>
      <c r="H3" s="17"/>
      <c r="I3" s="17"/>
    </row>
    <row r="6" spans="1:9" ht="15.5" x14ac:dyDescent="0.3">
      <c r="B6" s="25" t="str">
        <f>_xll.ciqfunctions.udf.CIQ($E$10, "IQ_COMPANY_NAME")</f>
        <v>Facebook, Inc.</v>
      </c>
      <c r="C6" s="17"/>
      <c r="D6" s="17"/>
      <c r="E6" s="17"/>
      <c r="F6" s="17"/>
      <c r="G6" s="17"/>
      <c r="H6" s="17"/>
      <c r="I6" s="17"/>
    </row>
    <row r="8" spans="1:9" x14ac:dyDescent="0.3">
      <c r="B8" s="32" t="s">
        <v>18</v>
      </c>
      <c r="C8" s="32"/>
      <c r="D8" s="32"/>
      <c r="E8" s="32"/>
      <c r="G8" s="32" t="s">
        <v>32</v>
      </c>
      <c r="H8" s="33"/>
      <c r="I8" s="33"/>
    </row>
    <row r="9" spans="1:9" ht="5.25" customHeight="1" x14ac:dyDescent="0.3"/>
    <row r="10" spans="1:9" ht="17" x14ac:dyDescent="0.6">
      <c r="B10" s="19" t="s">
        <v>24</v>
      </c>
      <c r="E10" s="35" t="s">
        <v>95</v>
      </c>
      <c r="G10" s="27" t="s">
        <v>30</v>
      </c>
      <c r="H10" s="22" t="s">
        <v>20</v>
      </c>
      <c r="I10" s="22" t="s">
        <v>21</v>
      </c>
    </row>
    <row r="11" spans="1:9" x14ac:dyDescent="0.3">
      <c r="B11" s="19" t="s">
        <v>52</v>
      </c>
      <c r="E11" s="36">
        <f>_xll.ciqfunctions.udf.CIQ(E10, "IQ_LASTSALEPRICE", E12, "USD")</f>
        <v>68.459999999999994</v>
      </c>
      <c r="G11" s="19" t="s">
        <v>19</v>
      </c>
      <c r="H11" s="40">
        <f>_xll.ciqfunctions.udf.CIQ($E$10, "IQ_REVENUE_EST", "FY2014", $E$12, , , "USD")</f>
        <v>11307.96297</v>
      </c>
      <c r="I11" s="40">
        <f>_xll.ciqfunctions.udf.CIQ($E$10, "IQ_REVENUE_EST", "FY2015", $E$12, , , "USD")</f>
        <v>14760.469580000001</v>
      </c>
    </row>
    <row r="12" spans="1:9" x14ac:dyDescent="0.3">
      <c r="B12" s="19" t="s">
        <v>25</v>
      </c>
      <c r="E12" s="89">
        <v>41699</v>
      </c>
      <c r="G12" s="19" t="s">
        <v>12</v>
      </c>
      <c r="H12" s="40">
        <f>_xll.ciqfunctions.udf.CIQ($E$10, "IQ_EBITDA_EST", "FY2014", $E$12, , , "USD")</f>
        <v>6799.9736599999997</v>
      </c>
      <c r="I12" s="40">
        <f>_xll.ciqfunctions.udf.CIQ($E$10, "IQ_EBITDA_EST", "FY2015", $E$12, , , "USD")</f>
        <v>8892.2909199999995</v>
      </c>
    </row>
    <row r="13" spans="1:9" x14ac:dyDescent="0.3">
      <c r="E13" s="37"/>
      <c r="G13" s="19" t="s">
        <v>13</v>
      </c>
      <c r="H13" s="40">
        <f>_xll.ciqfunctions.udf.CIQ($E$10, "IQ_NI_REPORTED_EST", "FY2014", $E$12, , , "USD")</f>
        <v>2473.5740999999998</v>
      </c>
      <c r="I13" s="40">
        <f>_xll.ciqfunctions.udf.CIQ($E$10, "IQ_NI_REPORTED_EST", "FY2015", $E$12, , , "USD")</f>
        <v>3534.44517</v>
      </c>
    </row>
    <row r="14" spans="1:9" x14ac:dyDescent="0.3">
      <c r="B14" s="28" t="s">
        <v>26</v>
      </c>
      <c r="E14" s="37"/>
      <c r="G14" s="19" t="s">
        <v>22</v>
      </c>
      <c r="H14" s="40">
        <f>_xll.ciqfunctions.udf.CIQ($E$10, "IQ_CASH_OPER_EST", "FY2014", $E$12, , , "USD")</f>
        <v>4924.6882400000004</v>
      </c>
      <c r="I14" s="40">
        <f>_xll.ciqfunctions.udf.CIQ($E$10, "IQ_CASH_OPER_EST", "FY2015", $E$12, , , "USD")</f>
        <v>6507.8125</v>
      </c>
    </row>
    <row r="15" spans="1:9" x14ac:dyDescent="0.3">
      <c r="B15" s="19" t="s">
        <v>53</v>
      </c>
      <c r="E15" s="90">
        <f>2551.654996+183.865778</f>
        <v>2735.5207740000001</v>
      </c>
      <c r="H15" s="37"/>
      <c r="I15" s="37"/>
    </row>
    <row r="16" spans="1:9" ht="16.5" customHeight="1" x14ac:dyDescent="0.3">
      <c r="B16" s="61" t="s">
        <v>62</v>
      </c>
      <c r="C16" s="61"/>
      <c r="D16" s="61"/>
      <c r="E16" s="66">
        <f>+E64</f>
        <v>162.86444399999999</v>
      </c>
      <c r="H16" s="37"/>
      <c r="I16" s="37"/>
    </row>
    <row r="17" spans="2:9" ht="16.5" customHeight="1" x14ac:dyDescent="0.3">
      <c r="B17" s="61" t="s">
        <v>54</v>
      </c>
      <c r="C17" s="61"/>
      <c r="D17" s="61"/>
      <c r="E17" s="66">
        <f>+F51</f>
        <v>20.955898626935436</v>
      </c>
      <c r="G17" s="62" t="s">
        <v>31</v>
      </c>
      <c r="H17" s="68" t="s">
        <v>20</v>
      </c>
      <c r="I17" s="68" t="s">
        <v>21</v>
      </c>
    </row>
    <row r="18" spans="2:9" ht="16.5" customHeight="1" x14ac:dyDescent="0.3">
      <c r="B18" s="65" t="s">
        <v>55</v>
      </c>
      <c r="C18" s="65"/>
      <c r="D18" s="65"/>
      <c r="E18" s="67">
        <f>+E76</f>
        <v>0</v>
      </c>
      <c r="G18" s="19" t="s">
        <v>19</v>
      </c>
      <c r="H18" s="43">
        <f>IFERROR($E$32/H11,"-")</f>
        <v>17.776065713830327</v>
      </c>
      <c r="I18" s="43">
        <f>IFERROR($E$32/I11,"-")</f>
        <v>13.618204472074794</v>
      </c>
    </row>
    <row r="19" spans="2:9" x14ac:dyDescent="0.3">
      <c r="B19" s="61" t="s">
        <v>61</v>
      </c>
      <c r="E19" s="70">
        <f>SUM(E15:E18)</f>
        <v>2919.3411166269352</v>
      </c>
      <c r="G19" s="19" t="s">
        <v>12</v>
      </c>
      <c r="H19" s="43">
        <f>IFERROR($E$32/H12,"-")</f>
        <v>29.560569333775916</v>
      </c>
      <c r="I19" s="43">
        <f>IFERROR($E$32/I12,"-")</f>
        <v>22.605096330370621</v>
      </c>
    </row>
    <row r="20" spans="2:9" x14ac:dyDescent="0.3">
      <c r="E20" s="37"/>
      <c r="G20" s="19" t="s">
        <v>13</v>
      </c>
      <c r="H20" s="43">
        <f>IFERROR($E$21/H13,"-")</f>
        <v>80.79729361828295</v>
      </c>
      <c r="I20" s="43">
        <f>IFERROR($E$21/I13,"-")</f>
        <v>56.545817867159045</v>
      </c>
    </row>
    <row r="21" spans="2:9" x14ac:dyDescent="0.3">
      <c r="B21" s="20" t="s">
        <v>27</v>
      </c>
      <c r="C21" s="20"/>
      <c r="D21" s="20"/>
      <c r="E21" s="53">
        <f>+E11*E19</f>
        <v>199858.09284427998</v>
      </c>
      <c r="G21" s="19" t="s">
        <v>22</v>
      </c>
      <c r="H21" s="43">
        <f>IFERROR($E$21/H14,"-")</f>
        <v>40.582892379047323</v>
      </c>
      <c r="I21" s="43">
        <f>IFERROR($E$21/I14,"-")</f>
        <v>30.710487255783718</v>
      </c>
    </row>
    <row r="22" spans="2:9" x14ac:dyDescent="0.3">
      <c r="E22" s="37"/>
      <c r="H22" s="37"/>
      <c r="I22" s="37"/>
    </row>
    <row r="23" spans="2:9" x14ac:dyDescent="0.3">
      <c r="B23" s="19" t="s">
        <v>56</v>
      </c>
      <c r="E23" s="40">
        <f>_xll.ciqfunctions.udf.CIQ(E10, "IQ_CASH_EQUIV", , E12, , , "USD")</f>
        <v>3323</v>
      </c>
      <c r="G23" s="19" t="s">
        <v>34</v>
      </c>
      <c r="H23" s="37"/>
      <c r="I23" s="43">
        <f>IFERROR(E29/E34,"-")</f>
        <v>0.16294139060099594</v>
      </c>
    </row>
    <row r="24" spans="2:9" x14ac:dyDescent="0.3">
      <c r="E24" s="37"/>
      <c r="G24" s="19" t="s">
        <v>57</v>
      </c>
      <c r="H24" s="37"/>
      <c r="I24" s="44">
        <f>IFERROR(E29/(E29+E34),"-")</f>
        <v>0.14011143804658077</v>
      </c>
    </row>
    <row r="25" spans="2:9" x14ac:dyDescent="0.3">
      <c r="B25" s="19" t="s">
        <v>65</v>
      </c>
      <c r="E25" s="91">
        <f>_xll.ciqfunctions.udf.CIQ(E10, "IQ_TOTAL_DEBT", , E12, , , "USD")+4000</f>
        <v>4476</v>
      </c>
      <c r="G25" s="19" t="s">
        <v>58</v>
      </c>
      <c r="I25" s="44">
        <f>IFERROR(E29/(E29+E21),"-")</f>
        <v>2.1905301938091624E-2</v>
      </c>
    </row>
    <row r="26" spans="2:9" x14ac:dyDescent="0.3">
      <c r="B26" s="19" t="s">
        <v>68</v>
      </c>
      <c r="E26" s="71">
        <f>_xll.ciqfunctions.udf.CIQ(E10, "IQ_CONVERT", , E12, , , "USD")</f>
        <v>0</v>
      </c>
      <c r="I26" s="44"/>
    </row>
    <row r="27" spans="2:9" x14ac:dyDescent="0.3">
      <c r="B27" s="19" t="s">
        <v>67</v>
      </c>
      <c r="E27" s="54">
        <f>+E25-E26</f>
        <v>4476</v>
      </c>
    </row>
    <row r="28" spans="2:9" x14ac:dyDescent="0.3">
      <c r="B28" s="29" t="s">
        <v>69</v>
      </c>
      <c r="C28" s="29"/>
      <c r="D28" s="29"/>
      <c r="E28" s="41">
        <f>+E79</f>
        <v>0</v>
      </c>
    </row>
    <row r="29" spans="2:9" x14ac:dyDescent="0.3">
      <c r="B29" s="20" t="s">
        <v>66</v>
      </c>
      <c r="C29" s="20"/>
      <c r="D29" s="20"/>
      <c r="E29" s="73">
        <f>+E27+E28</f>
        <v>4476</v>
      </c>
    </row>
    <row r="30" spans="2:9" x14ac:dyDescent="0.3">
      <c r="B30" s="20"/>
      <c r="C30" s="20"/>
      <c r="D30" s="20"/>
      <c r="E30" s="42"/>
    </row>
    <row r="31" spans="2:9" x14ac:dyDescent="0.3">
      <c r="B31" s="19" t="s">
        <v>11</v>
      </c>
      <c r="E31" s="54">
        <f>+E29-E23</f>
        <v>1153</v>
      </c>
    </row>
    <row r="32" spans="2:9" x14ac:dyDescent="0.3">
      <c r="B32" s="20" t="s">
        <v>29</v>
      </c>
      <c r="C32" s="20"/>
      <c r="D32" s="20"/>
      <c r="E32" s="53">
        <f>+E21+E31</f>
        <v>201011.09284427998</v>
      </c>
    </row>
    <row r="33" spans="2:26" x14ac:dyDescent="0.3">
      <c r="E33" s="37"/>
    </row>
    <row r="34" spans="2:26" x14ac:dyDescent="0.3">
      <c r="B34" s="19" t="s">
        <v>33</v>
      </c>
      <c r="E34" s="92">
        <f>_xll.ciqfunctions.udf.CIQ(E10, "IQ_TOTAL_EQUITY", , E12, , , "USD")+(183.865778*65.265)</f>
        <v>27470.000001170003</v>
      </c>
    </row>
    <row r="36" spans="2:26" x14ac:dyDescent="0.3">
      <c r="B36" s="32" t="s">
        <v>35</v>
      </c>
      <c r="C36" s="32"/>
      <c r="D36" s="32"/>
      <c r="E36" s="32"/>
      <c r="F36" s="32"/>
    </row>
    <row r="37" spans="2:26" ht="5.25" customHeight="1" x14ac:dyDescent="0.3"/>
    <row r="38" spans="2:26" x14ac:dyDescent="0.3">
      <c r="B38" s="30"/>
      <c r="C38" s="30" t="s">
        <v>38</v>
      </c>
      <c r="D38" s="30" t="s">
        <v>37</v>
      </c>
      <c r="E38" s="30" t="s">
        <v>38</v>
      </c>
      <c r="F38" s="30"/>
    </row>
    <row r="39" spans="2:26" ht="17" x14ac:dyDescent="0.6">
      <c r="B39" s="21" t="s">
        <v>36</v>
      </c>
      <c r="C39" s="22" t="s">
        <v>40</v>
      </c>
      <c r="D39" s="22" t="s">
        <v>9</v>
      </c>
      <c r="E39" s="22" t="s">
        <v>70</v>
      </c>
      <c r="F39" s="22" t="s">
        <v>39</v>
      </c>
    </row>
    <row r="40" spans="2:26" s="55" customFormat="1" ht="10.5" x14ac:dyDescent="0.25">
      <c r="C40" s="55" t="s">
        <v>16</v>
      </c>
      <c r="D40" s="56" t="s">
        <v>14</v>
      </c>
      <c r="E40" s="55" t="s">
        <v>16</v>
      </c>
      <c r="F40" s="56" t="s">
        <v>15</v>
      </c>
      <c r="G40" s="56"/>
      <c r="H40" s="56"/>
      <c r="I40" s="57"/>
      <c r="J40" s="56"/>
      <c r="K40" s="56"/>
      <c r="L40" s="56"/>
      <c r="M40" s="56"/>
      <c r="N40" s="56"/>
      <c r="O40" s="56"/>
      <c r="P40" s="56"/>
      <c r="Q40" s="56"/>
      <c r="R40" s="58"/>
      <c r="S40" s="56"/>
      <c r="T40" s="56"/>
      <c r="U40" s="56"/>
      <c r="V40" s="56"/>
      <c r="W40" s="56"/>
      <c r="X40" s="56"/>
      <c r="Y40" s="56"/>
      <c r="Z40" s="56"/>
    </row>
    <row r="41" spans="2:26" x14ac:dyDescent="0.3">
      <c r="B41" s="26" t="s">
        <v>96</v>
      </c>
      <c r="C41" s="38">
        <v>22.102</v>
      </c>
      <c r="D41" s="36">
        <v>3.55</v>
      </c>
      <c r="E41" s="34">
        <f>+IF(D41&lt;$E$11,C41,0)</f>
        <v>22.102</v>
      </c>
      <c r="F41" s="45">
        <f>+D41*E41</f>
        <v>78.462099999999992</v>
      </c>
    </row>
    <row r="42" spans="2:26" x14ac:dyDescent="0.3">
      <c r="B42" s="26"/>
      <c r="C42" s="38"/>
      <c r="D42" s="36"/>
      <c r="E42" s="34">
        <f t="shared" ref="E42:E46" si="0">+IF(D42&lt;$E$11,C42,0)</f>
        <v>0</v>
      </c>
      <c r="F42" s="45">
        <f t="shared" ref="F42:F46" si="1">+D42*E42</f>
        <v>0</v>
      </c>
    </row>
    <row r="43" spans="2:26" x14ac:dyDescent="0.3">
      <c r="B43" s="26"/>
      <c r="C43" s="38"/>
      <c r="D43" s="36"/>
      <c r="E43" s="34">
        <f t="shared" si="0"/>
        <v>0</v>
      </c>
      <c r="F43" s="45">
        <f t="shared" si="1"/>
        <v>0</v>
      </c>
    </row>
    <row r="44" spans="2:26" x14ac:dyDescent="0.3">
      <c r="B44" s="26"/>
      <c r="C44" s="38"/>
      <c r="D44" s="36"/>
      <c r="E44" s="34">
        <f t="shared" si="0"/>
        <v>0</v>
      </c>
      <c r="F44" s="45">
        <f t="shared" si="1"/>
        <v>0</v>
      </c>
    </row>
    <row r="45" spans="2:26" x14ac:dyDescent="0.3">
      <c r="B45" s="26"/>
      <c r="C45" s="38"/>
      <c r="D45" s="36"/>
      <c r="E45" s="34">
        <f t="shared" si="0"/>
        <v>0</v>
      </c>
      <c r="F45" s="45">
        <f t="shared" si="1"/>
        <v>0</v>
      </c>
    </row>
    <row r="46" spans="2:26" x14ac:dyDescent="0.3">
      <c r="B46" s="31"/>
      <c r="C46" s="49"/>
      <c r="D46" s="50"/>
      <c r="E46" s="39">
        <f t="shared" si="0"/>
        <v>0</v>
      </c>
      <c r="F46" s="46">
        <f t="shared" si="1"/>
        <v>0</v>
      </c>
    </row>
    <row r="47" spans="2:26" x14ac:dyDescent="0.3">
      <c r="B47" s="20" t="s">
        <v>41</v>
      </c>
      <c r="C47" s="42"/>
      <c r="D47" s="42"/>
      <c r="E47" s="47">
        <f>SUM(E41:E46)</f>
        <v>22.102</v>
      </c>
      <c r="F47" s="48">
        <f>SUM(F41:F46)</f>
        <v>78.462099999999992</v>
      </c>
    </row>
    <row r="48" spans="2:26" x14ac:dyDescent="0.3">
      <c r="C48" s="37"/>
      <c r="D48" s="37"/>
      <c r="E48" s="37"/>
      <c r="F48" s="37"/>
    </row>
    <row r="49" spans="2:6" x14ac:dyDescent="0.3">
      <c r="B49" s="19" t="s">
        <v>42</v>
      </c>
      <c r="C49" s="37"/>
      <c r="D49" s="37"/>
      <c r="E49" s="37"/>
      <c r="F49" s="34">
        <f>+E47</f>
        <v>22.102</v>
      </c>
    </row>
    <row r="50" spans="2:6" x14ac:dyDescent="0.3">
      <c r="B50" s="19" t="s">
        <v>43</v>
      </c>
      <c r="C50" s="37"/>
      <c r="D50" s="37"/>
      <c r="E50" s="37"/>
      <c r="F50" s="34">
        <f>IF(ISERR($F47/E11),"-",$F47/E11)</f>
        <v>1.1461013730645633</v>
      </c>
    </row>
    <row r="51" spans="2:6" x14ac:dyDescent="0.3">
      <c r="B51" s="19" t="s">
        <v>59</v>
      </c>
      <c r="C51" s="37"/>
      <c r="D51" s="37"/>
      <c r="E51" s="37"/>
      <c r="F51" s="34">
        <f>+IF(ISERR(F49-F50),"-",F49-F50)</f>
        <v>20.955898626935436</v>
      </c>
    </row>
    <row r="52" spans="2:6" x14ac:dyDescent="0.3">
      <c r="C52" s="37"/>
      <c r="D52" s="37"/>
      <c r="E52" s="37"/>
      <c r="F52" s="34"/>
    </row>
    <row r="53" spans="2:6" x14ac:dyDescent="0.3">
      <c r="B53" s="32" t="s">
        <v>60</v>
      </c>
      <c r="C53" s="32"/>
      <c r="D53" s="32"/>
      <c r="E53" s="32"/>
      <c r="F53" s="34"/>
    </row>
    <row r="54" spans="2:6" s="59" customFormat="1" ht="5.5" customHeight="1" x14ac:dyDescent="0.3">
      <c r="B54" s="60"/>
      <c r="D54" s="63"/>
      <c r="E54" s="60"/>
      <c r="F54" s="64"/>
    </row>
    <row r="55" spans="2:6" x14ac:dyDescent="0.3">
      <c r="B55" s="60"/>
      <c r="D55" s="37"/>
      <c r="E55" s="30" t="s">
        <v>63</v>
      </c>
      <c r="F55" s="34"/>
    </row>
    <row r="56" spans="2:6" x14ac:dyDescent="0.3">
      <c r="B56" s="60"/>
      <c r="D56" s="37"/>
      <c r="E56" s="30" t="s">
        <v>38</v>
      </c>
      <c r="F56" s="34"/>
    </row>
    <row r="57" spans="2:6" ht="17" x14ac:dyDescent="0.6">
      <c r="B57" s="21" t="s">
        <v>36</v>
      </c>
      <c r="C57" s="21" t="s">
        <v>64</v>
      </c>
      <c r="D57" s="21" t="s">
        <v>64</v>
      </c>
      <c r="E57" s="22" t="s">
        <v>40</v>
      </c>
      <c r="F57" s="34"/>
    </row>
    <row r="58" spans="2:6" x14ac:dyDescent="0.3">
      <c r="E58" s="55" t="s">
        <v>16</v>
      </c>
      <c r="F58" s="34"/>
    </row>
    <row r="59" spans="2:6" x14ac:dyDescent="0.3">
      <c r="B59" s="26" t="s">
        <v>91</v>
      </c>
      <c r="C59" s="26"/>
      <c r="D59" s="26"/>
      <c r="E59" s="26">
        <v>103.971</v>
      </c>
      <c r="F59" s="34"/>
    </row>
    <row r="60" spans="2:6" x14ac:dyDescent="0.3">
      <c r="B60" s="93" t="s">
        <v>98</v>
      </c>
      <c r="C60" s="93"/>
      <c r="D60" s="93"/>
      <c r="E60" s="93">
        <v>45.966444000000003</v>
      </c>
      <c r="F60" s="34"/>
    </row>
    <row r="61" spans="2:6" x14ac:dyDescent="0.3">
      <c r="B61" s="93" t="s">
        <v>99</v>
      </c>
      <c r="C61" s="93"/>
      <c r="D61" s="93"/>
      <c r="E61" s="94">
        <f>139-(E59+C41)</f>
        <v>12.926999999999992</v>
      </c>
      <c r="F61" s="34"/>
    </row>
    <row r="62" spans="2:6" x14ac:dyDescent="0.3">
      <c r="B62" s="26"/>
      <c r="C62" s="26"/>
      <c r="D62" s="26"/>
      <c r="E62" s="26"/>
      <c r="F62" s="34"/>
    </row>
    <row r="63" spans="2:6" x14ac:dyDescent="0.3">
      <c r="B63" s="31"/>
      <c r="C63" s="31"/>
      <c r="D63" s="31"/>
      <c r="E63" s="31"/>
      <c r="F63" s="34"/>
    </row>
    <row r="64" spans="2:6" x14ac:dyDescent="0.3">
      <c r="B64" s="20" t="s">
        <v>41</v>
      </c>
      <c r="D64" s="37"/>
      <c r="E64" s="69">
        <f>SUM(E59:E63)</f>
        <v>162.86444399999999</v>
      </c>
      <c r="F64" s="34"/>
    </row>
    <row r="66" spans="2:5" x14ac:dyDescent="0.3">
      <c r="B66" s="32" t="s">
        <v>28</v>
      </c>
      <c r="C66" s="32"/>
      <c r="D66" s="32"/>
      <c r="E66" s="32"/>
    </row>
    <row r="67" spans="2:5" ht="5.25" customHeight="1" x14ac:dyDescent="0.3"/>
    <row r="68" spans="2:5" x14ac:dyDescent="0.3">
      <c r="B68" s="30"/>
      <c r="C68" s="30" t="s">
        <v>45</v>
      </c>
      <c r="D68" s="30" t="s">
        <v>46</v>
      </c>
      <c r="E68" s="30" t="s">
        <v>10</v>
      </c>
    </row>
    <row r="69" spans="2:5" ht="17" x14ac:dyDescent="0.6">
      <c r="B69" s="21" t="s">
        <v>44</v>
      </c>
      <c r="C69" s="22" t="s">
        <v>17</v>
      </c>
      <c r="D69" s="22" t="s">
        <v>9</v>
      </c>
      <c r="E69" s="22" t="s">
        <v>47</v>
      </c>
    </row>
    <row r="70" spans="2:5" x14ac:dyDescent="0.3">
      <c r="C70" s="55" t="s">
        <v>16</v>
      </c>
      <c r="D70" s="56" t="s">
        <v>14</v>
      </c>
      <c r="E70" s="55" t="s">
        <v>16</v>
      </c>
    </row>
    <row r="71" spans="2:5" x14ac:dyDescent="0.3">
      <c r="B71" s="26"/>
      <c r="C71" s="40"/>
      <c r="D71" s="36"/>
      <c r="E71" s="34">
        <f>IF(ISNUMBER($D71),IF($E$11&gt;$D71,$C71/$D71,0),0)</f>
        <v>0</v>
      </c>
    </row>
    <row r="72" spans="2:5" x14ac:dyDescent="0.3">
      <c r="B72" s="26"/>
      <c r="C72" s="40"/>
      <c r="D72" s="36"/>
      <c r="E72" s="34">
        <f t="shared" ref="E72:E75" si="2">IF(ISNUMBER($D72),IF($E$11&gt;$D72,$C72/$D72,0),0)</f>
        <v>0</v>
      </c>
    </row>
    <row r="73" spans="2:5" x14ac:dyDescent="0.3">
      <c r="B73" s="26"/>
      <c r="C73" s="40"/>
      <c r="D73" s="36"/>
      <c r="E73" s="34">
        <f t="shared" si="2"/>
        <v>0</v>
      </c>
    </row>
    <row r="74" spans="2:5" x14ac:dyDescent="0.3">
      <c r="B74" s="26"/>
      <c r="C74" s="40"/>
      <c r="D74" s="36"/>
      <c r="E74" s="34">
        <f t="shared" si="2"/>
        <v>0</v>
      </c>
    </row>
    <row r="75" spans="2:5" x14ac:dyDescent="0.3">
      <c r="B75" s="31"/>
      <c r="C75" s="51"/>
      <c r="D75" s="50"/>
      <c r="E75" s="39">
        <f t="shared" si="2"/>
        <v>0</v>
      </c>
    </row>
    <row r="76" spans="2:5" x14ac:dyDescent="0.3">
      <c r="B76" s="20" t="s">
        <v>41</v>
      </c>
      <c r="C76" s="53">
        <f>SUM(C71:C75)</f>
        <v>0</v>
      </c>
      <c r="D76" s="42"/>
      <c r="E76" s="47">
        <f>SUM(E71:E75)</f>
        <v>0</v>
      </c>
    </row>
    <row r="77" spans="2:5" x14ac:dyDescent="0.3">
      <c r="C77" s="37"/>
      <c r="D77" s="37"/>
      <c r="E77" s="37"/>
    </row>
    <row r="78" spans="2:5" x14ac:dyDescent="0.3">
      <c r="B78" s="19" t="s">
        <v>49</v>
      </c>
      <c r="C78" s="37"/>
      <c r="D78" s="37"/>
      <c r="E78" s="54">
        <f>SUMIF(D71:D75,"&lt;"&amp;$E$11,C71:C75)</f>
        <v>0</v>
      </c>
    </row>
    <row r="79" spans="2:5" x14ac:dyDescent="0.3">
      <c r="B79" s="19" t="s">
        <v>50</v>
      </c>
      <c r="C79" s="37"/>
      <c r="D79" s="37"/>
      <c r="E79" s="54">
        <f>+C76-E78</f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0D5F-CDDD-4AB5-83CE-BA3A6FC1F3C9}">
  <dimension ref="A1:I27"/>
  <sheetViews>
    <sheetView showGridLines="0" workbookViewId="0"/>
  </sheetViews>
  <sheetFormatPr defaultRowHeight="14.5" x14ac:dyDescent="0.35"/>
  <cols>
    <col min="2" max="3" width="5.7265625" customWidth="1"/>
  </cols>
  <sheetData>
    <row r="1" spans="1:9" s="15" customFormat="1" ht="15.5" x14ac:dyDescent="0.35">
      <c r="A1" s="23" t="s">
        <v>23</v>
      </c>
      <c r="B1" s="14"/>
      <c r="C1" s="14"/>
      <c r="D1" s="14"/>
      <c r="E1" s="14"/>
      <c r="F1" s="14"/>
      <c r="G1" s="14"/>
      <c r="H1" s="14"/>
      <c r="I1" s="14"/>
    </row>
    <row r="2" spans="1:9" s="2" customFormat="1" ht="18" x14ac:dyDescent="0.3">
      <c r="A2" s="16" t="str">
        <f>+FB!A2</f>
        <v>Facebook, Inc.</v>
      </c>
      <c r="B2" s="16"/>
      <c r="C2" s="16"/>
      <c r="D2" s="16"/>
      <c r="E2" s="16"/>
      <c r="F2" s="16"/>
      <c r="G2" s="16"/>
      <c r="H2" s="16"/>
      <c r="I2" s="16"/>
    </row>
    <row r="3" spans="1:9" s="15" customFormat="1" ht="15.5" x14ac:dyDescent="0.35">
      <c r="A3" s="24" t="s">
        <v>92</v>
      </c>
      <c r="B3" s="18"/>
      <c r="C3" s="18"/>
      <c r="D3" s="18"/>
      <c r="E3" s="17"/>
      <c r="F3" s="17"/>
      <c r="G3" s="17"/>
      <c r="H3" s="17"/>
      <c r="I3" s="17"/>
    </row>
    <row r="5" spans="1:9" x14ac:dyDescent="0.35">
      <c r="B5" s="74" t="s">
        <v>71</v>
      </c>
      <c r="C5" s="75" t="s">
        <v>72</v>
      </c>
    </row>
    <row r="6" spans="1:9" x14ac:dyDescent="0.35">
      <c r="B6" s="74"/>
      <c r="C6" s="75"/>
    </row>
    <row r="7" spans="1:9" x14ac:dyDescent="0.35">
      <c r="B7" s="76" t="s">
        <v>73</v>
      </c>
      <c r="C7" s="75" t="s">
        <v>74</v>
      </c>
    </row>
    <row r="8" spans="1:9" x14ac:dyDescent="0.35">
      <c r="B8" s="76"/>
      <c r="C8" s="75"/>
    </row>
    <row r="9" spans="1:9" x14ac:dyDescent="0.35">
      <c r="B9" s="76" t="s">
        <v>75</v>
      </c>
      <c r="C9" s="75" t="s">
        <v>76</v>
      </c>
    </row>
    <row r="10" spans="1:9" x14ac:dyDescent="0.35">
      <c r="B10" s="77"/>
      <c r="C10" s="78" t="s">
        <v>77</v>
      </c>
      <c r="D10" s="75" t="s">
        <v>78</v>
      </c>
    </row>
    <row r="11" spans="1:9" x14ac:dyDescent="0.35">
      <c r="B11" s="77"/>
      <c r="C11" s="78" t="s">
        <v>79</v>
      </c>
      <c r="D11" s="75" t="s">
        <v>80</v>
      </c>
    </row>
    <row r="12" spans="1:9" x14ac:dyDescent="0.35">
      <c r="B12" s="77"/>
      <c r="C12" s="78" t="s">
        <v>81</v>
      </c>
      <c r="D12" s="75" t="s">
        <v>82</v>
      </c>
    </row>
    <row r="13" spans="1:9" x14ac:dyDescent="0.35">
      <c r="B13" s="77"/>
      <c r="C13" s="78"/>
      <c r="D13" s="75"/>
    </row>
    <row r="14" spans="1:9" x14ac:dyDescent="0.35">
      <c r="B14" s="76" t="s">
        <v>83</v>
      </c>
      <c r="C14" s="75" t="s">
        <v>84</v>
      </c>
    </row>
    <row r="15" spans="1:9" x14ac:dyDescent="0.35">
      <c r="B15" s="76"/>
      <c r="C15" s="75"/>
    </row>
    <row r="16" spans="1:9" x14ac:dyDescent="0.35">
      <c r="B16" s="76" t="s">
        <v>85</v>
      </c>
      <c r="C16" s="75" t="s">
        <v>86</v>
      </c>
    </row>
    <row r="19" spans="2:6" x14ac:dyDescent="0.35">
      <c r="B19" s="79" t="s">
        <v>87</v>
      </c>
    </row>
    <row r="20" spans="2:6" x14ac:dyDescent="0.35">
      <c r="B20" t="s">
        <v>10</v>
      </c>
      <c r="F20" s="80">
        <v>2551.6549960000002</v>
      </c>
    </row>
    <row r="21" spans="2:6" x14ac:dyDescent="0.35">
      <c r="B21" t="s">
        <v>88</v>
      </c>
      <c r="F21" s="80">
        <v>139</v>
      </c>
    </row>
    <row r="23" spans="2:6" x14ac:dyDescent="0.35">
      <c r="B23" s="79" t="s">
        <v>89</v>
      </c>
    </row>
    <row r="24" spans="2:6" x14ac:dyDescent="0.35">
      <c r="B24" t="s">
        <v>90</v>
      </c>
      <c r="F24" s="81">
        <v>4000</v>
      </c>
    </row>
    <row r="25" spans="2:6" x14ac:dyDescent="0.35">
      <c r="B25" t="s">
        <v>10</v>
      </c>
      <c r="D25" s="80">
        <v>183.86577800000001</v>
      </c>
      <c r="E25" s="82">
        <v>65.265000000000001</v>
      </c>
      <c r="F25" s="81">
        <f>+D25*E25</f>
        <v>12000.000001170001</v>
      </c>
    </row>
    <row r="26" spans="2:6" x14ac:dyDescent="0.35">
      <c r="B26" s="83" t="s">
        <v>91</v>
      </c>
      <c r="C26" s="83"/>
      <c r="D26" s="84">
        <v>45.966444000000003</v>
      </c>
      <c r="E26" s="85">
        <f>+E25</f>
        <v>65.265000000000001</v>
      </c>
      <c r="F26" s="86">
        <f>+D26*E26</f>
        <v>2999.99996766</v>
      </c>
    </row>
    <row r="27" spans="2:6" s="79" customFormat="1" x14ac:dyDescent="0.35">
      <c r="B27" s="79" t="s">
        <v>41</v>
      </c>
      <c r="F27" s="87">
        <f>SUM(F24:F26)</f>
        <v>18999.999968830001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FB</vt:lpstr>
      <vt:lpstr>FB (Capital IQ)</vt:lpstr>
      <vt:lpstr>Acquisition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Tong</dc:creator>
  <cp:lastModifiedBy>Katie Au Yeung</cp:lastModifiedBy>
  <dcterms:created xsi:type="dcterms:W3CDTF">2020-09-13T07:04:14Z</dcterms:created>
  <dcterms:modified xsi:type="dcterms:W3CDTF">2021-02-19T00:41:25Z</dcterms:modified>
</cp:coreProperties>
</file>