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KSNEY GREGORIO\Desktop\2025 GERAL\DIO.ME\"/>
    </mc:Choice>
  </mc:AlternateContent>
  <xr:revisionPtr revIDLastSave="0" documentId="13_ncr:1_{1CB4E5FB-E7BE-4B58-B74D-790FB55D8E0C}" xr6:coauthVersionLast="47" xr6:coauthVersionMax="47" xr10:uidLastSave="{00000000-0000-0000-0000-000000000000}"/>
  <bookViews>
    <workbookView xWindow="-120" yWindow="-120" windowWidth="20730" windowHeight="11040" tabRatio="614" xr2:uid="{D63472A4-8300-4934-9C87-0EC792DCF89D}"/>
  </bookViews>
  <sheets>
    <sheet name="PL - Rendimentos" sheetId="1" r:id="rId1"/>
    <sheet name="Tipo de Fundo e Perfil Invest." sheetId="2" r:id="rId2"/>
  </sheets>
  <definedNames>
    <definedName name="aporte">'PL - Rendimentos'!$D$8</definedName>
    <definedName name="patrimonio">'PL - Rendimentos'!$D$11</definedName>
    <definedName name="qtd_anos">'PL - Rendimentos'!$D$9</definedName>
    <definedName name="rendimento_carteira">'PL - Rendimentos'!$D$4</definedName>
    <definedName name="salario">'PL - Rendimentos'!$D$3</definedName>
    <definedName name="sugestao_investimento">'PL - Rendimentos'!$D$5</definedName>
    <definedName name="taxa_mensal">'PL - Rendimentos'!$D$10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27" i="1"/>
  <c r="C28" i="1"/>
  <c r="C29" i="1"/>
  <c r="C30" i="1"/>
  <c r="C31" i="1"/>
  <c r="C32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24" i="1"/>
  <c r="D11" i="1"/>
  <c r="D12" i="1" s="1"/>
  <c r="C18" i="1"/>
  <c r="D18" i="1" s="1"/>
  <c r="C17" i="1"/>
  <c r="D17" i="1" s="1"/>
  <c r="C16" i="1"/>
  <c r="D16" i="1" s="1"/>
  <c r="C19" i="1"/>
  <c r="D19" i="1" s="1"/>
  <c r="C15" i="1"/>
  <c r="D15" i="1" s="1"/>
  <c r="D27" i="1" l="1"/>
  <c r="D32" i="1"/>
  <c r="D30" i="1"/>
  <c r="D29" i="1"/>
  <c r="D31" i="1"/>
  <c r="D28" i="1"/>
  <c r="D33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<sst xmlns="http://schemas.openxmlformats.org/spreadsheetml/2006/main" count="71" uniqueCount="34">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</sst>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  <font>
      <sz val="11"/>
      <color rgb="FFFFFAFA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004D6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61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164" fontId="10" fillId="0" borderId="16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10" fontId="9" fillId="0" borderId="19" xfId="0" applyNumberFormat="1" applyFont="1" applyBorder="1" applyAlignment="1">
      <alignment horizontal="center"/>
    </xf>
    <xf numFmtId="0" fontId="2" fillId="2" borderId="0" xfId="3"/>
    <xf numFmtId="0" fontId="3" fillId="3" borderId="0" xfId="0" applyFont="1" applyFill="1"/>
    <xf numFmtId="164" fontId="3" fillId="3" borderId="0" xfId="1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0" xfId="0" applyFont="1" applyFill="1"/>
    <xf numFmtId="164" fontId="3" fillId="4" borderId="0" xfId="0" applyNumberFormat="1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9" fontId="0" fillId="5" borderId="0" xfId="0" applyNumberFormat="1" applyFill="1" applyAlignment="1">
      <alignment horizontal="center"/>
    </xf>
    <xf numFmtId="9" fontId="2" fillId="2" borderId="0" xfId="2" applyFont="1" applyFill="1"/>
    <xf numFmtId="0" fontId="8" fillId="3" borderId="14" xfId="0" applyFont="1" applyFill="1" applyBorder="1" applyAlignment="1">
      <alignment horizontal="left" indent="3"/>
    </xf>
    <xf numFmtId="0" fontId="8" fillId="3" borderId="15" xfId="0" applyFont="1" applyFill="1" applyBorder="1" applyAlignment="1">
      <alignment horizontal="left" indent="3"/>
    </xf>
    <xf numFmtId="0" fontId="8" fillId="3" borderId="17" xfId="0" applyFont="1" applyFill="1" applyBorder="1" applyAlignment="1">
      <alignment horizontal="left" indent="3"/>
    </xf>
    <xf numFmtId="0" fontId="8" fillId="3" borderId="18" xfId="0" applyFont="1" applyFill="1" applyBorder="1" applyAlignment="1">
      <alignment horizontal="left" indent="3"/>
    </xf>
    <xf numFmtId="0" fontId="5" fillId="6" borderId="1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2" fillId="6" borderId="0" xfId="3" applyFont="1" applyFill="1"/>
    <xf numFmtId="0" fontId="12" fillId="6" borderId="0" xfId="3" applyFont="1" applyFill="1" applyAlignment="1">
      <alignment horizontal="center"/>
    </xf>
    <xf numFmtId="0" fontId="8" fillId="7" borderId="14" xfId="0" applyFont="1" applyFill="1" applyBorder="1" applyAlignment="1">
      <alignment horizontal="left" indent="3"/>
    </xf>
    <xf numFmtId="0" fontId="8" fillId="7" borderId="15" xfId="0" applyFont="1" applyFill="1" applyBorder="1" applyAlignment="1">
      <alignment horizontal="left" indent="3"/>
    </xf>
    <xf numFmtId="0" fontId="8" fillId="7" borderId="17" xfId="0" applyFont="1" applyFill="1" applyBorder="1" applyAlignment="1">
      <alignment horizontal="left" indent="3"/>
    </xf>
    <xf numFmtId="0" fontId="8" fillId="7" borderId="18" xfId="0" applyFont="1" applyFill="1" applyBorder="1" applyAlignment="1">
      <alignment horizontal="left" indent="3"/>
    </xf>
    <xf numFmtId="0" fontId="8" fillId="7" borderId="20" xfId="0" applyFont="1" applyFill="1" applyBorder="1" applyAlignment="1">
      <alignment horizontal="left" indent="3"/>
    </xf>
    <xf numFmtId="0" fontId="8" fillId="7" borderId="21" xfId="0" applyFont="1" applyFill="1" applyBorder="1" applyAlignment="1">
      <alignment horizontal="left" indent="3"/>
    </xf>
    <xf numFmtId="164" fontId="9" fillId="7" borderId="22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left" indent="3"/>
    </xf>
    <xf numFmtId="0" fontId="11" fillId="7" borderId="18" xfId="0" applyFont="1" applyFill="1" applyBorder="1" applyAlignment="1">
      <alignment horizontal="left" indent="3"/>
    </xf>
    <xf numFmtId="8" fontId="10" fillId="7" borderId="19" xfId="0" applyNumberFormat="1" applyFont="1" applyFill="1" applyBorder="1" applyAlignment="1">
      <alignment horizontal="center"/>
    </xf>
    <xf numFmtId="0" fontId="11" fillId="7" borderId="20" xfId="0" applyFont="1" applyFill="1" applyBorder="1" applyAlignment="1">
      <alignment horizontal="left" indent="3"/>
    </xf>
    <xf numFmtId="0" fontId="11" fillId="7" borderId="21" xfId="0" applyFont="1" applyFill="1" applyBorder="1" applyAlignment="1">
      <alignment horizontal="left" indent="3"/>
    </xf>
    <xf numFmtId="8" fontId="10" fillId="7" borderId="22" xfId="0" applyNumberFormat="1" applyFont="1" applyFill="1" applyBorder="1" applyAlignment="1">
      <alignment horizontal="center"/>
    </xf>
    <xf numFmtId="0" fontId="8" fillId="7" borderId="5" xfId="0" applyFont="1" applyFill="1" applyBorder="1" applyAlignment="1">
      <alignment horizontal="left" indent="3"/>
    </xf>
    <xf numFmtId="164" fontId="9" fillId="7" borderId="6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0" fontId="8" fillId="7" borderId="8" xfId="0" applyFont="1" applyFill="1" applyBorder="1" applyAlignment="1">
      <alignment horizontal="left" indent="3"/>
    </xf>
    <xf numFmtId="164" fontId="9" fillId="7" borderId="9" xfId="0" applyNumberFormat="1" applyFont="1" applyFill="1" applyBorder="1" applyAlignment="1">
      <alignment horizontal="center"/>
    </xf>
    <xf numFmtId="164" fontId="9" fillId="7" borderId="10" xfId="0" applyNumberFormat="1" applyFont="1" applyFill="1" applyBorder="1" applyAlignment="1">
      <alignment horizontal="center"/>
    </xf>
    <xf numFmtId="0" fontId="8" fillId="7" borderId="11" xfId="0" applyFont="1" applyFill="1" applyBorder="1" applyAlignment="1">
      <alignment horizontal="left" indent="3"/>
    </xf>
    <xf numFmtId="164" fontId="9" fillId="7" borderId="12" xfId="0" applyNumberFormat="1" applyFont="1" applyFill="1" applyBorder="1" applyAlignment="1">
      <alignment horizontal="center"/>
    </xf>
    <xf numFmtId="164" fontId="9" fillId="7" borderId="13" xfId="0" applyNumberFormat="1" applyFont="1" applyFill="1" applyBorder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004D61"/>
      <color rgb="FFD9E1F2"/>
      <color rgb="FF1F4E79"/>
      <color rgb="FFA542E2"/>
      <color rgb="FF15E6EB"/>
      <color rgb="FF47EBEF"/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'PL - Rendimentos'!$C$26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C-41FD-8869-5EB27F44670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C-41FD-8869-5EB27F44670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C-41FD-8869-5EB27F44670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B4C-41FD-8869-5EB27F44670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B4C-41FD-8869-5EB27F44670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B4C-41FD-8869-5EB27F4467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'PL - Rendimentos'!$B$27:$B$32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'PL - Rendimentos'!$C$27:$C$32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33</xdr:row>
      <xdr:rowOff>97971</xdr:rowOff>
    </xdr:from>
    <xdr:to>
      <xdr:col>3</xdr:col>
      <xdr:colOff>892175</xdr:colOff>
      <xdr:row>46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:H33"/>
  <sheetViews>
    <sheetView showGridLines="0" tabSelected="1" zoomScale="110" zoomScaleNormal="110" workbookViewId="0">
      <selection activeCell="D5" sqref="D5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24.5703125" customWidth="1"/>
    <col min="4" max="4" width="24.7109375" customWidth="1"/>
    <col min="5" max="8" width="3.5703125" customWidth="1"/>
    <col min="9" max="16384" width="8.7109375" hidden="1"/>
  </cols>
  <sheetData>
    <row r="1" spans="1:6" ht="15.75" thickBot="1" x14ac:dyDescent="0.3"/>
    <row r="2" spans="1:6" ht="26.25" x14ac:dyDescent="0.25">
      <c r="B2" s="28" t="s">
        <v>15</v>
      </c>
      <c r="C2" s="29"/>
      <c r="D2" s="30"/>
    </row>
    <row r="3" spans="1:6" ht="17.25" x14ac:dyDescent="0.3">
      <c r="B3" s="37" t="s">
        <v>14</v>
      </c>
      <c r="C3" s="38"/>
      <c r="D3" s="8">
        <v>6100</v>
      </c>
    </row>
    <row r="4" spans="1:6" ht="17.25" x14ac:dyDescent="0.3">
      <c r="B4" s="39" t="s">
        <v>13</v>
      </c>
      <c r="C4" s="40"/>
      <c r="D4" s="9">
        <v>0.01</v>
      </c>
    </row>
    <row r="5" spans="1:6" ht="18" thickBot="1" x14ac:dyDescent="0.35">
      <c r="B5" s="41" t="s">
        <v>33</v>
      </c>
      <c r="C5" s="42"/>
      <c r="D5" s="43">
        <f>D3*30%</f>
        <v>1830</v>
      </c>
    </row>
    <row r="6" spans="1:6" ht="15.75" thickBot="1" x14ac:dyDescent="0.3"/>
    <row r="7" spans="1:6" ht="28.5" customHeight="1" x14ac:dyDescent="0.25">
      <c r="B7" s="31" t="s">
        <v>5</v>
      </c>
      <c r="C7" s="32"/>
      <c r="D7" s="33"/>
    </row>
    <row r="8" spans="1:6" ht="17.25" x14ac:dyDescent="0.3">
      <c r="B8" s="24" t="s">
        <v>0</v>
      </c>
      <c r="C8" s="25"/>
      <c r="D8" s="5">
        <v>1500</v>
      </c>
    </row>
    <row r="9" spans="1:6" ht="17.25" x14ac:dyDescent="0.3">
      <c r="B9" s="26" t="s">
        <v>1</v>
      </c>
      <c r="C9" s="27"/>
      <c r="D9" s="6">
        <v>5</v>
      </c>
    </row>
    <row r="10" spans="1:6" ht="17.25" x14ac:dyDescent="0.3">
      <c r="B10" s="26" t="s">
        <v>2</v>
      </c>
      <c r="C10" s="27"/>
      <c r="D10" s="7">
        <v>0.05</v>
      </c>
    </row>
    <row r="11" spans="1:6" ht="17.25" x14ac:dyDescent="0.3">
      <c r="B11" s="44" t="s">
        <v>3</v>
      </c>
      <c r="C11" s="45"/>
      <c r="D11" s="46">
        <f>FV(taxa_mensal,qtd_anos*12,aporte*-1)</f>
        <v>530375.57682368869</v>
      </c>
    </row>
    <row r="12" spans="1:6" ht="18" thickBot="1" x14ac:dyDescent="0.35">
      <c r="B12" s="47" t="s">
        <v>4</v>
      </c>
      <c r="C12" s="48"/>
      <c r="D12" s="49">
        <f>patrimonio*rendimento_carteira</f>
        <v>5303.755768236887</v>
      </c>
      <c r="F12" s="3"/>
    </row>
    <row r="13" spans="1:6" ht="15.75" thickBot="1" x14ac:dyDescent="0.3"/>
    <row r="14" spans="1:6" ht="30.75" x14ac:dyDescent="0.25">
      <c r="B14" s="31" t="s">
        <v>11</v>
      </c>
      <c r="C14" s="32"/>
      <c r="D14" s="34" t="s">
        <v>12</v>
      </c>
    </row>
    <row r="15" spans="1:6" ht="17.25" x14ac:dyDescent="0.3">
      <c r="A15" s="1">
        <v>2</v>
      </c>
      <c r="B15" s="50" t="s">
        <v>6</v>
      </c>
      <c r="C15" s="51">
        <f>FV($D$10,$A15*12,$D$8*-1)</f>
        <v>66752.998311411007</v>
      </c>
      <c r="D15" s="52">
        <f>C15*rendimento_carteira</f>
        <v>667.52998311411011</v>
      </c>
    </row>
    <row r="16" spans="1:6" ht="17.25" x14ac:dyDescent="0.3">
      <c r="A16" s="1">
        <v>5</v>
      </c>
      <c r="B16" s="53" t="s">
        <v>7</v>
      </c>
      <c r="C16" s="54">
        <f>FV($D$10,$A16*12,$D$8*-1)</f>
        <v>530375.57682368869</v>
      </c>
      <c r="D16" s="55">
        <f>C16*rendimento_carteira</f>
        <v>5303.755768236887</v>
      </c>
    </row>
    <row r="17" spans="1:4" ht="17.25" x14ac:dyDescent="0.3">
      <c r="A17" s="1">
        <v>10</v>
      </c>
      <c r="B17" s="53" t="s">
        <v>8</v>
      </c>
      <c r="C17" s="54">
        <f>FV($D$10,$A17*12,$D$8*-1)</f>
        <v>10437359.570016066</v>
      </c>
      <c r="D17" s="55">
        <f>C17*rendimento_carteira</f>
        <v>104373.59570016066</v>
      </c>
    </row>
    <row r="18" spans="1:4" ht="17.25" x14ac:dyDescent="0.3">
      <c r="A18" s="1">
        <v>20</v>
      </c>
      <c r="B18" s="53" t="s">
        <v>9</v>
      </c>
      <c r="C18" s="54">
        <f>FV($D$10,$A18*12,$D$8*-1)</f>
        <v>3652157212.2668982</v>
      </c>
      <c r="D18" s="55">
        <f>C18*rendimento_carteira</f>
        <v>36521572.122668982</v>
      </c>
    </row>
    <row r="19" spans="1:4" ht="18" thickBot="1" x14ac:dyDescent="0.35">
      <c r="A19" s="1">
        <v>30</v>
      </c>
      <c r="B19" s="56" t="s">
        <v>10</v>
      </c>
      <c r="C19" s="57">
        <f>FV($D$10,$A19*12,$D$8*-1)</f>
        <v>1274291862260.407</v>
      </c>
      <c r="D19" s="58">
        <f>C19*rendimento_carteira</f>
        <v>12742918622.604071</v>
      </c>
    </row>
    <row r="23" spans="1:4" x14ac:dyDescent="0.25">
      <c r="B23" s="35" t="s">
        <v>20</v>
      </c>
      <c r="C23" s="36" t="s">
        <v>17</v>
      </c>
      <c r="D23" s="35"/>
    </row>
    <row r="24" spans="1:4" x14ac:dyDescent="0.25">
      <c r="B24" s="11" t="s">
        <v>19</v>
      </c>
      <c r="C24" s="12">
        <f>aporte</f>
        <v>1500</v>
      </c>
      <c r="D24" s="11"/>
    </row>
    <row r="26" spans="1:4" x14ac:dyDescent="0.25">
      <c r="B26" s="13" t="s">
        <v>21</v>
      </c>
      <c r="C26" s="13" t="s">
        <v>22</v>
      </c>
      <c r="D26" s="13" t="s">
        <v>23</v>
      </c>
    </row>
    <row r="27" spans="1:4" x14ac:dyDescent="0.25">
      <c r="B27" s="2" t="s">
        <v>24</v>
      </c>
      <c r="C27" s="4">
        <f>VLOOKUP($C$23&amp;"-"&amp;B27,'Tipo de Fundo e Perfil Invest.'!$A:$D,4,FALSE)</f>
        <v>0.32</v>
      </c>
      <c r="D27" s="16">
        <f>C27*$C$24</f>
        <v>480</v>
      </c>
    </row>
    <row r="28" spans="1:4" x14ac:dyDescent="0.25">
      <c r="B28" s="2" t="s">
        <v>25</v>
      </c>
      <c r="C28" s="4">
        <f>VLOOKUP($C$23&amp;"-"&amp;B28,'Tipo de Fundo e Perfil Invest.'!$A:$D,4,FALSE)</f>
        <v>0.35</v>
      </c>
      <c r="D28" s="16">
        <f t="shared" ref="D28:D32" si="0">C28*$C$24</f>
        <v>525</v>
      </c>
    </row>
    <row r="29" spans="1:4" x14ac:dyDescent="0.25">
      <c r="B29" s="2" t="s">
        <v>26</v>
      </c>
      <c r="C29" s="4">
        <f>VLOOKUP($C$23&amp;"-"&amp;B29,'Tipo de Fundo e Perfil Invest.'!$A:$D,4,FALSE)</f>
        <v>0.08</v>
      </c>
      <c r="D29" s="16">
        <f t="shared" si="0"/>
        <v>120</v>
      </c>
    </row>
    <row r="30" spans="1:4" x14ac:dyDescent="0.25">
      <c r="B30" s="2" t="s">
        <v>27</v>
      </c>
      <c r="C30" s="4">
        <f>VLOOKUP($C$23&amp;"-"&amp;B30,'Tipo de Fundo e Perfil Invest.'!$A:$D,4,FALSE)</f>
        <v>0.05</v>
      </c>
      <c r="D30" s="16">
        <f t="shared" si="0"/>
        <v>75</v>
      </c>
    </row>
    <row r="31" spans="1:4" x14ac:dyDescent="0.25">
      <c r="B31" s="2" t="s">
        <v>28</v>
      </c>
      <c r="C31" s="4">
        <f>VLOOKUP($C$23&amp;"-"&amp;B31,'Tipo de Fundo e Perfil Invest.'!$A:$D,4,FALSE)</f>
        <v>0.1</v>
      </c>
      <c r="D31" s="16">
        <f t="shared" si="0"/>
        <v>150</v>
      </c>
    </row>
    <row r="32" spans="1:4" x14ac:dyDescent="0.25">
      <c r="B32" s="2" t="s">
        <v>29</v>
      </c>
      <c r="C32" s="4">
        <f>VLOOKUP($C$23&amp;"-"&amp;B32,'Tipo de Fundo e Perfil Invest.'!$A:$D,4,FALSE)</f>
        <v>0.1</v>
      </c>
      <c r="D32" s="16">
        <f t="shared" si="0"/>
        <v>150</v>
      </c>
    </row>
    <row r="33" spans="2:4" x14ac:dyDescent="0.25">
      <c r="B33" s="14"/>
      <c r="C33" s="14"/>
      <c r="D33" s="15">
        <f>SUM(D27:D32)</f>
        <v>1500</v>
      </c>
    </row>
  </sheetData>
  <mergeCells count="11">
    <mergeCell ref="B2:D2"/>
    <mergeCell ref="B3:C3"/>
    <mergeCell ref="B4:C4"/>
    <mergeCell ref="B5:C5"/>
    <mergeCell ref="B11:C11"/>
    <mergeCell ref="B14:C14"/>
    <mergeCell ref="B8:C8"/>
    <mergeCell ref="B9:C9"/>
    <mergeCell ref="B10:C10"/>
    <mergeCell ref="B12:C12"/>
    <mergeCell ref="B7:D7"/>
  </mergeCells>
  <dataValidations count="1">
    <dataValidation type="list" allowBlank="1" showInputMessage="1" showErrorMessage="1" sqref="C23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F15" sqref="F15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59" t="s">
        <v>31</v>
      </c>
      <c r="B2" s="59" t="s">
        <v>20</v>
      </c>
      <c r="C2" s="60" t="s">
        <v>21</v>
      </c>
      <c r="D2" s="60" t="s">
        <v>30</v>
      </c>
    </row>
    <row r="3" spans="1:8" x14ac:dyDescent="0.25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25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10" t="s">
        <v>32</v>
      </c>
      <c r="H4" s="23">
        <f>VLOOKUP(G4,$A:$D,4,FALSE)</f>
        <v>0.35</v>
      </c>
    </row>
    <row r="5" spans="1:8" x14ac:dyDescent="0.25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25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25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.75" thickBot="1" x14ac:dyDescent="0.3">
      <c r="A8" s="17" t="str">
        <f t="shared" si="0"/>
        <v>Conservador-HOTELARIAS</v>
      </c>
      <c r="B8" s="17" t="s">
        <v>16</v>
      </c>
      <c r="C8" s="18" t="s">
        <v>29</v>
      </c>
      <c r="D8" s="19">
        <v>0</v>
      </c>
    </row>
    <row r="9" spans="1:8" x14ac:dyDescent="0.25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25">
      <c r="A10" s="20" t="str">
        <f t="shared" si="0"/>
        <v>Moderado-TIJOLO</v>
      </c>
      <c r="B10" s="20" t="s">
        <v>17</v>
      </c>
      <c r="C10" s="21" t="s">
        <v>25</v>
      </c>
      <c r="D10" s="22">
        <v>0.35</v>
      </c>
    </row>
    <row r="11" spans="1:8" x14ac:dyDescent="0.25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25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25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.75" thickBot="1" x14ac:dyDescent="0.3">
      <c r="A14" s="17" t="str">
        <f t="shared" si="0"/>
        <v>Moderado-HOTELARIAS</v>
      </c>
      <c r="B14" s="17" t="s">
        <v>17</v>
      </c>
      <c r="C14" s="18" t="s">
        <v>29</v>
      </c>
      <c r="D14" s="19">
        <v>0.1</v>
      </c>
    </row>
    <row r="15" spans="1:8" x14ac:dyDescent="0.25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25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25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25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25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25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PL - Rendimentos</vt:lpstr>
      <vt:lpstr>Tipo de Fundo e Perfil Invest.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FRANKSNEY SANTANA GREGORIO</cp:lastModifiedBy>
  <dcterms:created xsi:type="dcterms:W3CDTF">2025-04-16T18:38:03Z</dcterms:created>
  <dcterms:modified xsi:type="dcterms:W3CDTF">2025-07-12T15:50:18Z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