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6a5da318d67819e1/Desktop/ETC/Bidding/"/>
    </mc:Choice>
  </mc:AlternateContent>
  <xr:revisionPtr revIDLastSave="0" documentId="8_{00EFDBAF-8D7E-4BB6-9F09-57D9BADBCC4F}" xr6:coauthVersionLast="47" xr6:coauthVersionMax="47" xr10:uidLastSave="{00000000-0000-0000-0000-000000000000}"/>
  <bookViews>
    <workbookView xWindow="-110" yWindow="-110" windowWidth="19420" windowHeight="10300" xr2:uid="{00000000-000D-0000-FFFF-FFFF00000000}"/>
    <workbookView xWindow="28680" yWindow="-120" windowWidth="29040" windowHeight="15720" activeTab="1" xr2:uid="{44D47CCE-75E6-415B-A9FE-A5D9A57B73EC}"/>
  </bookViews>
  <sheets>
    <sheet name="Public Side Bid Tracker" sheetId="1" r:id="rId1"/>
    <sheet name="119488" sheetId="8" r:id="rId2"/>
    <sheet name="119409" sheetId="6" r:id="rId3"/>
    <sheet name="Sign Shop Inventory" sheetId="3" state="hidden" r:id="rId4"/>
  </sheets>
  <calcPr calcId="191029" iterate="1"/>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2" i="8" l="1"/>
  <c r="O472" i="8" s="1"/>
  <c r="K472" i="8"/>
  <c r="L469" i="8"/>
  <c r="L468" i="8"/>
  <c r="K468" i="8"/>
  <c r="G140" i="8"/>
  <c r="G139" i="8"/>
  <c r="G138" i="8"/>
  <c r="G137" i="8"/>
  <c r="G136" i="8"/>
  <c r="G135" i="8"/>
  <c r="R95" i="8"/>
  <c r="O95" i="8"/>
  <c r="O94" i="8"/>
  <c r="Q94" i="8" s="1"/>
  <c r="S94" i="8" s="1"/>
  <c r="Q93" i="8"/>
  <c r="S93" i="8" s="1"/>
  <c r="O93" i="8"/>
  <c r="O92" i="8"/>
  <c r="Q92" i="8" s="1"/>
  <c r="S92" i="8" s="1"/>
  <c r="S95" i="8" s="1"/>
  <c r="W60" i="8" s="1"/>
  <c r="B88" i="8"/>
  <c r="R87" i="8"/>
  <c r="E87" i="8"/>
  <c r="E86" i="8"/>
  <c r="E85" i="8"/>
  <c r="E88" i="8" s="1"/>
  <c r="AC7" i="8" s="1"/>
  <c r="E84" i="8"/>
  <c r="O83" i="8"/>
  <c r="Q83" i="8" s="1"/>
  <c r="S83" i="8" s="1"/>
  <c r="E83" i="8"/>
  <c r="Q82" i="8"/>
  <c r="S82" i="8" s="1"/>
  <c r="O82" i="8"/>
  <c r="E82" i="8"/>
  <c r="O81" i="8"/>
  <c r="Q81" i="8" s="1"/>
  <c r="S81" i="8" s="1"/>
  <c r="O80" i="8"/>
  <c r="Q80" i="8" s="1"/>
  <c r="S80" i="8" s="1"/>
  <c r="Q79" i="8"/>
  <c r="S79" i="8" s="1"/>
  <c r="O79" i="8"/>
  <c r="O78" i="8"/>
  <c r="Q78" i="8" s="1"/>
  <c r="S78" i="8" s="1"/>
  <c r="B78" i="8"/>
  <c r="U56" i="8" s="1"/>
  <c r="O77" i="8"/>
  <c r="Q77" i="8" s="1"/>
  <c r="S77" i="8" s="1"/>
  <c r="J77" i="8"/>
  <c r="F77" i="8"/>
  <c r="H77" i="8" s="1"/>
  <c r="I77" i="8" s="1"/>
  <c r="V55" i="8" s="1"/>
  <c r="Z76" i="8"/>
  <c r="AC8" i="8" s="1"/>
  <c r="X76" i="8"/>
  <c r="O76" i="8"/>
  <c r="Q76" i="8" s="1"/>
  <c r="S76" i="8" s="1"/>
  <c r="J76" i="8"/>
  <c r="F76" i="8"/>
  <c r="H76" i="8" s="1"/>
  <c r="I76" i="8" s="1"/>
  <c r="V54" i="8" s="1"/>
  <c r="Z75" i="8"/>
  <c r="O75" i="8"/>
  <c r="Q75" i="8" s="1"/>
  <c r="S75" i="8" s="1"/>
  <c r="J75" i="8"/>
  <c r="F75" i="8"/>
  <c r="H75" i="8" s="1"/>
  <c r="I75" i="8" s="1"/>
  <c r="V53" i="8" s="1"/>
  <c r="Z74" i="8"/>
  <c r="O74" i="8"/>
  <c r="Q74" i="8" s="1"/>
  <c r="S74" i="8" s="1"/>
  <c r="J74" i="8"/>
  <c r="F74" i="8"/>
  <c r="H74" i="8" s="1"/>
  <c r="I74" i="8" s="1"/>
  <c r="Z73" i="8"/>
  <c r="O73" i="8"/>
  <c r="Q73" i="8" s="1"/>
  <c r="S73" i="8" s="1"/>
  <c r="J73" i="8"/>
  <c r="F73" i="8"/>
  <c r="H73" i="8" s="1"/>
  <c r="I73" i="8" s="1"/>
  <c r="V51" i="8" s="1"/>
  <c r="Z72" i="8"/>
  <c r="O72" i="8"/>
  <c r="Q72" i="8" s="1"/>
  <c r="S72" i="8" s="1"/>
  <c r="J72" i="8"/>
  <c r="F72" i="8"/>
  <c r="H72" i="8" s="1"/>
  <c r="I72" i="8" s="1"/>
  <c r="V50" i="8" s="1"/>
  <c r="Z71" i="8"/>
  <c r="O71" i="8"/>
  <c r="Q71" i="8" s="1"/>
  <c r="S71" i="8" s="1"/>
  <c r="J71" i="8"/>
  <c r="F71" i="8"/>
  <c r="H71" i="8" s="1"/>
  <c r="I71" i="8" s="1"/>
  <c r="V49" i="8" s="1"/>
  <c r="Z70" i="8"/>
  <c r="O70" i="8"/>
  <c r="Q70" i="8" s="1"/>
  <c r="S70" i="8" s="1"/>
  <c r="S69" i="8"/>
  <c r="Q69" i="8"/>
  <c r="Q68" i="8"/>
  <c r="S68" i="8" s="1"/>
  <c r="O67" i="8"/>
  <c r="Q67" i="8" s="1"/>
  <c r="S67" i="8" s="1"/>
  <c r="O66" i="8"/>
  <c r="Q66" i="8" s="1"/>
  <c r="S66" i="8" s="1"/>
  <c r="Q65" i="8"/>
  <c r="S65" i="8" s="1"/>
  <c r="O65" i="8"/>
  <c r="F65" i="8"/>
  <c r="E65" i="8"/>
  <c r="Q64" i="8"/>
  <c r="S64" i="8" s="1"/>
  <c r="O64" i="8"/>
  <c r="F64" i="8"/>
  <c r="E64" i="8"/>
  <c r="O63" i="8"/>
  <c r="Q63" i="8" s="1"/>
  <c r="S63" i="8" s="1"/>
  <c r="F63" i="8"/>
  <c r="E63" i="8"/>
  <c r="S62" i="8"/>
  <c r="Q62" i="8"/>
  <c r="F62" i="8"/>
  <c r="D62" i="8"/>
  <c r="E62" i="8" s="1"/>
  <c r="V46" i="8" s="1"/>
  <c r="Q61" i="8"/>
  <c r="S61" i="8" s="1"/>
  <c r="F61" i="8"/>
  <c r="E61" i="8"/>
  <c r="Z60" i="8"/>
  <c r="V60" i="8" s="1"/>
  <c r="U60" i="8"/>
  <c r="O60" i="8"/>
  <c r="Q60" i="8" s="1"/>
  <c r="S60" i="8" s="1"/>
  <c r="F60" i="8"/>
  <c r="E60" i="8"/>
  <c r="Z59" i="8"/>
  <c r="U59" i="8"/>
  <c r="O59" i="8"/>
  <c r="Q59" i="8" s="1"/>
  <c r="S59" i="8" s="1"/>
  <c r="F59" i="8"/>
  <c r="D59" i="8"/>
  <c r="E59" i="8" s="1"/>
  <c r="V43" i="8" s="1"/>
  <c r="C59" i="8"/>
  <c r="Z58" i="8"/>
  <c r="U58" i="8"/>
  <c r="O58" i="8"/>
  <c r="Q58" i="8" s="1"/>
  <c r="S58" i="8" s="1"/>
  <c r="F58" i="8"/>
  <c r="O57" i="8"/>
  <c r="Q57" i="8" s="1"/>
  <c r="S57" i="8" s="1"/>
  <c r="F57" i="8"/>
  <c r="D57" i="8"/>
  <c r="E57" i="8" s="1"/>
  <c r="V41" i="8" s="1"/>
  <c r="Q56" i="8"/>
  <c r="S56" i="8" s="1"/>
  <c r="F56" i="8"/>
  <c r="D56" i="8"/>
  <c r="E56" i="8" s="1"/>
  <c r="U55" i="8"/>
  <c r="Q55" i="8"/>
  <c r="S55" i="8" s="1"/>
  <c r="O55" i="8"/>
  <c r="F55" i="8"/>
  <c r="D55" i="8"/>
  <c r="E55" i="8" s="1"/>
  <c r="U54" i="8"/>
  <c r="O54" i="8"/>
  <c r="Q54" i="8" s="1"/>
  <c r="S54" i="8" s="1"/>
  <c r="F54" i="8"/>
  <c r="U53" i="8"/>
  <c r="Q53" i="8"/>
  <c r="S53" i="8" s="1"/>
  <c r="O53" i="8"/>
  <c r="U52" i="8"/>
  <c r="O52" i="8"/>
  <c r="Q52" i="8" s="1"/>
  <c r="S52" i="8" s="1"/>
  <c r="U51" i="8"/>
  <c r="Q51" i="8"/>
  <c r="S51" i="8" s="1"/>
  <c r="O51" i="8"/>
  <c r="U50" i="8"/>
  <c r="O50" i="8"/>
  <c r="Q50" i="8" s="1"/>
  <c r="S50" i="8" s="1"/>
  <c r="F50" i="8"/>
  <c r="U49" i="8"/>
  <c r="O49" i="8"/>
  <c r="Q49" i="8" s="1"/>
  <c r="S49" i="8" s="1"/>
  <c r="F49" i="8"/>
  <c r="AC48" i="8"/>
  <c r="AB48" i="8"/>
  <c r="O48" i="8"/>
  <c r="Q48" i="8" s="1"/>
  <c r="S48" i="8" s="1"/>
  <c r="F48" i="8"/>
  <c r="AC47" i="8"/>
  <c r="AB47" i="8"/>
  <c r="F47" i="8"/>
  <c r="AC46" i="8"/>
  <c r="AB46" i="8"/>
  <c r="Z46" i="8"/>
  <c r="U46" i="8"/>
  <c r="AC45" i="8"/>
  <c r="AB45" i="8"/>
  <c r="Z45" i="8"/>
  <c r="V45" i="8" s="1"/>
  <c r="U45" i="8"/>
  <c r="AC44" i="8"/>
  <c r="Z44" i="8"/>
  <c r="V44" i="8" s="1"/>
  <c r="U44" i="8"/>
  <c r="H44" i="8"/>
  <c r="H49" i="8" s="1"/>
  <c r="H50" i="8" s="1"/>
  <c r="D44" i="8"/>
  <c r="AC43" i="8"/>
  <c r="AB43" i="8"/>
  <c r="U43" i="8"/>
  <c r="R43" i="8"/>
  <c r="AC42" i="8"/>
  <c r="AB42" i="8"/>
  <c r="Z42" i="8"/>
  <c r="U42" i="8"/>
  <c r="D42" i="8"/>
  <c r="D45" i="8" s="1"/>
  <c r="D50" i="8" s="1"/>
  <c r="H48" i="8" s="1"/>
  <c r="AC41" i="8"/>
  <c r="AB41" i="8"/>
  <c r="Z41" i="8"/>
  <c r="U41" i="8"/>
  <c r="O41" i="8"/>
  <c r="Q41" i="8" s="1"/>
  <c r="S41" i="8" s="1"/>
  <c r="AC40" i="8"/>
  <c r="AB40" i="8"/>
  <c r="Z40" i="8"/>
  <c r="U40" i="8"/>
  <c r="O40" i="8"/>
  <c r="Q40" i="8" s="1"/>
  <c r="S40" i="8" s="1"/>
  <c r="AC39" i="8"/>
  <c r="AB39" i="8"/>
  <c r="Z39" i="8"/>
  <c r="V39" i="8"/>
  <c r="U39" i="8"/>
  <c r="O39" i="8"/>
  <c r="Q39" i="8" s="1"/>
  <c r="S39" i="8" s="1"/>
  <c r="AU38" i="8"/>
  <c r="AC38" i="8"/>
  <c r="AB38" i="8"/>
  <c r="U38" i="8"/>
  <c r="O38" i="8"/>
  <c r="Q38" i="8" s="1"/>
  <c r="S38" i="8" s="1"/>
  <c r="AU37" i="8"/>
  <c r="AC37" i="8"/>
  <c r="AB37" i="8"/>
  <c r="Q37" i="8"/>
  <c r="S37" i="8" s="1"/>
  <c r="O37" i="8"/>
  <c r="F37" i="8"/>
  <c r="B37" i="8"/>
  <c r="AU36" i="8"/>
  <c r="AC36" i="8"/>
  <c r="O36" i="8"/>
  <c r="Q36" i="8" s="1"/>
  <c r="S36" i="8" s="1"/>
  <c r="G36" i="8"/>
  <c r="AU35" i="8"/>
  <c r="AC35" i="8"/>
  <c r="O35" i="8"/>
  <c r="Q35" i="8" s="1"/>
  <c r="S35" i="8" s="1"/>
  <c r="G35" i="8"/>
  <c r="G37" i="8" s="1"/>
  <c r="AU34" i="8"/>
  <c r="S34" i="8"/>
  <c r="Q34" i="8"/>
  <c r="O34" i="8"/>
  <c r="F34" i="8"/>
  <c r="AU33" i="8"/>
  <c r="S33" i="8"/>
  <c r="O33" i="8"/>
  <c r="Q33" i="8" s="1"/>
  <c r="O32" i="8"/>
  <c r="Q32" i="8" s="1"/>
  <c r="S32" i="8" s="1"/>
  <c r="F32" i="8"/>
  <c r="B32" i="8"/>
  <c r="Q31" i="8"/>
  <c r="S31" i="8" s="1"/>
  <c r="O31" i="8"/>
  <c r="O30" i="8"/>
  <c r="Q30" i="8" s="1"/>
  <c r="S30" i="8" s="1"/>
  <c r="Q29" i="8"/>
  <c r="S29" i="8" s="1"/>
  <c r="O29" i="8"/>
  <c r="O28" i="8"/>
  <c r="Q28" i="8" s="1"/>
  <c r="S28" i="8" s="1"/>
  <c r="O27" i="8"/>
  <c r="Q27" i="8" s="1"/>
  <c r="S27" i="8" s="1"/>
  <c r="F27" i="8"/>
  <c r="D27" i="8"/>
  <c r="H36" i="8" s="1"/>
  <c r="W36" i="8" s="1"/>
  <c r="V36" i="8" s="1"/>
  <c r="X36" i="8" s="1"/>
  <c r="Y36" i="8" s="1"/>
  <c r="B27" i="8"/>
  <c r="S26" i="8"/>
  <c r="Q26" i="8"/>
  <c r="D26" i="8"/>
  <c r="S25" i="8"/>
  <c r="Q25" i="8"/>
  <c r="D25" i="8"/>
  <c r="AK24" i="8"/>
  <c r="O24" i="8"/>
  <c r="Q24" i="8" s="1"/>
  <c r="S24" i="8" s="1"/>
  <c r="S23" i="8"/>
  <c r="Q23" i="8"/>
  <c r="O23" i="8"/>
  <c r="O22" i="8"/>
  <c r="Q22" i="8" s="1"/>
  <c r="S22" i="8" s="1"/>
  <c r="O21" i="8"/>
  <c r="Q21" i="8" s="1"/>
  <c r="S21" i="8" s="1"/>
  <c r="O20" i="8"/>
  <c r="Q20" i="8" s="1"/>
  <c r="S20" i="8" s="1"/>
  <c r="D20" i="8"/>
  <c r="S19" i="8"/>
  <c r="Q19" i="8"/>
  <c r="Q18" i="8"/>
  <c r="S18" i="8" s="1"/>
  <c r="Q17" i="8"/>
  <c r="S17" i="8" s="1"/>
  <c r="O17" i="8"/>
  <c r="O16" i="8"/>
  <c r="Q16" i="8" s="1"/>
  <c r="S16" i="8" s="1"/>
  <c r="O15" i="8"/>
  <c r="Q15" i="8" s="1"/>
  <c r="S15" i="8" s="1"/>
  <c r="H15" i="8"/>
  <c r="D15" i="8"/>
  <c r="AL14" i="8"/>
  <c r="O14" i="8"/>
  <c r="Q14" i="8" s="1"/>
  <c r="S14" i="8" s="1"/>
  <c r="Q13" i="8"/>
  <c r="S13" i="8" s="1"/>
  <c r="AL12" i="8"/>
  <c r="O12" i="8"/>
  <c r="Q12" i="8" s="1"/>
  <c r="S12" i="8" s="1"/>
  <c r="O11" i="8"/>
  <c r="Q11" i="8" s="1"/>
  <c r="S11" i="8" s="1"/>
  <c r="S10" i="8"/>
  <c r="Q10" i="8"/>
  <c r="O10" i="8"/>
  <c r="O9" i="8"/>
  <c r="Q9" i="8" s="1"/>
  <c r="S9" i="8" s="1"/>
  <c r="B9" i="8"/>
  <c r="O8" i="8"/>
  <c r="Q8" i="8" s="1"/>
  <c r="S8" i="8" s="1"/>
  <c r="D8" i="8"/>
  <c r="O7" i="8"/>
  <c r="Q7" i="8" s="1"/>
  <c r="S7" i="8" s="1"/>
  <c r="D7" i="8"/>
  <c r="BZ6" i="8"/>
  <c r="BZ7" i="8" s="1"/>
  <c r="BZ8" i="8" s="1"/>
  <c r="O6" i="8"/>
  <c r="Q6" i="8" s="1"/>
  <c r="S6" i="8" s="1"/>
  <c r="BZ5" i="8"/>
  <c r="O5" i="8"/>
  <c r="H5" i="8"/>
  <c r="D5" i="8" a="1"/>
  <c r="D5" i="8" s="1"/>
  <c r="AL16" i="8" s="1"/>
  <c r="BY4" i="8"/>
  <c r="BX5" i="8" s="1"/>
  <c r="BY5" i="8" s="1"/>
  <c r="BX6" i="8" s="1"/>
  <c r="BY6" i="8" s="1"/>
  <c r="BX7" i="8" s="1"/>
  <c r="BY7" i="8" s="1"/>
  <c r="BX8" i="8" s="1"/>
  <c r="BY8" i="8" s="1"/>
  <c r="D5" i="6" a="1"/>
  <c r="D5" i="6" s="1"/>
  <c r="X60" i="8" l="1"/>
  <c r="Y60" i="8" s="1"/>
  <c r="I78" i="8"/>
  <c r="V52" i="8"/>
  <c r="O477" i="8"/>
  <c r="S87" i="8"/>
  <c r="H31" i="8"/>
  <c r="H32" i="8" s="1"/>
  <c r="D31" i="8"/>
  <c r="D32" i="8" s="1"/>
  <c r="D17" i="8"/>
  <c r="H26" i="8" s="1"/>
  <c r="H27" i="8" s="1"/>
  <c r="O473" i="8"/>
  <c r="P472" i="8" s="1"/>
  <c r="P473" i="8" s="1"/>
  <c r="L473" i="8"/>
  <c r="W37" i="8"/>
  <c r="V37" i="8"/>
  <c r="O87" i="8"/>
  <c r="AR12" i="8"/>
  <c r="H6" i="8"/>
  <c r="D36" i="8"/>
  <c r="D37" i="8" s="1"/>
  <c r="V40" i="8"/>
  <c r="O43" i="8"/>
  <c r="AC11" i="8" s="1"/>
  <c r="D58" i="8"/>
  <c r="G141" i="8"/>
  <c r="D54" i="8" s="1"/>
  <c r="Q5" i="8"/>
  <c r="S5" i="8" s="1"/>
  <c r="S43" i="8" s="1"/>
  <c r="W58" i="8" s="1"/>
  <c r="W61" i="8" l="1"/>
  <c r="E54" i="8"/>
  <c r="W59" i="8"/>
  <c r="V59" i="8"/>
  <c r="X59" i="8" s="1"/>
  <c r="Y59" i="8" s="1"/>
  <c r="E58" i="8"/>
  <c r="V42" i="8" s="1"/>
  <c r="L476" i="8"/>
  <c r="L477" i="8" s="1"/>
  <c r="L474" i="8"/>
  <c r="V58" i="8"/>
  <c r="AR14" i="8"/>
  <c r="H7" i="8"/>
  <c r="W42" i="8" s="1"/>
  <c r="H35" i="8"/>
  <c r="V56" i="8"/>
  <c r="X37" i="8"/>
  <c r="Y37" i="8" s="1"/>
  <c r="W38" i="8" l="1"/>
  <c r="X42" i="8"/>
  <c r="Y42" i="8" s="1"/>
  <c r="X58" i="8"/>
  <c r="V61" i="8"/>
  <c r="Z61" i="8" s="1"/>
  <c r="H37" i="8"/>
  <c r="W35" i="8"/>
  <c r="W53" i="8"/>
  <c r="X53" i="8" s="1"/>
  <c r="Y53" i="8" s="1"/>
  <c r="W50" i="8"/>
  <c r="X50" i="8" s="1"/>
  <c r="Y50" i="8" s="1"/>
  <c r="W55" i="8"/>
  <c r="X55" i="8" s="1"/>
  <c r="Y55" i="8" s="1"/>
  <c r="W45" i="8"/>
  <c r="X45" i="8" s="1"/>
  <c r="Y45" i="8" s="1"/>
  <c r="W40" i="8"/>
  <c r="X40" i="8" s="1"/>
  <c r="Y40" i="8" s="1"/>
  <c r="W39" i="8"/>
  <c r="X39" i="8" s="1"/>
  <c r="Y39" i="8" s="1"/>
  <c r="AR16" i="8"/>
  <c r="W43" i="8"/>
  <c r="X43" i="8" s="1"/>
  <c r="Y43" i="8" s="1"/>
  <c r="W51" i="8"/>
  <c r="X51" i="8" s="1"/>
  <c r="Y51" i="8" s="1"/>
  <c r="W41" i="8"/>
  <c r="X41" i="8" s="1"/>
  <c r="Y41" i="8" s="1"/>
  <c r="W46" i="8"/>
  <c r="X46" i="8" s="1"/>
  <c r="Y46" i="8" s="1"/>
  <c r="W54" i="8"/>
  <c r="X54" i="8" s="1"/>
  <c r="Y54" i="8" s="1"/>
  <c r="W44" i="8"/>
  <c r="X44" i="8" s="1"/>
  <c r="Y44" i="8" s="1"/>
  <c r="W49" i="8"/>
  <c r="W52" i="8"/>
  <c r="X52" i="8" s="1"/>
  <c r="Y52" i="8" s="1"/>
  <c r="E66" i="8"/>
  <c r="V38" i="8"/>
  <c r="Z63" i="8" l="1"/>
  <c r="AC10" i="8" s="1"/>
  <c r="X38" i="8"/>
  <c r="Y38" i="8" s="1"/>
  <c r="Y58" i="8"/>
  <c r="X61" i="8"/>
  <c r="Y61" i="8" s="1"/>
  <c r="Z47" i="8"/>
  <c r="W47" i="8"/>
  <c r="V35" i="8"/>
  <c r="W56" i="8"/>
  <c r="X49" i="8"/>
  <c r="Y49" i="8" l="1"/>
  <c r="X56" i="8"/>
  <c r="Y56" i="8" s="1"/>
  <c r="V47" i="8"/>
  <c r="V63" i="8" s="1"/>
  <c r="AC6" i="8" s="1"/>
  <c r="X35" i="8"/>
  <c r="W63" i="8"/>
  <c r="Y35" i="8" l="1"/>
  <c r="X47" i="8"/>
  <c r="Y47" i="8" l="1"/>
  <c r="X63" i="8"/>
  <c r="Y63" i="8" s="1"/>
  <c r="Z6" i="1" l="1"/>
  <c r="Y6" i="1"/>
  <c r="X6" i="1"/>
  <c r="AC44" i="6"/>
  <c r="W6" i="1"/>
  <c r="AC11" i="6"/>
  <c r="V6" i="1"/>
  <c r="U6" i="1"/>
  <c r="O6" i="1"/>
  <c r="L6" i="1"/>
  <c r="K6" i="1"/>
  <c r="J6" i="1"/>
  <c r="V56" i="6"/>
  <c r="V53" i="6"/>
  <c r="V54" i="6"/>
  <c r="V55" i="6"/>
  <c r="U53" i="6"/>
  <c r="U54" i="6"/>
  <c r="U55" i="6"/>
  <c r="V52" i="6"/>
  <c r="V51" i="6"/>
  <c r="V50" i="6"/>
  <c r="Z44" i="6"/>
  <c r="AC36" i="6"/>
  <c r="AC35" i="6"/>
  <c r="AC46" i="6"/>
  <c r="AC47" i="6"/>
  <c r="AC48" i="6"/>
  <c r="AC45" i="6"/>
  <c r="AB47" i="6"/>
  <c r="AB48" i="6"/>
  <c r="AB46" i="6"/>
  <c r="AB45" i="6"/>
  <c r="Z40" i="6"/>
  <c r="Z41" i="6"/>
  <c r="Z42" i="6"/>
  <c r="Z45" i="6"/>
  <c r="Z46" i="6"/>
  <c r="Z39" i="6"/>
  <c r="V35" i="6"/>
  <c r="E83" i="6"/>
  <c r="E84" i="6"/>
  <c r="E85" i="6"/>
  <c r="E86" i="6"/>
  <c r="E87" i="6"/>
  <c r="E82" i="6"/>
  <c r="E88" i="6" s="1"/>
  <c r="F77" i="6"/>
  <c r="H77" i="6" s="1"/>
  <c r="I77" i="6" s="1"/>
  <c r="J77" i="6"/>
  <c r="F75" i="6"/>
  <c r="H75" i="6" s="1"/>
  <c r="I75" i="6" s="1"/>
  <c r="J75" i="6"/>
  <c r="F76" i="6"/>
  <c r="H76" i="6" s="1"/>
  <c r="I76" i="6" s="1"/>
  <c r="J76" i="6"/>
  <c r="F63" i="6"/>
  <c r="F64" i="6"/>
  <c r="F65" i="6"/>
  <c r="E63" i="6"/>
  <c r="E64" i="6"/>
  <c r="E65" i="6"/>
  <c r="G139" i="6"/>
  <c r="G140" i="6"/>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 i="1"/>
  <c r="X76" i="6"/>
  <c r="Z74" i="6"/>
  <c r="Z75" i="6"/>
  <c r="AC43" i="6"/>
  <c r="AC42" i="6"/>
  <c r="AB43" i="6"/>
  <c r="AB42" i="6"/>
  <c r="AB40" i="6"/>
  <c r="AC40" i="6"/>
  <c r="AB41" i="6"/>
  <c r="AC41" i="6"/>
  <c r="AB37" i="6"/>
  <c r="AC37" i="6"/>
  <c r="AB38" i="6"/>
  <c r="AB39" i="6"/>
  <c r="AC39" i="6"/>
  <c r="Z71" i="6"/>
  <c r="Z72" i="6"/>
  <c r="Z73" i="6"/>
  <c r="Z70" i="6"/>
  <c r="F62" i="6"/>
  <c r="F61" i="6"/>
  <c r="F58" i="6"/>
  <c r="F56" i="6"/>
  <c r="F57" i="6"/>
  <c r="F55" i="6"/>
  <c r="F54" i="6"/>
  <c r="Z58" i="6"/>
  <c r="H5" i="6"/>
  <c r="Z60" i="6"/>
  <c r="V60" i="6" s="1"/>
  <c r="Z59" i="6"/>
  <c r="U60" i="6"/>
  <c r="U59" i="6"/>
  <c r="U58" i="6"/>
  <c r="O41" i="6"/>
  <c r="Q41" i="6" s="1"/>
  <c r="S41" i="6" s="1"/>
  <c r="J74" i="6"/>
  <c r="J73" i="6"/>
  <c r="J72" i="6"/>
  <c r="J71" i="6"/>
  <c r="U50" i="6"/>
  <c r="U51" i="6"/>
  <c r="U52" i="6"/>
  <c r="U49" i="6"/>
  <c r="F60" i="6"/>
  <c r="F59" i="6"/>
  <c r="R43" i="6"/>
  <c r="U46" i="6"/>
  <c r="U45" i="6"/>
  <c r="U42" i="6"/>
  <c r="U43" i="6"/>
  <c r="U44" i="6"/>
  <c r="U39" i="6"/>
  <c r="U40" i="6"/>
  <c r="U41" i="6"/>
  <c r="U38" i="6"/>
  <c r="AK24" i="6"/>
  <c r="AL14" i="6"/>
  <c r="B9" i="6"/>
  <c r="AL16" i="6"/>
  <c r="AL12" i="6"/>
  <c r="AU38" i="6"/>
  <c r="AU37" i="6"/>
  <c r="AU36" i="6"/>
  <c r="AU35" i="6"/>
  <c r="AU34" i="6"/>
  <c r="AU33" i="6"/>
  <c r="O93" i="6"/>
  <c r="Q93" i="6" s="1"/>
  <c r="S93" i="6" s="1"/>
  <c r="O94" i="6"/>
  <c r="Q94" i="6" s="1"/>
  <c r="S94" i="6" s="1"/>
  <c r="O92" i="6"/>
  <c r="Q92" i="6" s="1"/>
  <c r="S92" i="6" s="1"/>
  <c r="R95" i="6"/>
  <c r="R87" i="6"/>
  <c r="O83" i="6"/>
  <c r="O82" i="6"/>
  <c r="O81" i="6"/>
  <c r="O80" i="6"/>
  <c r="O79" i="6"/>
  <c r="O78" i="6"/>
  <c r="O77" i="6"/>
  <c r="O76" i="6"/>
  <c r="O75" i="6"/>
  <c r="O74" i="6"/>
  <c r="O73" i="6"/>
  <c r="O72" i="6"/>
  <c r="O71" i="6"/>
  <c r="O70" i="6"/>
  <c r="Q69" i="6"/>
  <c r="S69" i="6" s="1"/>
  <c r="Q68" i="6"/>
  <c r="S68" i="6" s="1"/>
  <c r="O67" i="6"/>
  <c r="O66" i="6"/>
  <c r="O65" i="6"/>
  <c r="O64" i="6"/>
  <c r="O63" i="6"/>
  <c r="Q62" i="6"/>
  <c r="S62" i="6" s="1"/>
  <c r="Q61" i="6"/>
  <c r="S61" i="6" s="1"/>
  <c r="O60" i="6"/>
  <c r="O59" i="6"/>
  <c r="O58" i="6"/>
  <c r="O57" i="6"/>
  <c r="Q56" i="6"/>
  <c r="S56" i="6" s="1"/>
  <c r="O55" i="6"/>
  <c r="O54" i="6"/>
  <c r="O53" i="6"/>
  <c r="O52" i="6"/>
  <c r="O51" i="6"/>
  <c r="O50" i="6"/>
  <c r="O49" i="6"/>
  <c r="O48" i="6"/>
  <c r="O6" i="6"/>
  <c r="O7" i="6"/>
  <c r="O8" i="6"/>
  <c r="O9" i="6"/>
  <c r="O10" i="6"/>
  <c r="O11" i="6"/>
  <c r="O12" i="6"/>
  <c r="O14" i="6"/>
  <c r="O15" i="6"/>
  <c r="O16" i="6"/>
  <c r="O17" i="6"/>
  <c r="O20" i="6"/>
  <c r="O21" i="6"/>
  <c r="O22" i="6"/>
  <c r="O23" i="6"/>
  <c r="O24" i="6"/>
  <c r="O27" i="6"/>
  <c r="Q27" i="6" s="1"/>
  <c r="S27" i="6" s="1"/>
  <c r="O28" i="6"/>
  <c r="O29" i="6"/>
  <c r="O30" i="6"/>
  <c r="O31" i="6"/>
  <c r="O32" i="6"/>
  <c r="O33" i="6"/>
  <c r="O34" i="6"/>
  <c r="O35" i="6"/>
  <c r="O36" i="6"/>
  <c r="O37" i="6"/>
  <c r="O38" i="6"/>
  <c r="O39" i="6"/>
  <c r="O40" i="6"/>
  <c r="O5" i="6"/>
  <c r="F34" i="6"/>
  <c r="F37" i="6" s="1"/>
  <c r="D57" i="6"/>
  <c r="E57" i="6" s="1"/>
  <c r="D56" i="6"/>
  <c r="E56" i="6" s="1"/>
  <c r="D55" i="6"/>
  <c r="E55" i="6" s="1"/>
  <c r="C59" i="6"/>
  <c r="AC38" i="6" s="1"/>
  <c r="B88" i="6"/>
  <c r="B78" i="6"/>
  <c r="U56" i="6" s="1"/>
  <c r="F74" i="6"/>
  <c r="H74" i="6" s="1"/>
  <c r="I74" i="6" s="1"/>
  <c r="F73" i="6"/>
  <c r="F71" i="6"/>
  <c r="H71" i="6" s="1"/>
  <c r="I71" i="6" s="1"/>
  <c r="V49" i="6" s="1"/>
  <c r="F72" i="6"/>
  <c r="H72" i="6" s="1"/>
  <c r="I72" i="6" s="1"/>
  <c r="BZ5" i="6"/>
  <c r="BZ6" i="6" s="1"/>
  <c r="BZ7" i="6" s="1"/>
  <c r="BZ8" i="6" s="1"/>
  <c r="BY4" i="6"/>
  <c r="BX5" i="6" s="1"/>
  <c r="BY5" i="6" s="1"/>
  <c r="BX6" i="6" s="1"/>
  <c r="BY6" i="6" s="1"/>
  <c r="BX7" i="6" s="1"/>
  <c r="BY7" i="6" s="1"/>
  <c r="BX8" i="6" s="1"/>
  <c r="BY8" i="6" s="1"/>
  <c r="L472" i="6"/>
  <c r="O472" i="6" s="1"/>
  <c r="O477" i="6" s="1"/>
  <c r="F49" i="6"/>
  <c r="F48" i="6"/>
  <c r="F47" i="6"/>
  <c r="F50" i="6" s="1"/>
  <c r="D42" i="6"/>
  <c r="D20" i="6"/>
  <c r="D15" i="6"/>
  <c r="D17" i="6" s="1"/>
  <c r="D44" i="6"/>
  <c r="G35" i="6"/>
  <c r="F32" i="6"/>
  <c r="B27" i="6"/>
  <c r="F27" i="6"/>
  <c r="H15" i="6"/>
  <c r="D26" i="6"/>
  <c r="D25" i="6"/>
  <c r="G36" i="6" s="1"/>
  <c r="G138" i="6"/>
  <c r="G137" i="6"/>
  <c r="G136" i="6"/>
  <c r="G135" i="6"/>
  <c r="G141" i="6" s="1"/>
  <c r="D62" i="6"/>
  <c r="E62" i="6" s="1"/>
  <c r="E61" i="6"/>
  <c r="E60" i="6"/>
  <c r="D59" i="6"/>
  <c r="B37" i="6"/>
  <c r="B32" i="6"/>
  <c r="Q13" i="6"/>
  <c r="S13" i="6" s="1"/>
  <c r="Q19" i="6"/>
  <c r="S19" i="6" s="1"/>
  <c r="Q18" i="6"/>
  <c r="S18" i="6" s="1"/>
  <c r="Q26" i="6"/>
  <c r="S26" i="6" s="1"/>
  <c r="Q25" i="6"/>
  <c r="S25" i="6" s="1"/>
  <c r="D8" i="6"/>
  <c r="D7" i="6"/>
  <c r="G5" i="3"/>
  <c r="H3" i="3"/>
  <c r="I3" i="3" s="1"/>
  <c r="J3" i="3" s="1"/>
  <c r="K3" i="3" s="1"/>
  <c r="L3" i="3" s="1"/>
  <c r="M3" i="3" s="1"/>
  <c r="N3" i="3" s="1"/>
  <c r="O3" i="3" s="1"/>
  <c r="P3" i="3" s="1"/>
  <c r="Q3" i="3" s="1"/>
  <c r="R3" i="3" s="1"/>
  <c r="S3" i="3" s="1"/>
  <c r="T3" i="3" s="1"/>
  <c r="U3" i="3" s="1"/>
  <c r="V3" i="3" s="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E21" i="1"/>
  <c r="M20" i="1"/>
  <c r="E20" i="1"/>
  <c r="M19" i="1"/>
  <c r="E19" i="1"/>
  <c r="M18" i="1"/>
  <c r="E18" i="1"/>
  <c r="M17" i="1"/>
  <c r="E17" i="1"/>
  <c r="M16" i="1"/>
  <c r="E16" i="1"/>
  <c r="M15" i="1"/>
  <c r="E15" i="1"/>
  <c r="M14" i="1"/>
  <c r="E14" i="1"/>
  <c r="M13" i="1"/>
  <c r="E13" i="1"/>
  <c r="M12" i="1"/>
  <c r="E12" i="1"/>
  <c r="M11" i="1"/>
  <c r="E11" i="1"/>
  <c r="M10" i="1"/>
  <c r="E10" i="1"/>
  <c r="M9" i="1"/>
  <c r="E9" i="1"/>
  <c r="M8" i="1"/>
  <c r="E8" i="1"/>
  <c r="M7" i="1"/>
  <c r="E7" i="1"/>
  <c r="E6" i="1"/>
  <c r="M5" i="1"/>
  <c r="E5" i="1"/>
  <c r="Z76" i="6" l="1"/>
  <c r="AC7" i="6"/>
  <c r="AC8" i="6"/>
  <c r="H6" i="6"/>
  <c r="AR14" i="6" s="1"/>
  <c r="AR12" i="6"/>
  <c r="V40" i="6"/>
  <c r="V39" i="6"/>
  <c r="Q17" i="6"/>
  <c r="S17" i="6" s="1"/>
  <c r="Q32" i="6"/>
  <c r="S32" i="6" s="1"/>
  <c r="Q30" i="6"/>
  <c r="S30" i="6" s="1"/>
  <c r="Q16" i="6"/>
  <c r="S16" i="6" s="1"/>
  <c r="Q14" i="6"/>
  <c r="S14" i="6" s="1"/>
  <c r="Q15" i="6"/>
  <c r="S15" i="6" s="1"/>
  <c r="Q20" i="6"/>
  <c r="S20" i="6" s="1"/>
  <c r="Q35" i="6"/>
  <c r="S35" i="6" s="1"/>
  <c r="Q8" i="6"/>
  <c r="S8" i="6" s="1"/>
  <c r="Q29" i="6"/>
  <c r="S29" i="6" s="1"/>
  <c r="Q31" i="6"/>
  <c r="S31" i="6" s="1"/>
  <c r="Q12" i="6"/>
  <c r="S12" i="6" s="1"/>
  <c r="Q75" i="6"/>
  <c r="S75" i="6" s="1"/>
  <c r="Q81" i="6"/>
  <c r="S81" i="6" s="1"/>
  <c r="Q34" i="6"/>
  <c r="S34" i="6" s="1"/>
  <c r="Q33" i="6"/>
  <c r="S33" i="6" s="1"/>
  <c r="Q72" i="6"/>
  <c r="S72" i="6" s="1"/>
  <c r="Q78" i="6"/>
  <c r="S78" i="6" s="1"/>
  <c r="Q6" i="6"/>
  <c r="S6" i="6" s="1"/>
  <c r="Q5" i="6"/>
  <c r="S5" i="6" s="1"/>
  <c r="Q38" i="6"/>
  <c r="S38" i="6" s="1"/>
  <c r="Q28" i="6"/>
  <c r="S28" i="6" s="1"/>
  <c r="Q24" i="6"/>
  <c r="S24" i="6" s="1"/>
  <c r="Q37" i="6"/>
  <c r="S37" i="6" s="1"/>
  <c r="Q40" i="6"/>
  <c r="S40" i="6" s="1"/>
  <c r="Q23" i="6"/>
  <c r="S23" i="6" s="1"/>
  <c r="O43" i="6"/>
  <c r="Q21" i="6"/>
  <c r="S21" i="6" s="1"/>
  <c r="Q59" i="6"/>
  <c r="S59" i="6" s="1"/>
  <c r="Q11" i="6"/>
  <c r="S11" i="6" s="1"/>
  <c r="O87" i="6"/>
  <c r="Q22" i="6"/>
  <c r="S22" i="6" s="1"/>
  <c r="Q9" i="6"/>
  <c r="S9" i="6" s="1"/>
  <c r="Q39" i="6"/>
  <c r="S39" i="6" s="1"/>
  <c r="Q10" i="6"/>
  <c r="S10" i="6" s="1"/>
  <c r="Q36" i="6"/>
  <c r="S36" i="6" s="1"/>
  <c r="Q7" i="6"/>
  <c r="S7" i="6" s="1"/>
  <c r="Q65" i="6"/>
  <c r="S65" i="6" s="1"/>
  <c r="Q53" i="6"/>
  <c r="S53" i="6" s="1"/>
  <c r="O95" i="6"/>
  <c r="S95" i="6"/>
  <c r="W60" i="6" s="1"/>
  <c r="X60" i="6" s="1"/>
  <c r="Y60" i="6" s="1"/>
  <c r="Q50" i="6"/>
  <c r="S50" i="6" s="1"/>
  <c r="Q74" i="6"/>
  <c r="S74" i="6" s="1"/>
  <c r="Q79" i="6"/>
  <c r="S79" i="6" s="1"/>
  <c r="Q51" i="6"/>
  <c r="S51" i="6" s="1"/>
  <c r="Q57" i="6"/>
  <c r="S57" i="6" s="1"/>
  <c r="Q63" i="6"/>
  <c r="S63" i="6" s="1"/>
  <c r="Q80" i="6"/>
  <c r="S80" i="6" s="1"/>
  <c r="Q70" i="6"/>
  <c r="S70" i="6" s="1"/>
  <c r="Q52" i="6"/>
  <c r="S52" i="6" s="1"/>
  <c r="Q58" i="6"/>
  <c r="S58" i="6" s="1"/>
  <c r="Q64" i="6"/>
  <c r="S64" i="6" s="1"/>
  <c r="Q71" i="6"/>
  <c r="S71" i="6" s="1"/>
  <c r="Q76" i="6"/>
  <c r="S76" i="6" s="1"/>
  <c r="Q77" i="6"/>
  <c r="S77" i="6" s="1"/>
  <c r="Q82" i="6"/>
  <c r="S82" i="6" s="1"/>
  <c r="Q48" i="6"/>
  <c r="S48" i="6" s="1"/>
  <c r="Q54" i="6"/>
  <c r="S54" i="6" s="1"/>
  <c r="Q66" i="6"/>
  <c r="S66" i="6" s="1"/>
  <c r="Q60" i="6"/>
  <c r="S60" i="6" s="1"/>
  <c r="Q83" i="6"/>
  <c r="S83" i="6" s="1"/>
  <c r="Q49" i="6"/>
  <c r="S49" i="6" s="1"/>
  <c r="Q55" i="6"/>
  <c r="S55" i="6" s="1"/>
  <c r="Q67" i="6"/>
  <c r="S67" i="6" s="1"/>
  <c r="Q73" i="6"/>
  <c r="S73" i="6" s="1"/>
  <c r="D31" i="6"/>
  <c r="D32" i="6" s="1"/>
  <c r="H31" i="6"/>
  <c r="H32" i="6" s="1"/>
  <c r="D36" i="6"/>
  <c r="D37" i="6" s="1"/>
  <c r="H73" i="6"/>
  <c r="I73" i="6" s="1"/>
  <c r="E59" i="6"/>
  <c r="D45" i="6"/>
  <c r="D50" i="6" s="1"/>
  <c r="H26" i="6"/>
  <c r="H27" i="6" s="1"/>
  <c r="H44" i="6"/>
  <c r="G37" i="6"/>
  <c r="D27" i="6"/>
  <c r="H36" i="6" s="1"/>
  <c r="W36" i="6" s="1"/>
  <c r="D54" i="6"/>
  <c r="E54" i="6" s="1"/>
  <c r="V38" i="6" s="1"/>
  <c r="D58" i="6"/>
  <c r="E58" i="6" s="1"/>
  <c r="H7" i="6" l="1"/>
  <c r="V41" i="6"/>
  <c r="I78" i="6"/>
  <c r="S43" i="6"/>
  <c r="S87" i="6"/>
  <c r="E66" i="6"/>
  <c r="K468" i="6"/>
  <c r="L468" i="6"/>
  <c r="H49" i="6"/>
  <c r="H48" i="6"/>
  <c r="W37" i="6" s="1"/>
  <c r="H35" i="6"/>
  <c r="W35" i="6" s="1"/>
  <c r="W52" i="6" l="1"/>
  <c r="X52" i="6" s="1"/>
  <c r="Y52" i="6" s="1"/>
  <c r="W53" i="6"/>
  <c r="X53" i="6" s="1"/>
  <c r="Y53" i="6" s="1"/>
  <c r="W54" i="6"/>
  <c r="X54" i="6" s="1"/>
  <c r="Y54" i="6" s="1"/>
  <c r="W55" i="6"/>
  <c r="X55" i="6" s="1"/>
  <c r="Y55" i="6" s="1"/>
  <c r="W50" i="6"/>
  <c r="X50" i="6" s="1"/>
  <c r="Y50" i="6" s="1"/>
  <c r="W51" i="6"/>
  <c r="X51" i="6" s="1"/>
  <c r="W44" i="6"/>
  <c r="W38" i="6"/>
  <c r="X38" i="6" s="1"/>
  <c r="Y38" i="6" s="1"/>
  <c r="W39" i="6"/>
  <c r="X39" i="6" s="1"/>
  <c r="Y39" i="6" s="1"/>
  <c r="W40" i="6"/>
  <c r="X40" i="6" s="1"/>
  <c r="Y40" i="6" s="1"/>
  <c r="W41" i="6"/>
  <c r="X41" i="6" s="1"/>
  <c r="Y41" i="6" s="1"/>
  <c r="W42" i="6"/>
  <c r="W43" i="6"/>
  <c r="W45" i="6"/>
  <c r="W46" i="6"/>
  <c r="W58" i="6"/>
  <c r="V58" i="6"/>
  <c r="W59" i="6"/>
  <c r="V59" i="6"/>
  <c r="W49" i="6"/>
  <c r="V36" i="6"/>
  <c r="X36" i="6" s="1"/>
  <c r="Y36" i="6" s="1"/>
  <c r="AR16" i="6"/>
  <c r="V42" i="6"/>
  <c r="V37" i="6"/>
  <c r="H50" i="6"/>
  <c r="K472" i="6"/>
  <c r="L469" i="6"/>
  <c r="H37" i="6"/>
  <c r="X49" i="6" l="1"/>
  <c r="W56" i="6"/>
  <c r="X59" i="6"/>
  <c r="Y59" i="6" s="1"/>
  <c r="X58" i="6"/>
  <c r="V61" i="6"/>
  <c r="Z61" i="6" s="1"/>
  <c r="W61" i="6"/>
  <c r="X42" i="6"/>
  <c r="Y42" i="6" s="1"/>
  <c r="V43" i="6"/>
  <c r="Y51" i="6"/>
  <c r="X37" i="6"/>
  <c r="Y37" i="6" s="1"/>
  <c r="W47" i="6"/>
  <c r="X35" i="6"/>
  <c r="L473" i="6"/>
  <c r="O473" i="6"/>
  <c r="P472" i="6" s="1"/>
  <c r="P473" i="6" s="1"/>
  <c r="Y49" i="6" l="1"/>
  <c r="X56" i="6"/>
  <c r="Y56" i="6" s="1"/>
  <c r="Y58" i="6"/>
  <c r="X61" i="6"/>
  <c r="Y61" i="6" s="1"/>
  <c r="W63" i="6"/>
  <c r="V44" i="6"/>
  <c r="X43" i="6"/>
  <c r="Y43" i="6" s="1"/>
  <c r="Y35" i="6"/>
  <c r="L476" i="6"/>
  <c r="L477" i="6" s="1"/>
  <c r="L474" i="6"/>
  <c r="X44" i="6" l="1"/>
  <c r="Y44" i="6" s="1"/>
  <c r="V45" i="6"/>
  <c r="X45" i="6" l="1"/>
  <c r="Y45" i="6" s="1"/>
  <c r="V46" i="6"/>
  <c r="Z47" i="6" l="1"/>
  <c r="Z63" i="6"/>
  <c r="AC10" i="6" s="1"/>
  <c r="P6" i="1" s="1"/>
  <c r="X46" i="6"/>
  <c r="Y46" i="6" s="1"/>
  <c r="V47" i="6"/>
  <c r="V63" i="6" s="1"/>
  <c r="X47" i="6" l="1"/>
  <c r="Y47" i="6" s="1"/>
  <c r="AC6" i="6"/>
  <c r="I6" i="1" s="1"/>
  <c r="X63" i="6" l="1"/>
  <c r="Y63" i="6" s="1"/>
  <c r="N6" i="1" l="1"/>
  <c r="M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Napoleon Dunn</author>
  </authors>
  <commentList>
    <comment ref="F14" authorId="0" shapeId="0" xr:uid="{3B88B083-16C4-41EF-B373-86B5F71B1B25}">
      <text>
        <r>
          <rPr>
            <b/>
            <sz val="9"/>
            <color indexed="81"/>
            <rFont val="Tahoma"/>
            <family val="2"/>
          </rPr>
          <t>Napoleon Dunn:</t>
        </r>
        <r>
          <rPr>
            <sz val="9"/>
            <color indexed="81"/>
            <rFont val="Tahoma"/>
            <family val="2"/>
          </rPr>
          <t xml:space="preserve">
Represents # of trucks being used on the job</t>
        </r>
      </text>
    </comment>
    <comment ref="F15" authorId="0" shapeId="0" xr:uid="{C6B579C3-7F98-41EE-8E51-864176FAC05F}">
      <text>
        <r>
          <rPr>
            <b/>
            <sz val="9"/>
            <color indexed="81"/>
            <rFont val="Tahoma"/>
            <family val="2"/>
          </rPr>
          <t>Napoleon Dunn:</t>
        </r>
        <r>
          <rPr>
            <sz val="9"/>
            <color indexed="81"/>
            <rFont val="Tahoma"/>
            <family val="2"/>
          </rPr>
          <t xml:space="preserve">
Napoleon Dunn:
Represents total personnel on the job</t>
        </r>
      </text>
    </comment>
    <comment ref="F16" authorId="0" shapeId="0" xr:uid="{317EC87A-522C-4EA3-AF01-A717841417F5}">
      <text>
        <r>
          <rPr>
            <b/>
            <sz val="9"/>
            <color indexed="81"/>
            <rFont val="Tahoma"/>
            <family val="2"/>
          </rPr>
          <t>Napoleon Dunn:</t>
        </r>
        <r>
          <rPr>
            <sz val="9"/>
            <color indexed="81"/>
            <rFont val="Tahoma"/>
            <family val="2"/>
          </rPr>
          <t xml:space="preserve">
Should be taken directly from Google Maps</t>
        </r>
      </text>
    </comment>
    <comment ref="F17" authorId="0" shapeId="0" xr:uid="{4D23D763-CB53-4807-A5CE-C48DE7870485}">
      <text>
        <r>
          <rPr>
            <b/>
            <sz val="9"/>
            <color indexed="81"/>
            <rFont val="Tahoma"/>
            <family val="2"/>
          </rPr>
          <t>Napoleon Dunn:</t>
        </r>
        <r>
          <rPr>
            <sz val="9"/>
            <color indexed="81"/>
            <rFont val="Tahoma"/>
            <family val="2"/>
          </rPr>
          <t xml:space="preserve">
This should reflect the number of round trips taken by crew (i.e. there and back)
</t>
        </r>
      </text>
    </comment>
    <comment ref="B25" authorId="0" shapeId="0" xr:uid="{0754150B-4830-4F80-A8D9-1427A341D3CC}">
      <text>
        <r>
          <rPr>
            <b/>
            <sz val="9"/>
            <color indexed="81"/>
            <rFont val="Tahoma"/>
            <family val="2"/>
          </rPr>
          <t>Napoleon Dunn:</t>
        </r>
        <r>
          <rPr>
            <sz val="9"/>
            <color indexed="81"/>
            <rFont val="Tahoma"/>
            <family val="2"/>
          </rPr>
          <t xml:space="preserve">
Should be taken directly from Google Maps</t>
        </r>
      </text>
    </comment>
    <comment ref="B26" authorId="0" shapeId="0" xr:uid="{ED8A64F0-67F6-4F40-9E60-7EDBF2E92BE1}">
      <text>
        <r>
          <rPr>
            <b/>
            <sz val="9"/>
            <color indexed="81"/>
            <rFont val="Tahoma"/>
            <family val="2"/>
          </rPr>
          <t>Napoleon Dunn:</t>
        </r>
        <r>
          <rPr>
            <sz val="9"/>
            <color indexed="81"/>
            <rFont val="Tahoma"/>
            <family val="2"/>
          </rPr>
          <t xml:space="preserve">
This should reflect the number of round trips taken by crew (i.e. there and back)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Napoleon Dunn</author>
  </authors>
  <commentList>
    <comment ref="F14" authorId="0" shapeId="0" xr:uid="{96288FCB-A5AB-4B96-9276-3F595FAF2852}">
      <text>
        <r>
          <rPr>
            <b/>
            <sz val="9"/>
            <color indexed="81"/>
            <rFont val="Tahoma"/>
            <family val="2"/>
          </rPr>
          <t>Napoleon Dunn:</t>
        </r>
        <r>
          <rPr>
            <sz val="9"/>
            <color indexed="81"/>
            <rFont val="Tahoma"/>
            <family val="2"/>
          </rPr>
          <t xml:space="preserve">
Represents # of trucks being used on the job</t>
        </r>
      </text>
    </comment>
    <comment ref="F15" authorId="0" shapeId="0" xr:uid="{45FF7599-43D0-4FB2-8F29-54279100A41E}">
      <text>
        <r>
          <rPr>
            <b/>
            <sz val="9"/>
            <color indexed="81"/>
            <rFont val="Tahoma"/>
            <family val="2"/>
          </rPr>
          <t>Napoleon Dunn:</t>
        </r>
        <r>
          <rPr>
            <sz val="9"/>
            <color indexed="81"/>
            <rFont val="Tahoma"/>
            <family val="2"/>
          </rPr>
          <t xml:space="preserve">
Napoleon Dunn:
Represents total personnel on the job</t>
        </r>
      </text>
    </comment>
    <comment ref="F16" authorId="0" shapeId="0" xr:uid="{F5E36283-D6A1-4B29-9C37-026038832403}">
      <text>
        <r>
          <rPr>
            <b/>
            <sz val="9"/>
            <color indexed="81"/>
            <rFont val="Tahoma"/>
            <family val="2"/>
          </rPr>
          <t>Napoleon Dunn:</t>
        </r>
        <r>
          <rPr>
            <sz val="9"/>
            <color indexed="81"/>
            <rFont val="Tahoma"/>
            <family val="2"/>
          </rPr>
          <t xml:space="preserve">
Should be taken directly from Google Maps</t>
        </r>
      </text>
    </comment>
    <comment ref="F17" authorId="0" shapeId="0" xr:uid="{901D447A-6041-46EA-B3FC-99C4E9B63223}">
      <text>
        <r>
          <rPr>
            <b/>
            <sz val="9"/>
            <color indexed="81"/>
            <rFont val="Tahoma"/>
            <family val="2"/>
          </rPr>
          <t>Napoleon Dunn:</t>
        </r>
        <r>
          <rPr>
            <sz val="9"/>
            <color indexed="81"/>
            <rFont val="Tahoma"/>
            <family val="2"/>
          </rPr>
          <t xml:space="preserve">
This should reflect the number of round trips taken by crew (i.e. there and back)
</t>
        </r>
      </text>
    </comment>
    <comment ref="B25" authorId="0" shapeId="0" xr:uid="{AAC119A9-C791-4B89-A27E-95649EDED902}">
      <text>
        <r>
          <rPr>
            <b/>
            <sz val="9"/>
            <color indexed="81"/>
            <rFont val="Tahoma"/>
            <family val="2"/>
          </rPr>
          <t>Napoleon Dunn:</t>
        </r>
        <r>
          <rPr>
            <sz val="9"/>
            <color indexed="81"/>
            <rFont val="Tahoma"/>
            <family val="2"/>
          </rPr>
          <t xml:space="preserve">
Should be taken directly from Google Maps</t>
        </r>
      </text>
    </comment>
    <comment ref="B26" authorId="0" shapeId="0" xr:uid="{3D5F54EC-4ECD-4E1D-9C98-E914F505890A}">
      <text>
        <r>
          <rPr>
            <b/>
            <sz val="9"/>
            <color indexed="81"/>
            <rFont val="Tahoma"/>
            <family val="2"/>
          </rPr>
          <t>Napoleon Dunn:</t>
        </r>
        <r>
          <rPr>
            <sz val="9"/>
            <color indexed="81"/>
            <rFont val="Tahoma"/>
            <family val="2"/>
          </rPr>
          <t xml:space="preserve">
This should reflect the number of round trips taken by crew (i.e. there and back)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<sst xmlns="http://schemas.openxmlformats.org/spreadsheetml/2006/main" count="1928" uniqueCount="655">
  <si>
    <t>Admininstrative Data</t>
  </si>
  <si>
    <t>Bid Status</t>
  </si>
  <si>
    <t>Equipment</t>
  </si>
  <si>
    <t>Contract Status</t>
  </si>
  <si>
    <t>Won</t>
  </si>
  <si>
    <t xml:space="preserve">Lost </t>
  </si>
  <si>
    <t>Pending</t>
  </si>
  <si>
    <t>Hatfield</t>
  </si>
  <si>
    <t>Adams County</t>
  </si>
  <si>
    <t>Letting Date</t>
  </si>
  <si>
    <t>Start Date</t>
  </si>
  <si>
    <t>End Date</t>
  </si>
  <si>
    <t>Total Days</t>
  </si>
  <si>
    <t>Branch</t>
  </si>
  <si>
    <t>ECMS #</t>
  </si>
  <si>
    <t>County</t>
  </si>
  <si>
    <t>MPT</t>
  </si>
  <si>
    <t>Permanent Signs</t>
  </si>
  <si>
    <t>Sale</t>
  </si>
  <si>
    <t>Total Bid</t>
  </si>
  <si>
    <t>Mobilization Fee</t>
  </si>
  <si>
    <t>Status</t>
  </si>
  <si>
    <t>Results</t>
  </si>
  <si>
    <t>Winner</t>
  </si>
  <si>
    <t>Contractor</t>
  </si>
  <si>
    <t>TMA</t>
  </si>
  <si>
    <t>Sign Sq. Ft</t>
  </si>
  <si>
    <t>Vertical Panels</t>
  </si>
  <si>
    <t>Received</t>
  </si>
  <si>
    <t>Signed</t>
  </si>
  <si>
    <t>Bid Submitted</t>
  </si>
  <si>
    <t>Bid Pending</t>
  </si>
  <si>
    <t>Turbotville</t>
  </si>
  <si>
    <t>Tioga County</t>
  </si>
  <si>
    <t>Hawbaker</t>
  </si>
  <si>
    <t>Juniata County</t>
  </si>
  <si>
    <t>Kinsley</t>
  </si>
  <si>
    <t>ETC</t>
  </si>
  <si>
    <t>RoadSafe</t>
  </si>
  <si>
    <t>Mainstream</t>
  </si>
  <si>
    <t>Atlas</t>
  </si>
  <si>
    <t>Rae Lynn</t>
  </si>
  <si>
    <t>Lycoming County</t>
  </si>
  <si>
    <t>Venture</t>
  </si>
  <si>
    <t>Columbia County</t>
  </si>
  <si>
    <t>New Enterprise</t>
  </si>
  <si>
    <t>Susquehanna County</t>
  </si>
  <si>
    <t>Pioneer</t>
  </si>
  <si>
    <t>Leeward</t>
  </si>
  <si>
    <t>Bradford County</t>
  </si>
  <si>
    <t>Northumberland County</t>
  </si>
  <si>
    <t>Bucks County</t>
  </si>
  <si>
    <t>HRI</t>
  </si>
  <si>
    <t>Loftus</t>
  </si>
  <si>
    <t>JD Eckman</t>
  </si>
  <si>
    <t>Suit-Kote</t>
  </si>
  <si>
    <t>Chester County</t>
  </si>
  <si>
    <t>Highway Materials</t>
  </si>
  <si>
    <t>Nestlerode</t>
  </si>
  <si>
    <t>Cumberland County</t>
  </si>
  <si>
    <t>Column</t>
  </si>
  <si>
    <t>Clearfield County</t>
  </si>
  <si>
    <t>Luzerne County</t>
  </si>
  <si>
    <t>RC Young</t>
  </si>
  <si>
    <t>Clinton County</t>
  </si>
  <si>
    <t>Lehigh County</t>
  </si>
  <si>
    <t>Road-Con</t>
  </si>
  <si>
    <t>Huntingdon County</t>
  </si>
  <si>
    <t>Fulkroad</t>
  </si>
  <si>
    <t>Lackawanna County</t>
  </si>
  <si>
    <t>Pennsy Supply</t>
  </si>
  <si>
    <t>Dean Constr.</t>
  </si>
  <si>
    <t>Lancaster County</t>
  </si>
  <si>
    <t>Crilon Corp.</t>
  </si>
  <si>
    <t>Potter County</t>
  </si>
  <si>
    <t>Rylind</t>
  </si>
  <si>
    <t>Wayne County</t>
  </si>
  <si>
    <t>Morrissey</t>
  </si>
  <si>
    <t>Pike County</t>
  </si>
  <si>
    <t>Kriger</t>
  </si>
  <si>
    <t>Montgomery County</t>
  </si>
  <si>
    <t>Alan Myers</t>
  </si>
  <si>
    <t>Northampton County</t>
  </si>
  <si>
    <t>Monroe County</t>
  </si>
  <si>
    <t>Nyleve</t>
  </si>
  <si>
    <t>Palo</t>
  </si>
  <si>
    <t>Marino</t>
  </si>
  <si>
    <t>York County</t>
  </si>
  <si>
    <t>Doli</t>
  </si>
  <si>
    <t>Mitchell Knor</t>
  </si>
  <si>
    <t>American Asphalt</t>
  </si>
  <si>
    <t>Wyoming County</t>
  </si>
  <si>
    <t>Perry County</t>
  </si>
  <si>
    <t>Within 60 Days</t>
  </si>
  <si>
    <t>PVT</t>
  </si>
  <si>
    <t>DETOUR</t>
  </si>
  <si>
    <t>YES</t>
  </si>
  <si>
    <t>Job Type</t>
  </si>
  <si>
    <t>Additions / Subtractions</t>
  </si>
  <si>
    <t>Monday</t>
  </si>
  <si>
    <t>Tuesday</t>
  </si>
  <si>
    <t>Wednesday</t>
  </si>
  <si>
    <t>Thursday</t>
  </si>
  <si>
    <t>Friday</t>
  </si>
  <si>
    <t>Vendor</t>
  </si>
  <si>
    <t>Item #</t>
  </si>
  <si>
    <t>Description</t>
  </si>
  <si>
    <t>ETC Description</t>
  </si>
  <si>
    <t>Physical Inventory Date</t>
  </si>
  <si>
    <t>Current Inventory</t>
  </si>
  <si>
    <t>GRIMCO</t>
  </si>
  <si>
    <t>B120685BARE51A3</t>
  </si>
  <si>
    <t>12"x6"-080-RAW-1 1/2"-TB</t>
  </si>
  <si>
    <t>12x6</t>
  </si>
  <si>
    <t>B180685BARE51A3</t>
  </si>
  <si>
    <t>18"x6"-080-RAW-1 1/2"-TB</t>
  </si>
  <si>
    <t>18x6</t>
  </si>
  <si>
    <t>B243085BARE53AA</t>
  </si>
  <si>
    <t>24"x30"-080-RAW-1 1/2"-4-UN</t>
  </si>
  <si>
    <t>24x30</t>
  </si>
  <si>
    <t>B361885BARE51A2</t>
  </si>
  <si>
    <t>36"x18"-080-RAW-1 1/2"-2-TB</t>
  </si>
  <si>
    <t>36x18</t>
  </si>
  <si>
    <t>B362485BARE54AB</t>
  </si>
  <si>
    <t>36"x24"-080-RAW-1 1/2"-4-2-P</t>
  </si>
  <si>
    <t>36x24</t>
  </si>
  <si>
    <t>B482485BARE74AH</t>
  </si>
  <si>
    <t>48"x24"-080-RAW-1 7/8"-4-2-P</t>
  </si>
  <si>
    <t>48x24</t>
  </si>
  <si>
    <t>B483685BARE44D</t>
  </si>
  <si>
    <t>48"x36"-080-RAW-2 1/4"-4-2-P</t>
  </si>
  <si>
    <t>48x36</t>
  </si>
  <si>
    <t>B483085BARE74AH</t>
  </si>
  <si>
    <t>48"x30"-080-RAW-1 7/8"-4-2-P</t>
  </si>
  <si>
    <t>48x30</t>
  </si>
  <si>
    <t>B24UN85BARE53AP</t>
  </si>
  <si>
    <t>24"UN---080-RAW-1 1/2"-4-UN</t>
  </si>
  <si>
    <t>24x24</t>
  </si>
  <si>
    <t>B361285BARE53A1</t>
  </si>
  <si>
    <t>36"x12"-080-RAW-1.5-4-UN</t>
  </si>
  <si>
    <t>36x12</t>
  </si>
  <si>
    <t>AS4896080MILL</t>
  </si>
  <si>
    <t>48"x96" .080 ALUM SHEET MILL 5052-H32</t>
  </si>
  <si>
    <t>48x96</t>
  </si>
  <si>
    <t>AS60120080MILL</t>
  </si>
  <si>
    <t>60"x120" .080 ALUM SHEET MILL 5052-H32</t>
  </si>
  <si>
    <t>60x120</t>
  </si>
  <si>
    <t>B602485BARE54AN</t>
  </si>
  <si>
    <t>18"UN---080-RAW-1 1/2"-4-UN</t>
  </si>
  <si>
    <t>18x18</t>
  </si>
  <si>
    <t>B30UN85BARE73AJ</t>
  </si>
  <si>
    <t>30"UN---080-RAW-1 7/8"-4-UN</t>
  </si>
  <si>
    <t>30x30</t>
  </si>
  <si>
    <t>B12SQ85BARE51A1</t>
  </si>
  <si>
    <t>48x48</t>
  </si>
  <si>
    <t>Octagon</t>
  </si>
  <si>
    <t>Yield Raw</t>
  </si>
  <si>
    <t>9x18</t>
  </si>
  <si>
    <t>9x24</t>
  </si>
  <si>
    <t>9x30</t>
  </si>
  <si>
    <t>9x36</t>
  </si>
  <si>
    <t>9x42</t>
  </si>
  <si>
    <t>30x15</t>
  </si>
  <si>
    <t>6x24</t>
  </si>
  <si>
    <t>6x30</t>
  </si>
  <si>
    <t>6x36</t>
  </si>
  <si>
    <t>8x18</t>
  </si>
  <si>
    <t>8x24</t>
  </si>
  <si>
    <t>8x30</t>
  </si>
  <si>
    <t>8x36</t>
  </si>
  <si>
    <t>8x42</t>
  </si>
  <si>
    <t>18x15</t>
  </si>
  <si>
    <t>21x15</t>
  </si>
  <si>
    <t>10x10</t>
  </si>
  <si>
    <t>10x12</t>
  </si>
  <si>
    <t>30x12</t>
  </si>
  <si>
    <t>30x18</t>
  </si>
  <si>
    <t>12x12</t>
  </si>
  <si>
    <t>24x12</t>
  </si>
  <si>
    <t>12x18</t>
  </si>
  <si>
    <t>18x24</t>
  </si>
  <si>
    <t>9x12</t>
  </si>
  <si>
    <t>9x15</t>
  </si>
  <si>
    <t>30x36</t>
  </si>
  <si>
    <t>36x36</t>
  </si>
  <si>
    <t>12x48</t>
  </si>
  <si>
    <t>48x18</t>
  </si>
  <si>
    <t>60x24</t>
  </si>
  <si>
    <t>60x30</t>
  </si>
  <si>
    <t>48x60</t>
  </si>
  <si>
    <t>No Passing Zone Raw</t>
  </si>
  <si>
    <t>Extruded</t>
  </si>
  <si>
    <t>9x48</t>
  </si>
  <si>
    <t>6x18</t>
  </si>
  <si>
    <t>6x42</t>
  </si>
  <si>
    <t>6x48</t>
  </si>
  <si>
    <t>School Finished</t>
  </si>
  <si>
    <t>30"</t>
  </si>
  <si>
    <t>36"</t>
  </si>
  <si>
    <t>Stop</t>
  </si>
  <si>
    <t>48"</t>
  </si>
  <si>
    <t>Yield</t>
  </si>
  <si>
    <t>Do Not Enter</t>
  </si>
  <si>
    <t>18"</t>
  </si>
  <si>
    <t>24"</t>
  </si>
  <si>
    <t>Push Button</t>
  </si>
  <si>
    <t>No Ped Crossing</t>
  </si>
  <si>
    <t>No Left Turn</t>
  </si>
  <si>
    <t>No Right Turn</t>
  </si>
  <si>
    <t>One Way Right</t>
  </si>
  <si>
    <t>One Way Left</t>
  </si>
  <si>
    <t>PA Penalty</t>
  </si>
  <si>
    <t>NJ Penalty</t>
  </si>
  <si>
    <t>Van Accesible</t>
  </si>
  <si>
    <t>Down Left Arrow FYG</t>
  </si>
  <si>
    <t>Down Right Arrow FYG</t>
  </si>
  <si>
    <t>Ped Crossing</t>
  </si>
  <si>
    <t>Handicap Reserved Parking</t>
  </si>
  <si>
    <t>Metro</t>
  </si>
  <si>
    <t>48x12</t>
  </si>
  <si>
    <t>Flagger</t>
  </si>
  <si>
    <t>Roll up</t>
  </si>
  <si>
    <t>Blank</t>
  </si>
  <si>
    <t>Road Work Ahead</t>
  </si>
  <si>
    <t>Road Closed Ahead</t>
  </si>
  <si>
    <t>One Lane Road Ahead</t>
  </si>
  <si>
    <t>Be Prepared to Stop</t>
  </si>
  <si>
    <t>Symbolic</t>
  </si>
  <si>
    <t>Right Lane Closed Ahead</t>
  </si>
  <si>
    <t>Black Vinyl</t>
  </si>
  <si>
    <t>Premask</t>
  </si>
  <si>
    <t>12"</t>
  </si>
  <si>
    <t>Orange HI</t>
  </si>
  <si>
    <t>Orange Type XI</t>
  </si>
  <si>
    <t>Orange DG 7</t>
  </si>
  <si>
    <t>Orange DG 8</t>
  </si>
  <si>
    <t>Orange DG 9</t>
  </si>
  <si>
    <t>White Type XI</t>
  </si>
  <si>
    <t>White HI</t>
  </si>
  <si>
    <t>Yellow HI</t>
  </si>
  <si>
    <t>FYG</t>
  </si>
  <si>
    <t>Blue EC</t>
  </si>
  <si>
    <t>60"</t>
  </si>
  <si>
    <t>20"</t>
  </si>
  <si>
    <t>Red EC</t>
  </si>
  <si>
    <t>Green EC</t>
  </si>
  <si>
    <t>Clear Film</t>
  </si>
  <si>
    <t>Post Reflector Yellow</t>
  </si>
  <si>
    <t>72"x2"</t>
  </si>
  <si>
    <t>Post Reflector FYG</t>
  </si>
  <si>
    <t>Post Reflector White</t>
  </si>
  <si>
    <t>Post Reflector Red</t>
  </si>
  <si>
    <t>72"x3"</t>
  </si>
  <si>
    <t>Flat Street Sign Cap Square</t>
  </si>
  <si>
    <t>5.5"</t>
  </si>
  <si>
    <t>Flat Street Sign Cap Round</t>
  </si>
  <si>
    <t>Flat Street Sign Cross</t>
  </si>
  <si>
    <t>Extruded Street Sign Cap Square</t>
  </si>
  <si>
    <t>Extruded Street Sign Cap Round</t>
  </si>
  <si>
    <t>Extruded Street Sign Cross</t>
  </si>
  <si>
    <t>Adjustable Cross</t>
  </si>
  <si>
    <t>Extruded U-Channel Cap 90°</t>
  </si>
  <si>
    <t>Extruded U-Channel Cap 180°</t>
  </si>
  <si>
    <t>Extruded Universal Cap</t>
  </si>
  <si>
    <t>Metro Wing Bracket</t>
  </si>
  <si>
    <t>16"</t>
  </si>
  <si>
    <t>Cab 1 Bracket</t>
  </si>
  <si>
    <t>Cab 2 Bracket</t>
  </si>
  <si>
    <t xml:space="preserve">Cab 3 Bracket </t>
  </si>
  <si>
    <t>Tim Z (Metro)</t>
  </si>
  <si>
    <t>Fixed Jenny</t>
  </si>
  <si>
    <t>Adjustable Jenny</t>
  </si>
  <si>
    <t>UCC</t>
  </si>
  <si>
    <t>SB 100 UN</t>
  </si>
  <si>
    <t>Comm 88</t>
  </si>
  <si>
    <t>Span Wire Bracket</t>
  </si>
  <si>
    <t>DO21</t>
  </si>
  <si>
    <t>Lap Splice Hardware</t>
  </si>
  <si>
    <t>Corner Bolt</t>
  </si>
  <si>
    <t>Corner Bolt Nut</t>
  </si>
  <si>
    <t>2.5 Aluminium Bolt</t>
  </si>
  <si>
    <t>Aluminum Nut</t>
  </si>
  <si>
    <t>3 Aluminum Bolt</t>
  </si>
  <si>
    <t>2.5 One Way Bolt</t>
  </si>
  <si>
    <t>Breakaway Nut</t>
  </si>
  <si>
    <t>3" One Way Bolt</t>
  </si>
  <si>
    <t>Nylon Washer</t>
  </si>
  <si>
    <t>3/8 Drive Rivet</t>
  </si>
  <si>
    <t>Angle Bracket</t>
  </si>
  <si>
    <t>8'</t>
  </si>
  <si>
    <t>Stiffener</t>
  </si>
  <si>
    <t>10'</t>
  </si>
  <si>
    <t>Rivet boxes</t>
  </si>
  <si>
    <t>TOTAL COST</t>
  </si>
  <si>
    <t xml:space="preserve"> </t>
  </si>
  <si>
    <t>LABOR / WELDING / ASSEMBLY</t>
  </si>
  <si>
    <t>STRIPE BOARDS</t>
  </si>
  <si>
    <t>SIGN HARDWARE NUTS/BOLTS/WASHERS</t>
  </si>
  <si>
    <t>18" SQUARE TUBE SIGN POSTS - FEET</t>
  </si>
  <si>
    <t>6' SQUARE TUBE SIGN POSTS - FEET</t>
  </si>
  <si>
    <t>12' SQUARE TUBE SIGN POSTS - UPPER</t>
  </si>
  <si>
    <t xml:space="preserve"> Total </t>
  </si>
  <si>
    <t>Unit Price</t>
  </si>
  <si>
    <t>NEW 6' Type III Barricade - 12' Posts</t>
  </si>
  <si>
    <t>Qty</t>
  </si>
  <si>
    <t>10' SQUARE TUBE SIGN POSTS - UPPER</t>
  </si>
  <si>
    <t xml:space="preserve">York </t>
  </si>
  <si>
    <t xml:space="preserve">Wyoming </t>
  </si>
  <si>
    <t xml:space="preserve">Westmoreland </t>
  </si>
  <si>
    <t xml:space="preserve">Wayne </t>
  </si>
  <si>
    <t xml:space="preserve">Washington </t>
  </si>
  <si>
    <t xml:space="preserve">Warren </t>
  </si>
  <si>
    <t xml:space="preserve">Venango </t>
  </si>
  <si>
    <t xml:space="preserve">Union </t>
  </si>
  <si>
    <t xml:space="preserve">Tioga </t>
  </si>
  <si>
    <t xml:space="preserve">Susquehanna </t>
  </si>
  <si>
    <t xml:space="preserve">Sullivan </t>
  </si>
  <si>
    <t xml:space="preserve">Somerset </t>
  </si>
  <si>
    <t xml:space="preserve">Snyder </t>
  </si>
  <si>
    <t xml:space="preserve">Schuylkill </t>
  </si>
  <si>
    <t xml:space="preserve">Potter </t>
  </si>
  <si>
    <t xml:space="preserve">Pike </t>
  </si>
  <si>
    <t xml:space="preserve">Philadelphia </t>
  </si>
  <si>
    <t>TYPE III INPUT PRICING</t>
  </si>
  <si>
    <t xml:space="preserve">Perry </t>
  </si>
  <si>
    <t xml:space="preserve">Northumberland </t>
  </si>
  <si>
    <t xml:space="preserve">Northampton </t>
  </si>
  <si>
    <t>Posts</t>
  </si>
  <si>
    <t>Spring Loaded Metal Stands</t>
  </si>
  <si>
    <t xml:space="preserve">Montour </t>
  </si>
  <si>
    <t>Covers</t>
  </si>
  <si>
    <t xml:space="preserve">Montgomery </t>
  </si>
  <si>
    <t>H Stands</t>
  </si>
  <si>
    <t xml:space="preserve">Monroe </t>
  </si>
  <si>
    <t>Sandbags</t>
  </si>
  <si>
    <t xml:space="preserve">Mifflin </t>
  </si>
  <si>
    <t>6' Type III</t>
  </si>
  <si>
    <t xml:space="preserve">Mercer </t>
  </si>
  <si>
    <t xml:space="preserve">McKean </t>
  </si>
  <si>
    <t>Total Cost</t>
  </si>
  <si>
    <t>Quantity</t>
  </si>
  <si>
    <t xml:space="preserve">Lycoming </t>
  </si>
  <si>
    <t xml:space="preserve">Luzerne </t>
  </si>
  <si>
    <t xml:space="preserve">Lehigh </t>
  </si>
  <si>
    <t xml:space="preserve">Lebanon </t>
  </si>
  <si>
    <t xml:space="preserve">Lawrence </t>
  </si>
  <si>
    <t xml:space="preserve">Lackawanna </t>
  </si>
  <si>
    <t xml:space="preserve">Juniata </t>
  </si>
  <si>
    <t>B-Lites</t>
  </si>
  <si>
    <t xml:space="preserve">Jefferson </t>
  </si>
  <si>
    <t>A/C-Lites</t>
  </si>
  <si>
    <t xml:space="preserve">Indiana </t>
  </si>
  <si>
    <t>Price</t>
  </si>
  <si>
    <t>Rate</t>
  </si>
  <si>
    <t>Days</t>
  </si>
  <si>
    <t xml:space="preserve">Huntingdon </t>
  </si>
  <si>
    <t xml:space="preserve">Greene </t>
  </si>
  <si>
    <t xml:space="preserve">Fulton </t>
  </si>
  <si>
    <t>Total Dispatch Fee</t>
  </si>
  <si>
    <t xml:space="preserve">Franklin </t>
  </si>
  <si>
    <t>per trip</t>
  </si>
  <si>
    <t>Dispatch fee</t>
  </si>
  <si>
    <t xml:space="preserve">Forest </t>
  </si>
  <si>
    <t>No</t>
  </si>
  <si>
    <t>Include Dispatch Fee?</t>
  </si>
  <si>
    <t xml:space="preserve">Fayette </t>
  </si>
  <si>
    <t xml:space="preserve">Erie </t>
  </si>
  <si>
    <t>Total</t>
  </si>
  <si>
    <t>Total Fuel Cost</t>
  </si>
  <si>
    <t xml:space="preserve">Elk </t>
  </si>
  <si>
    <t>per gallon</t>
  </si>
  <si>
    <t>Diesel Cost</t>
  </si>
  <si>
    <t xml:space="preserve">Delaware </t>
  </si>
  <si>
    <t>mpg</t>
  </si>
  <si>
    <t xml:space="preserve">Dauphin </t>
  </si>
  <si>
    <t>Total Number of Trips</t>
  </si>
  <si>
    <t xml:space="preserve">Cumberland </t>
  </si>
  <si>
    <t>USED</t>
  </si>
  <si>
    <t>COST</t>
  </si>
  <si>
    <t>SQ FT</t>
  </si>
  <si>
    <t>Round Trip Mileage</t>
  </si>
  <si>
    <t xml:space="preserve">Crawford </t>
  </si>
  <si>
    <t>QUANTITY</t>
  </si>
  <si>
    <t>UNIT</t>
  </si>
  <si>
    <t>PRODUCT</t>
  </si>
  <si>
    <t># of Trucks Used</t>
  </si>
  <si>
    <t>SPECIAL SIGNS</t>
  </si>
  <si>
    <t>Shop</t>
  </si>
  <si>
    <t>Rate or Shop Pay</t>
  </si>
  <si>
    <t>Hours</t>
  </si>
  <si>
    <t>Other Job Cost Time</t>
  </si>
  <si>
    <t>Other Job Cost</t>
  </si>
  <si>
    <t>Job Service Time</t>
  </si>
  <si>
    <t>Job Set Up Time</t>
  </si>
  <si>
    <t xml:space="preserve">Clearfield </t>
  </si>
  <si>
    <t xml:space="preserve">Clarion </t>
  </si>
  <si>
    <t>DIAMOND GRADE</t>
  </si>
  <si>
    <t xml:space="preserve">Chester </t>
  </si>
  <si>
    <t>#</t>
  </si>
  <si>
    <t>Number of Trips per Crew</t>
  </si>
  <si>
    <t>Round Trip Travel Time</t>
  </si>
  <si>
    <t xml:space="preserve">Centre </t>
  </si>
  <si>
    <t xml:space="preserve">Carbon </t>
  </si>
  <si>
    <t xml:space="preserve">Cameron </t>
  </si>
  <si>
    <t xml:space="preserve">Cambria </t>
  </si>
  <si>
    <t>Crew Multiplier</t>
  </si>
  <si>
    <t xml:space="preserve">Butler </t>
  </si>
  <si>
    <t># of Crews</t>
  </si>
  <si>
    <t xml:space="preserve">Bucks </t>
  </si>
  <si>
    <t xml:space="preserve">Bradford </t>
  </si>
  <si>
    <t>Units</t>
  </si>
  <si>
    <t>Shop Labor Rate  Mark Up</t>
  </si>
  <si>
    <t>Shop Labor Rate</t>
  </si>
  <si>
    <t xml:space="preserve">Berks </t>
  </si>
  <si>
    <t>30" oct</t>
  </si>
  <si>
    <t xml:space="preserve">Bedford </t>
  </si>
  <si>
    <t>36" tri</t>
  </si>
  <si>
    <t xml:space="preserve">Beaver </t>
  </si>
  <si>
    <t>36" oct</t>
  </si>
  <si>
    <t>Labor Mark Up</t>
  </si>
  <si>
    <t xml:space="preserve">Armstrong </t>
  </si>
  <si>
    <t>Allegheny</t>
  </si>
  <si>
    <t>Job Fringe</t>
  </si>
  <si>
    <t>Adams</t>
  </si>
  <si>
    <t>Job Labor Rate</t>
  </si>
  <si>
    <t>District</t>
  </si>
  <si>
    <t>Country</t>
  </si>
  <si>
    <t>48'' oct</t>
  </si>
  <si>
    <t>48" tri</t>
  </si>
  <si>
    <t>Bieber</t>
  </si>
  <si>
    <t>Redden</t>
  </si>
  <si>
    <t>Fuel Multiplier</t>
  </si>
  <si>
    <t>Depreciation Rate</t>
  </si>
  <si>
    <t>Long</t>
  </si>
  <si>
    <t>Tax Rate</t>
  </si>
  <si>
    <t>Total Signs</t>
  </si>
  <si>
    <t>Turner</t>
  </si>
  <si>
    <t>Yes</t>
  </si>
  <si>
    <t>Include Tax?</t>
  </si>
  <si>
    <t>Nelson</t>
  </si>
  <si>
    <t>BID SUMMARY</t>
  </si>
  <si>
    <t>Gross Profit</t>
  </si>
  <si>
    <t>Cost</t>
  </si>
  <si>
    <t>Revenue</t>
  </si>
  <si>
    <t>Estimator</t>
  </si>
  <si>
    <t>BID SUMMARY DASHBOARD</t>
  </si>
  <si>
    <t>HIGH INTENSITY</t>
  </si>
  <si>
    <t>ADMINISTRATIVE DATA</t>
  </si>
  <si>
    <t>Mark Up</t>
  </si>
  <si>
    <t>Gross Margin</t>
  </si>
  <si>
    <t>Discount</t>
  </si>
  <si>
    <t>Sand Bag Cost (per bag)</t>
  </si>
  <si>
    <t>Job Set Up Cost</t>
  </si>
  <si>
    <t>Job Pick Up Cost</t>
  </si>
  <si>
    <t>Job Service Cost</t>
  </si>
  <si>
    <t>Total Rate Labor Cost</t>
  </si>
  <si>
    <t>Total Shop Labor Cost</t>
  </si>
  <si>
    <t># of Units</t>
  </si>
  <si>
    <t>Vertical Panels (Type 11)</t>
  </si>
  <si>
    <t>Vertical Panels (whats the other type called?)</t>
  </si>
  <si>
    <t>PENNDOT</t>
  </si>
  <si>
    <t>TURNPIKE</t>
  </si>
  <si>
    <t>PRIVATE</t>
  </si>
  <si>
    <t>Item</t>
  </si>
  <si>
    <t>Bill of Materials: Type III Barricade - 10' Posts</t>
  </si>
  <si>
    <t>Bill of Materials: 4' Type III Barricade - 12' Posts</t>
  </si>
  <si>
    <t>Bill of Materials: 6' Type III Barricade - 10' Posts</t>
  </si>
  <si>
    <t>Bill of Materials: 6' Type III Barricade - 12' Posts</t>
  </si>
  <si>
    <t>Crew Travel Cost</t>
  </si>
  <si>
    <t>%</t>
  </si>
  <si>
    <t># of Personnel</t>
  </si>
  <si>
    <t>per crew</t>
  </si>
  <si>
    <t>per hour</t>
  </si>
  <si>
    <t># of Trips</t>
  </si>
  <si>
    <t>$</t>
  </si>
  <si>
    <t>LABOR INPUTS</t>
  </si>
  <si>
    <t>LABOR COST SUMMARY</t>
  </si>
  <si>
    <t>miles</t>
  </si>
  <si>
    <t>Fuel Economy per Truck</t>
  </si>
  <si>
    <t>Total Rate Labor</t>
  </si>
  <si>
    <t>Total Rated Labor</t>
  </si>
  <si>
    <t>Total Rated Labor+Mark Up</t>
  </si>
  <si>
    <t>Total Shop Labor+Mark Up</t>
  </si>
  <si>
    <t>TRUCK AND FUEL COSTS SUMMARY</t>
  </si>
  <si>
    <t>Total Miles Driven</t>
  </si>
  <si>
    <t>Daily Rate</t>
  </si>
  <si>
    <t>LIGHT AND DRUM RENTAL</t>
  </si>
  <si>
    <t>Unit Cost</t>
  </si>
  <si>
    <t>Multiplier</t>
  </si>
  <si>
    <t>Equiment Rental Multiplier</t>
  </si>
  <si>
    <t>Bill Rate</t>
  </si>
  <si>
    <t>Total Price</t>
  </si>
  <si>
    <t>Truck Mounted Atenuator</t>
  </si>
  <si>
    <t>EQUIPMENT AND INPUT COSTS</t>
  </si>
  <si>
    <t>Steel Post</t>
  </si>
  <si>
    <t>4' Type III | 10' ft Post</t>
  </si>
  <si>
    <t>6' Type III | 10' ft Post</t>
  </si>
  <si>
    <t>4' Type III | 12' ft Post</t>
  </si>
  <si>
    <t>6' Type III | 12' ft Post</t>
  </si>
  <si>
    <t>MPT EQUIPMENT COST SUMMARY</t>
  </si>
  <si>
    <t>TOTAL FUEL COST</t>
  </si>
  <si>
    <t>MILEAGE SUMMARY</t>
  </si>
  <si>
    <t>DISPATCH FEE SUMMARY</t>
  </si>
  <si>
    <t>X</t>
  </si>
  <si>
    <t>Priority</t>
  </si>
  <si>
    <t>Rate Type</t>
  </si>
  <si>
    <t>Option</t>
  </si>
  <si>
    <t>OTHER</t>
  </si>
  <si>
    <t>Low</t>
  </si>
  <si>
    <t>High</t>
  </si>
  <si>
    <t>ESTABLISHED TRAFFIC CONTROL</t>
  </si>
  <si>
    <t>PROPOSAL</t>
  </si>
  <si>
    <t>E T C</t>
  </si>
  <si>
    <t>3162 UNIONVILLE PIKE</t>
  </si>
  <si>
    <t>HATFIELD, PA 19440</t>
  </si>
  <si>
    <t>PREQUAL # E180</t>
  </si>
  <si>
    <t>OFFICE: (215) 997-8801</t>
  </si>
  <si>
    <t>DBE CERT # 12119</t>
  </si>
  <si>
    <t>FAX: (215) 997-8868</t>
  </si>
  <si>
    <t>FEDERAL ID # 42-1631450</t>
  </si>
  <si>
    <t>DBE</t>
  </si>
  <si>
    <t>NAICS # 237310</t>
  </si>
  <si>
    <t>Attention:</t>
  </si>
  <si>
    <t>Estimating</t>
  </si>
  <si>
    <t>Bid Date:</t>
  </si>
  <si>
    <t>County:</t>
  </si>
  <si>
    <t>Start Date:</t>
  </si>
  <si>
    <t>S.R. / Route:</t>
  </si>
  <si>
    <t>Completion Date:</t>
  </si>
  <si>
    <t>ECMS:</t>
  </si>
  <si>
    <t>Days:</t>
  </si>
  <si>
    <t>** CONFIDENTIALITY NOTICE **</t>
  </si>
  <si>
    <t>This message (including any attachments) may contain confidential, proprietary, privileged and/or private information. The information is intended to be for the use of the individual or entity designated above. If you are not the intended recipient of this message, please notify the sender immediately, and delete the message and any attachments. Any disclosure, reproduction, distribution or other use of this message or any attachments by an individual or entity other than the intended recipient is prohibited.</t>
  </si>
  <si>
    <t>ETC Contact:</t>
  </si>
  <si>
    <t>Email:</t>
  </si>
  <si>
    <t>jredden@establishedtraffic.com</t>
  </si>
  <si>
    <t>Phone:</t>
  </si>
  <si>
    <t>215-410-2265</t>
  </si>
  <si>
    <t>We Thank You and Appreciate Your Business!</t>
  </si>
  <si>
    <t>ITEM#</t>
  </si>
  <si>
    <t>DESCRIPTION</t>
  </si>
  <si>
    <t>QTY</t>
  </si>
  <si>
    <t>UNITS</t>
  </si>
  <si>
    <t>UNIT PRICE</t>
  </si>
  <si>
    <t>EXTENDED PRICE</t>
  </si>
  <si>
    <t>0608-0001</t>
  </si>
  <si>
    <t>Mobilization</t>
  </si>
  <si>
    <t>LS</t>
  </si>
  <si>
    <t>0901-0001</t>
  </si>
  <si>
    <t>Maintenance and Protection of Traffic</t>
  </si>
  <si>
    <t>0931-0001</t>
  </si>
  <si>
    <t>Post Mounted Signs, Type B</t>
  </si>
  <si>
    <t>SF</t>
  </si>
  <si>
    <t>0935-0001</t>
  </si>
  <si>
    <t>Post Mounted Signs, Type F</t>
  </si>
  <si>
    <t>0941-0001</t>
  </si>
  <si>
    <t>Reset Post Mounted Signs, Type B</t>
  </si>
  <si>
    <t>EA</t>
  </si>
  <si>
    <t>0971-0001</t>
  </si>
  <si>
    <t>Remove Post Mounted Signs, Type B</t>
  </si>
  <si>
    <t>ABOVE PRICING IS SUBJECT TO CHANGE AT ANY TIME DUE TO THE CONTINUED ESCALATION OF RAW MATERIAL AND TRANSPORTATION COSTS.</t>
  </si>
  <si>
    <t>IF THE PROPOSAL IS ACCEPTED, PLEASE SIGN AND DATE BELOW AND RETURN. THANK YOU!</t>
  </si>
  <si>
    <t>ACCEPTED BY:</t>
  </si>
  <si>
    <t>DATE:</t>
  </si>
  <si>
    <t>EXCLUSIONS:</t>
  </si>
  <si>
    <t>Sequential Lights or Type C Lights</t>
  </si>
  <si>
    <t>Vinyl wraps or overlays for overhead signs unless noted in quote</t>
  </si>
  <si>
    <t>Snow and/or ice removal for placement, maintenance and removal of temporary traffic signs</t>
  </si>
  <si>
    <t>Short-Term PATA signs and stands, Rough Road, Bump, Uneven Lanes, etc</t>
  </si>
  <si>
    <t>Constant surveillancce / Daily adjustments / Pedestrian Protection</t>
  </si>
  <si>
    <t>Traffic Control Supervisor</t>
  </si>
  <si>
    <t>Type A,C,E,D and M signs and posts</t>
  </si>
  <si>
    <t>Shop / Plan Drawings and/or layout for MPT signing / Professional Engineering Services</t>
  </si>
  <si>
    <t>High Reach Truck</t>
  </si>
  <si>
    <t>Any Overhead Signing</t>
  </si>
  <si>
    <t>Channelizing Devices, unless noted above</t>
  </si>
  <si>
    <t>Flagging / Short-Term Signs and Stands</t>
  </si>
  <si>
    <t>Force Account Work</t>
  </si>
  <si>
    <t>Daily / Weekly / Weekend Work Area Patterns</t>
  </si>
  <si>
    <t>Shadow vehicles/Truck Mounted Attenuators and operators unless specified</t>
  </si>
  <si>
    <t>Arrow Panels/Changeable Message Sign/Radar Trailer unless specified</t>
  </si>
  <si>
    <t>Temporary rumble strips</t>
  </si>
  <si>
    <t>Work Zone Liquidated Damages</t>
  </si>
  <si>
    <t xml:space="preserve">Covering, uncovering, turning, removing, resetting, altering and relocating existing signs or devices (temporary and permanent) </t>
  </si>
  <si>
    <t xml:space="preserve">Reinstallation of signs removed by the contractor for construction  </t>
  </si>
  <si>
    <t>Cleaning channelizing devices/signs</t>
  </si>
  <si>
    <t>Any videotaping or recordings</t>
  </si>
  <si>
    <t>All warning lights, low shoulder no guide rail or similar signs</t>
  </si>
  <si>
    <t>Holiday or work stoppage removal of signs and/or devices</t>
  </si>
  <si>
    <t>ETC is not responsible for calculating errors</t>
  </si>
  <si>
    <t>Pavement Marking and removal</t>
  </si>
  <si>
    <t>Delineators</t>
  </si>
  <si>
    <t>Temporary signals, lighting, related signage and traffic control unless specified</t>
  </si>
  <si>
    <t>Notification of (including permits from) officials (i.e., Police, Government, DOT)/ business and property owners</t>
  </si>
  <si>
    <t>Concrete barrier</t>
  </si>
  <si>
    <t>All Traffic Signal Work</t>
  </si>
  <si>
    <t>All Backfilling / Grading and Excavation / Core Drilling of any holes / Removal of excavated material</t>
  </si>
  <si>
    <t>Installing structure mounted signs</t>
  </si>
  <si>
    <t>All electrical work / line and grade work / Location of Utilities not covered by PA One Call</t>
  </si>
  <si>
    <t>Drilling, jack hammering or excavation of rock / Clearing and Grubbing</t>
  </si>
  <si>
    <t>Restoration and surface repairs</t>
  </si>
  <si>
    <t>Sleeve/anchor placement on bridge deck</t>
  </si>
  <si>
    <t>Incidental items not specifically included above</t>
  </si>
  <si>
    <t>STANDARD CONDITIONS:</t>
  </si>
  <si>
    <r>
      <rPr>
        <b/>
        <sz val="13"/>
        <color theme="1"/>
        <rFont val="Calibri"/>
        <family val="2"/>
        <scheme val="minor"/>
      </rPr>
      <t>*</t>
    </r>
    <r>
      <rPr>
        <sz val="13"/>
        <color theme="1"/>
        <rFont val="Calibri"/>
        <family val="2"/>
        <scheme val="minor"/>
      </rPr>
      <t>This quote including all terms and conditions will be included in any contract between contractor and Established Traffic Control.</t>
    </r>
  </si>
  <si>
    <t>Established Traffic Control must be notified within 14 days of bid date if Contractor is utilizing our proposal.</t>
  </si>
  <si>
    <r>
      <rPr>
        <b/>
        <sz val="13"/>
        <color theme="1"/>
        <rFont val="Calibri"/>
        <family val="2"/>
        <scheme val="minor"/>
      </rPr>
      <t>*</t>
    </r>
    <r>
      <rPr>
        <sz val="13"/>
        <color theme="1"/>
        <rFont val="Calibri"/>
        <family val="2"/>
        <scheme val="minor"/>
      </rPr>
      <t>Payment for lump sum items shall be 35% paid on the 1</t>
    </r>
    <r>
      <rPr>
        <vertAlign val="superscript"/>
        <sz val="13"/>
        <color theme="1"/>
        <rFont val="Calibri"/>
        <family val="2"/>
        <scheme val="minor"/>
      </rPr>
      <t>st</t>
    </r>
    <r>
      <rPr>
        <sz val="13"/>
        <color theme="1"/>
        <rFont val="Calibri"/>
        <family val="2"/>
        <scheme val="minor"/>
      </rPr>
      <t xml:space="preserve"> estimate for mobilization. The remaining balance will be prorated</t>
    </r>
  </si>
  <si>
    <t>over the remaining pay estimates. A pro-rated charge for the full amount of the contract to include the initial 35% will be assesed</t>
  </si>
  <si>
    <t>or use of PennDot Publication 408, section 110.03[d]3a if the contract exceeds the MPT completion date and/or goes over the MPT days.</t>
  </si>
  <si>
    <r>
      <rPr>
        <b/>
        <sz val="13"/>
        <color theme="1"/>
        <rFont val="Calibri"/>
        <family val="2"/>
        <scheme val="minor"/>
      </rPr>
      <t>*</t>
    </r>
    <r>
      <rPr>
        <sz val="13"/>
        <color theme="1"/>
        <rFont val="Calibri"/>
        <family val="2"/>
        <scheme val="minor"/>
      </rPr>
      <t>In the event that payment by owner to contractor is delayed due to a dispute between owner, and contractor not involving</t>
    </r>
  </si>
  <si>
    <t>the work performed by Established Traffic Control, Inc (ETC), then payment by contractor to ETC shall not likewise be delayed.</t>
  </si>
  <si>
    <r>
      <rPr>
        <b/>
        <sz val="13"/>
        <color theme="1"/>
        <rFont val="Calibri"/>
        <family val="2"/>
        <scheme val="minor"/>
      </rPr>
      <t>*</t>
    </r>
    <r>
      <rPr>
        <sz val="13"/>
        <color theme="1"/>
        <rFont val="Calibri"/>
        <family val="2"/>
        <scheme val="minor"/>
      </rPr>
      <t>No extra work will be performed without proper written authorization approved by both the contractor and ETC.</t>
    </r>
  </si>
  <si>
    <t>Extra work orders signed by an agent of the contractor shall provide for full payment of work within 30 days</t>
  </si>
  <si>
    <t>of invoice date, regardless if owner has paid contractor.</t>
  </si>
  <si>
    <r>
      <rPr>
        <b/>
        <sz val="13"/>
        <color theme="1"/>
        <rFont val="Calibri"/>
        <family val="2"/>
        <scheme val="minor"/>
      </rPr>
      <t>*</t>
    </r>
    <r>
      <rPr>
        <sz val="13"/>
        <color theme="1"/>
        <rFont val="Calibri"/>
        <family val="2"/>
        <scheme val="minor"/>
      </rPr>
      <t>All sale and rental invoices are NET 30 days. Sales tax is not included. Equipment delivery / pickup fee is not included.</t>
    </r>
  </si>
  <si>
    <r>
      <rPr>
        <b/>
        <sz val="13"/>
        <color rgb="FF000000"/>
        <rFont val="Calibri"/>
        <family val="2"/>
        <scheme val="minor"/>
      </rPr>
      <t>*</t>
    </r>
    <r>
      <rPr>
        <sz val="13"/>
        <color rgb="FF000000"/>
        <rFont val="Calibri"/>
        <family val="2"/>
        <scheme val="minor"/>
      </rPr>
      <t>All material supplied by ETC is project specific (shall be kept on this project) and will remain ETC property at</t>
    </r>
  </si>
  <si>
    <t>the project completion. The contractor is responsible for all lost, stolen or damaged materials and will be</t>
  </si>
  <si>
    <t>invoiced to the contractor at replacement price. Payment for lost, stolen or damaged material invoices are net 30 days regardless of</t>
  </si>
  <si>
    <t>payment from the owner or responsible party. Materials moved to other projects will be subject to additional invoicing</t>
  </si>
  <si>
    <r>
      <rPr>
        <b/>
        <sz val="13"/>
        <color theme="1"/>
        <rFont val="Calibri"/>
        <family val="2"/>
        <scheme val="minor"/>
      </rPr>
      <t>*</t>
    </r>
    <r>
      <rPr>
        <sz val="13"/>
        <color theme="1"/>
        <rFont val="Calibri"/>
        <family val="2"/>
        <scheme val="minor"/>
      </rPr>
      <t>ETC will require a minimum notice of 2 weeks (4-5 weeks for permanent signs) for all project start and/or changes with approved</t>
    </r>
  </si>
  <si>
    <t>stamped drawings or additional fees may apply. Permanent signing proposal includes an original set of shop drawings, prepared</t>
  </si>
  <si>
    <t>per original contract plans. Additional permanent signing shop drawing requests are $150.00 per drawing.</t>
  </si>
  <si>
    <r>
      <rPr>
        <b/>
        <sz val="13"/>
        <color theme="1"/>
        <rFont val="Calibri"/>
        <family val="2"/>
        <scheme val="minor"/>
      </rPr>
      <t>*</t>
    </r>
    <r>
      <rPr>
        <sz val="13"/>
        <color theme="1"/>
        <rFont val="Calibri"/>
        <family val="2"/>
        <scheme val="minor"/>
      </rPr>
      <t>In the event that any terms in our exclusions/conditions conflict with other terms of the contract documents,</t>
    </r>
  </si>
  <si>
    <t>the terms of our exclusions shall govern.</t>
  </si>
  <si>
    <r>
      <t xml:space="preserve">Please email all subcontracts and paperwork requests to                                                                                                                                                                                                                                                                                                                                                                                                                                                                       </t>
    </r>
    <r>
      <rPr>
        <b/>
        <sz val="12"/>
        <color rgb="FFFF0000"/>
        <rFont val="Calibri"/>
        <family val="2"/>
        <scheme val="minor"/>
      </rPr>
      <t>admin@establishedtraffic.com</t>
    </r>
  </si>
  <si>
    <t>Total Shop Labor</t>
  </si>
  <si>
    <t>Total Truck &amp; Fuel Costs</t>
  </si>
  <si>
    <t>Total Discount</t>
  </si>
  <si>
    <t>Total MPT Equipment</t>
  </si>
  <si>
    <t>Useful Life (days)</t>
  </si>
  <si>
    <t>Total MPT</t>
  </si>
  <si>
    <t>Bid Sign Off</t>
  </si>
  <si>
    <t>PERMANENT SIGNS</t>
  </si>
  <si>
    <t>SALE</t>
  </si>
  <si>
    <t>Sale Items</t>
  </si>
  <si>
    <t>Message Board</t>
  </si>
  <si>
    <t>Arrow Panel</t>
  </si>
  <si>
    <t>Speed Display</t>
  </si>
  <si>
    <t>Total Sale Items</t>
  </si>
  <si>
    <t>EQUIPMENT SUMMARY</t>
  </si>
  <si>
    <t>JOB EQUIPMENT SUMMARY</t>
  </si>
  <si>
    <t>A/C Lites</t>
  </si>
  <si>
    <t>B Lites</t>
  </si>
  <si>
    <t>Rental</t>
  </si>
  <si>
    <t>Arrow Board</t>
  </si>
  <si>
    <t>CAPITAL EQUIPMENT RENTAL</t>
  </si>
  <si>
    <t>RENTAL</t>
  </si>
  <si>
    <t>REVENUE BY TYPE</t>
  </si>
  <si>
    <t>MPT SUMMARY</t>
  </si>
  <si>
    <t>DISCOUNT</t>
  </si>
  <si>
    <t>Type III</t>
  </si>
  <si>
    <t>SIGN SQ. FT</t>
  </si>
  <si>
    <t>Vetical Panels</t>
  </si>
  <si>
    <t>=INDEX('Branch Analysis'!$H$1197:$T$1299,MATCH('Java Airport View'!$D$4,'Branch Analysis'!$C$873:$C$975,0),MATCH('Java Airport View'!J$5,'Branch Analysis'!$H$1196:$T$1196,0))</t>
  </si>
  <si>
    <t>GROSS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</si>
</sst>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7" formatCode="&quot;$&quot;#,##0.00_);\(&quot;$&quot;#,##0.00\)"/>
    <numFmt numFmtId="8" formatCode="&quot;$&quot;#,##0.00_);[Red]\(&quot;$&quot;#,##0.00\)"/>
    <numFmt numFmtId="44" formatCode="_(&quot;$&quot;* #,##0.00_);_(&quot;$&quot;* \(#,##0.00\);_(&quot;$&quot;* &quot;-&quot;??_);_(@_)"/>
    <numFmt numFmtId="43" formatCode="_(* #,##0.00_);_(* \(#,##0.00\);_(* &quot;-&quot;??_);_(@_)"/>
    <numFmt numFmtId="164" formatCode="[$-1C09]dd\ mmmm\ yyyy"/>
    <numFmt numFmtId="165" formatCode="_(* #,##0.0_);_(* \(#,##0.0\);_(* &quot;-&quot;?_);_(@_)"/>
    <numFmt numFmtId="166" formatCode="_(* #,##0.0_);_(* \(#,##0.0\);_(* &quot;-&quot;??_);_(@_)"/>
    <numFmt numFmtId="167" formatCode="_(&quot;$&quot;* #,##0_);_(&quot;$&quot;* \(#,##0\);_(&quot;$&quot;* &quot;-&quot;??_);_(@_)"/>
    <numFmt numFmtId="168" formatCode="0.0%"/>
    <numFmt numFmtId="169" formatCode="&quot;$&quot;\ #,##0.00_);\(&quot;$&quot;#,##0.00\)"/>
    <numFmt numFmtId="170" formatCode="0.0"/>
    <numFmt numFmtId="175" formatCode="_(&quot;$&quot;* #,##0.0_);_(&quot;$&quot;* \(#,##0.0\);_(&quot;$&quot;* &quot;-&quot;??_);_(@_)"/>
    <numFmt numFmtId="177" formatCode="_(* #,##0_);_(* \(#,##0\);_(* &quot;-&quot;??_);_(@_)"/>
    <numFmt numFmtId="178" formatCode="_(* #,##0_);_(* \(#,##0\);_(* &quot;-&quot;?_);_(@_)"/>
  </numFmts>
  <fonts count="48">
    <font>
      <sz val="11"/>
      <color theme="1"/>
      <name val="Calibri"/>
      <scheme val="minor"/>
    </font>
    <font>
      <sz val="11"/>
      <color theme="1"/>
      <name val="Calibri"/>
      <family val="2"/>
      <scheme val="minor"/>
    </font>
    <font>
      <sz val="12"/>
      <color theme="1"/>
      <name val="Calibri"/>
      <family val="2"/>
    </font>
    <font>
      <b/>
      <sz val="12"/>
      <color theme="0"/>
      <name val="Calibri"/>
      <family val="2"/>
    </font>
    <font>
      <sz val="11"/>
      <name val="Calibri"/>
      <family val="2"/>
    </font>
    <font>
      <b/>
      <sz val="12"/>
      <color rgb="FFFFFFFF"/>
      <name val="Calibri"/>
      <family val="2"/>
    </font>
    <font>
      <b/>
      <sz val="12"/>
      <color theme="1"/>
      <name val="Calibri"/>
      <family val="2"/>
    </font>
    <font>
      <sz val="11"/>
      <color theme="1"/>
      <name val="Calibri"/>
      <family val="2"/>
      <scheme val="minor"/>
    </font>
    <font>
      <sz val="12"/>
      <color rgb="FF222222"/>
      <name val="Calibri"/>
      <family val="2"/>
    </font>
    <font>
      <sz val="11"/>
      <color rgb="FF000000"/>
      <name val="&quot;Aptos Narrow&quot;"/>
    </font>
    <font>
      <sz val="11"/>
      <color theme="1"/>
      <name val="Calibri"/>
      <family val="2"/>
      <scheme val="minor"/>
    </font>
    <font>
      <b/>
      <sz val="11"/>
      <color theme="1"/>
      <name val="Calibri"/>
      <family val="2"/>
      <scheme val="minor"/>
    </font>
    <font>
      <sz val="10"/>
      <name val="Arial"/>
      <family val="2"/>
    </font>
    <font>
      <b/>
      <sz val="9"/>
      <color indexed="81"/>
      <name val="Tahoma"/>
      <family val="2"/>
    </font>
    <font>
      <sz val="9"/>
      <color indexed="81"/>
      <name val="Tahoma"/>
      <family val="2"/>
    </font>
    <font>
      <sz val="11"/>
      <color theme="1"/>
      <name val="Calibri"/>
      <scheme val="minor"/>
    </font>
    <font>
      <b/>
      <sz val="11"/>
      <color theme="0"/>
      <name val="Calibri"/>
      <family val="2"/>
      <scheme val="minor"/>
    </font>
    <font>
      <b/>
      <sz val="10"/>
      <color theme="0"/>
      <name val="Arial"/>
      <family val="2"/>
    </font>
    <font>
      <b/>
      <sz val="10"/>
      <name val="Arial"/>
      <family val="2"/>
    </font>
    <font>
      <sz val="10"/>
      <color indexed="8"/>
      <name val="Arial"/>
      <family val="2"/>
    </font>
    <font>
      <sz val="10"/>
      <color theme="1"/>
      <name val="Calibri"/>
      <family val="2"/>
      <scheme val="minor"/>
    </font>
    <font>
      <sz val="10"/>
      <color theme="1"/>
      <name val="Arial"/>
      <family val="2"/>
    </font>
    <font>
      <b/>
      <sz val="10"/>
      <color theme="3"/>
      <name val="Arial"/>
      <family val="2"/>
    </font>
    <font>
      <sz val="10"/>
      <color theme="0" tint="-0.499984740745262"/>
      <name val="Arial"/>
      <family val="2"/>
    </font>
    <font>
      <b/>
      <sz val="10"/>
      <color theme="1"/>
      <name val="Arial"/>
      <family val="2"/>
    </font>
    <font>
      <i/>
      <u/>
      <sz val="10"/>
      <color theme="0" tint="-0.34998626667073579"/>
      <name val="Arial"/>
      <family val="2"/>
    </font>
    <font>
      <i/>
      <sz val="10"/>
      <color theme="0" tint="-0.34998626667073579"/>
      <name val="Arial"/>
      <family val="2"/>
    </font>
    <font>
      <sz val="10"/>
      <color rgb="FFFF0000"/>
      <name val="Arial"/>
      <family val="2"/>
    </font>
    <font>
      <b/>
      <sz val="10"/>
      <color rgb="FFFF0000"/>
      <name val="Arial"/>
      <family val="2"/>
    </font>
    <font>
      <sz val="9"/>
      <name val="Arial"/>
      <family val="2"/>
    </font>
    <font>
      <u/>
      <sz val="11"/>
      <color theme="10"/>
      <name val="Calibri"/>
      <family val="2"/>
      <scheme val="minor"/>
    </font>
    <font>
      <sz val="14"/>
      <color theme="1"/>
      <name val="Calibri"/>
      <family val="2"/>
      <scheme val="minor"/>
    </font>
    <font>
      <b/>
      <sz val="36"/>
      <color theme="1"/>
      <name val="Calibri"/>
      <family val="2"/>
      <scheme val="minor"/>
    </font>
    <font>
      <b/>
      <sz val="90"/>
      <color theme="1"/>
      <name val="Calibri"/>
      <family val="2"/>
      <scheme val="minor"/>
    </font>
    <font>
      <b/>
      <sz val="16"/>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
      <sz val="10.5"/>
      <color theme="1"/>
      <name val="Calibri"/>
      <family val="2"/>
      <scheme val="minor"/>
    </font>
    <font>
      <sz val="14"/>
      <color rgb="FF000000"/>
      <name val="Calibri"/>
      <family val="2"/>
      <scheme val="minor"/>
    </font>
    <font>
      <sz val="13"/>
      <color theme="1"/>
      <name val="Calibri"/>
      <family val="2"/>
      <scheme val="minor"/>
    </font>
    <font>
      <b/>
      <sz val="13"/>
      <color theme="1"/>
      <name val="Calibri"/>
      <family val="2"/>
      <scheme val="minor"/>
    </font>
    <font>
      <sz val="13"/>
      <color rgb="FF222222"/>
      <name val="Calibri"/>
      <family val="2"/>
      <scheme val="minor"/>
    </font>
    <font>
      <vertAlign val="superscript"/>
      <sz val="13"/>
      <color theme="1"/>
      <name val="Calibri"/>
      <family val="2"/>
      <scheme val="minor"/>
    </font>
    <font>
      <sz val="13"/>
      <color rgb="FF000000"/>
      <name val="Calibri"/>
      <family val="2"/>
      <scheme val="minor"/>
    </font>
    <font>
      <b/>
      <sz val="13"/>
      <color rgb="FF000000"/>
      <name val="Calibri"/>
      <family val="2"/>
      <scheme val="minor"/>
    </font>
    <font>
      <sz val="12"/>
      <color rgb="FFFF0000"/>
      <name val="Calibri"/>
      <family val="2"/>
      <scheme val="minor"/>
    </font>
    <font>
      <b/>
      <sz val="12"/>
      <color rgb="FFFF0000"/>
      <name val="Calibri"/>
      <family val="2"/>
      <scheme val="minor"/>
    </font>
  </fonts>
  <fills count="20">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rgb="FFBFBFBF"/>
        <bgColor rgb="FFBFBFBF"/>
      </patternFill>
    </fill>
    <fill>
      <patternFill patternType="solid">
        <fgColor rgb="FFFFFF00"/>
        <bgColor indexed="64"/>
      </patternFill>
    </fill>
    <fill>
      <patternFill patternType="solid">
        <fgColor indexed="13"/>
        <bgColor indexed="64"/>
      </patternFill>
    </fill>
    <fill>
      <patternFill patternType="solid">
        <fgColor theme="3"/>
        <bgColor indexed="64"/>
      </patternFill>
    </fill>
    <fill>
      <patternFill patternType="solid">
        <fgColor theme="5" tint="0.79998168889431442"/>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rgb="FF00B050"/>
        <bgColor indexed="64"/>
      </patternFill>
    </fill>
    <fill>
      <patternFill patternType="solid">
        <fgColor theme="4"/>
        <bgColor indexed="64"/>
      </patternFill>
    </fill>
    <fill>
      <patternFill patternType="solid">
        <fgColor theme="9" tint="0.39997558519241921"/>
        <bgColor indexed="64"/>
      </patternFill>
    </fill>
    <fill>
      <patternFill patternType="darkUp">
        <fgColor theme="9" tint="0.59996337778862885"/>
        <bgColor theme="9" tint="0.39994506668294322"/>
      </patternFill>
    </fill>
    <fill>
      <patternFill patternType="solid">
        <fgColor rgb="FF7030A0"/>
        <bgColor indexed="64"/>
      </patternFill>
    </fill>
    <fill>
      <patternFill patternType="solid">
        <fgColor theme="1"/>
        <bgColor indexed="64"/>
      </patternFill>
    </fill>
    <fill>
      <patternFill patternType="solid">
        <fgColor theme="5"/>
        <bgColor indexed="64"/>
      </patternFill>
    </fill>
  </fills>
  <borders count="60">
    <border>
      <left/>
      <right/>
      <top/>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diagonal/>
    </border>
    <border>
      <left/>
      <right/>
      <top style="thin">
        <color theme="0"/>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dashed">
        <color indexed="64"/>
      </left>
      <right style="dashed">
        <color indexed="64"/>
      </right>
      <top style="dashed">
        <color indexed="64"/>
      </top>
      <bottom style="dashed">
        <color indexed="64"/>
      </bottom>
      <diagonal/>
    </border>
    <border>
      <left style="medium">
        <color indexed="64"/>
      </left>
      <right/>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dashed">
        <color indexed="64"/>
      </left>
      <right style="thin">
        <color indexed="64"/>
      </right>
      <top style="dashed">
        <color indexed="64"/>
      </top>
      <bottom style="dashed">
        <color indexed="64"/>
      </bottom>
      <diagonal/>
    </border>
    <border>
      <left style="dashed">
        <color indexed="64"/>
      </left>
      <right style="dashed">
        <color indexed="64"/>
      </right>
      <top style="dashed">
        <color indexed="64"/>
      </top>
      <bottom/>
      <diagonal/>
    </border>
    <border>
      <left/>
      <right style="thin">
        <color indexed="64"/>
      </right>
      <top style="thin">
        <color indexed="64"/>
      </top>
      <bottom style="thin">
        <color indexed="64"/>
      </bottom>
      <diagonal/>
    </border>
    <border>
      <left style="mediumDashed">
        <color rgb="FFC00000"/>
      </left>
      <right/>
      <top style="mediumDashed">
        <color rgb="FFC00000"/>
      </top>
      <bottom style="mediumDashed">
        <color rgb="FFC00000"/>
      </bottom>
      <diagonal/>
    </border>
    <border>
      <left/>
      <right/>
      <top style="mediumDashed">
        <color rgb="FFC00000"/>
      </top>
      <bottom style="mediumDashed">
        <color rgb="FFC00000"/>
      </bottom>
      <diagonal/>
    </border>
    <border>
      <left/>
      <right style="mediumDashed">
        <color rgb="FFC00000"/>
      </right>
      <top style="mediumDashed">
        <color rgb="FFC00000"/>
      </top>
      <bottom style="mediumDashed">
        <color rgb="FFC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Dashed">
        <color rgb="FFC00000"/>
      </top>
      <bottom style="mediumDashed">
        <color rgb="FFC00000"/>
      </bottom>
      <diagonal/>
    </border>
    <border>
      <left/>
      <right style="thin">
        <color indexed="64"/>
      </right>
      <top style="mediumDashed">
        <color rgb="FFC00000"/>
      </top>
      <bottom style="mediumDashed">
        <color rgb="FFC00000"/>
      </bottom>
      <diagonal/>
    </border>
    <border>
      <left style="thin">
        <color indexed="64"/>
      </left>
      <right style="thin">
        <color indexed="64"/>
      </right>
      <top/>
      <bottom style="mediumDashed">
        <color rgb="FFC00000"/>
      </bottom>
      <diagonal/>
    </border>
    <border>
      <left style="thin">
        <color indexed="64"/>
      </left>
      <right/>
      <top style="mediumDashed">
        <color rgb="FFC00000"/>
      </top>
      <bottom/>
      <diagonal/>
    </border>
    <border>
      <left/>
      <right/>
      <top style="mediumDashed">
        <color rgb="FFC00000"/>
      </top>
      <bottom/>
      <diagonal/>
    </border>
    <border>
      <left/>
      <right style="thin">
        <color indexed="64"/>
      </right>
      <top style="mediumDashed">
        <color rgb="FFC00000"/>
      </top>
      <bottom/>
      <diagonal/>
    </border>
    <border>
      <left style="thin">
        <color indexed="64"/>
      </left>
      <right/>
      <top/>
      <bottom style="mediumDashed">
        <color rgb="FFC00000"/>
      </bottom>
      <diagonal/>
    </border>
    <border>
      <left/>
      <right/>
      <top/>
      <bottom style="mediumDashed">
        <color rgb="FFC00000"/>
      </bottom>
      <diagonal/>
    </border>
    <border>
      <left/>
      <right style="thin">
        <color indexed="64"/>
      </right>
      <top/>
      <bottom style="mediumDashed">
        <color rgb="FFC00000"/>
      </bottom>
      <diagonal/>
    </border>
  </borders>
  <cellStyleXfs count="11">
    <xf numFmtId="0" fontId="0" fillId="0" borderId="0"/>
    <xf numFmtId="9" fontId="10" fillId="0" borderId="0" applyFont="0" applyFill="0" applyBorder="0" applyAlignment="0" applyProtection="0"/>
    <xf numFmtId="0" fontId="12" fillId="0" borderId="0"/>
    <xf numFmtId="0" fontId="1" fillId="0" borderId="0"/>
    <xf numFmtId="0" fontId="1" fillId="0" borderId="0"/>
    <xf numFmtId="44" fontId="12" fillId="0" borderId="0" applyFont="0" applyFill="0" applyBorder="0" applyAlignment="0" applyProtection="0"/>
    <xf numFmtId="43" fontId="12" fillId="0" borderId="0" applyFont="0" applyFill="0" applyBorder="0" applyAlignment="0" applyProtection="0"/>
    <xf numFmtId="9" fontId="12" fillId="0" borderId="0" applyFont="0" applyFill="0" applyBorder="0" applyAlignment="0" applyProtection="0"/>
    <xf numFmtId="43" fontId="15" fillId="0" borderId="0" applyFont="0" applyFill="0" applyBorder="0" applyAlignment="0" applyProtection="0"/>
    <xf numFmtId="44" fontId="15" fillId="0" borderId="0" applyFont="0" applyFill="0" applyBorder="0" applyAlignment="0" applyProtection="0"/>
    <xf numFmtId="0" fontId="30" fillId="0" borderId="0" applyNumberFormat="0" applyFill="0" applyBorder="0" applyAlignment="0" applyProtection="0"/>
  </cellStyleXfs>
  <cellXfs count="300">
    <xf numFmtId="0" fontId="0" fillId="0" borderId="0" xfId="0"/>
    <xf numFmtId="0" fontId="2" fillId="0" borderId="0" xfId="0" applyFont="1"/>
    <xf numFmtId="0" fontId="3" fillId="3" borderId="4" xfId="0" applyFont="1" applyFill="1" applyBorder="1" applyAlignment="1">
      <alignment horizontal="center"/>
    </xf>
    <xf numFmtId="0" fontId="3" fillId="3" borderId="1" xfId="0" applyFont="1" applyFill="1" applyBorder="1" applyAlignment="1">
      <alignment horizontal="center"/>
    </xf>
    <xf numFmtId="0" fontId="3" fillId="2" borderId="0" xfId="0" applyFont="1" applyFill="1"/>
    <xf numFmtId="0" fontId="2" fillId="2" borderId="0" xfId="0" applyFont="1" applyFill="1"/>
    <xf numFmtId="0" fontId="6" fillId="5" borderId="6" xfId="0" applyFont="1" applyFill="1" applyBorder="1" applyAlignment="1">
      <alignment horizontal="center"/>
    </xf>
    <xf numFmtId="164" fontId="2" fillId="0" borderId="6" xfId="0" applyNumberFormat="1" applyFont="1" applyBorder="1"/>
    <xf numFmtId="0" fontId="2" fillId="0" borderId="6" xfId="0" applyFont="1" applyBorder="1"/>
    <xf numFmtId="0" fontId="6" fillId="0" borderId="6" xfId="0" applyFont="1" applyBorder="1"/>
    <xf numFmtId="0" fontId="7" fillId="0" borderId="6" xfId="0" applyFont="1" applyBorder="1"/>
    <xf numFmtId="0" fontId="2" fillId="0" borderId="6" xfId="0" applyFont="1" applyBorder="1" applyAlignment="1">
      <alignment horizontal="left"/>
    </xf>
    <xf numFmtId="0" fontId="6" fillId="0" borderId="6" xfId="0" applyFont="1" applyBorder="1" applyAlignment="1">
      <alignment horizontal="left"/>
    </xf>
    <xf numFmtId="0" fontId="6" fillId="0" borderId="6" xfId="0" applyFont="1" applyBorder="1" applyAlignment="1">
      <alignment horizontal="center"/>
    </xf>
    <xf numFmtId="0" fontId="8" fillId="0" borderId="6" xfId="0" applyFont="1" applyBorder="1" applyAlignment="1">
      <alignment vertical="center" wrapText="1"/>
    </xf>
    <xf numFmtId="0" fontId="8" fillId="0" borderId="6" xfId="0" applyFont="1" applyBorder="1" applyAlignment="1">
      <alignment horizontal="left" vertical="center" wrapText="1"/>
    </xf>
    <xf numFmtId="0" fontId="7" fillId="0" borderId="0" xfId="0" applyFont="1"/>
    <xf numFmtId="14" fontId="7" fillId="0" borderId="0" xfId="0" applyNumberFormat="1" applyFont="1"/>
    <xf numFmtId="0" fontId="9" fillId="0" borderId="0" xfId="0" applyFont="1"/>
    <xf numFmtId="0" fontId="12" fillId="0" borderId="11" xfId="3" applyFont="1" applyBorder="1" applyAlignment="1">
      <alignment horizontal="centerContinuous"/>
    </xf>
    <xf numFmtId="0" fontId="12" fillId="0" borderId="11" xfId="3" applyFont="1" applyBorder="1" applyAlignment="1">
      <alignment horizontal="center"/>
    </xf>
    <xf numFmtId="0" fontId="3" fillId="2" borderId="1" xfId="0" applyFont="1" applyFill="1" applyBorder="1" applyAlignment="1">
      <alignment horizontal="center"/>
    </xf>
    <xf numFmtId="0" fontId="4" fillId="0" borderId="2" xfId="0" applyFont="1" applyBorder="1"/>
    <xf numFmtId="0" fontId="4" fillId="0" borderId="3" xfId="0" applyFont="1" applyBorder="1"/>
    <xf numFmtId="0" fontId="3" fillId="3" borderId="1" xfId="0" applyFont="1" applyFill="1" applyBorder="1" applyAlignment="1">
      <alignment horizontal="center"/>
    </xf>
    <xf numFmtId="0" fontId="9" fillId="0" borderId="0" xfId="0" applyFont="1"/>
    <xf numFmtId="0" fontId="0" fillId="0" borderId="0" xfId="0"/>
    <xf numFmtId="0" fontId="12" fillId="0" borderId="11" xfId="3" applyFont="1" applyBorder="1" applyAlignment="1">
      <alignment horizontal="left"/>
    </xf>
    <xf numFmtId="0" fontId="17" fillId="8" borderId="14" xfId="2" applyFont="1" applyFill="1" applyBorder="1" applyAlignment="1">
      <alignment horizontal="centerContinuous"/>
    </xf>
    <xf numFmtId="0" fontId="17" fillId="8" borderId="13" xfId="2" applyFont="1" applyFill="1" applyBorder="1" applyAlignment="1">
      <alignment horizontal="centerContinuous"/>
    </xf>
    <xf numFmtId="0" fontId="12" fillId="0" borderId="0" xfId="2" applyFont="1"/>
    <xf numFmtId="0" fontId="12" fillId="0" borderId="7" xfId="2" applyFont="1" applyBorder="1" applyAlignment="1">
      <alignment horizontal="center"/>
    </xf>
    <xf numFmtId="0" fontId="12" fillId="0" borderId="0" xfId="2" applyFont="1" applyAlignment="1">
      <alignment horizontal="center"/>
    </xf>
    <xf numFmtId="0" fontId="12" fillId="0" borderId="16" xfId="2" applyFont="1" applyBorder="1" applyAlignment="1">
      <alignment horizontal="right"/>
    </xf>
    <xf numFmtId="0" fontId="18" fillId="0" borderId="7" xfId="2" applyFont="1" applyBorder="1" applyAlignment="1">
      <alignment horizontal="center"/>
    </xf>
    <xf numFmtId="0" fontId="18" fillId="0" borderId="0" xfId="2" applyFont="1" applyAlignment="1">
      <alignment horizontal="center"/>
    </xf>
    <xf numFmtId="0" fontId="18" fillId="0" borderId="18" xfId="2" applyFont="1" applyBorder="1" applyAlignment="1">
      <alignment horizontal="center"/>
    </xf>
    <xf numFmtId="0" fontId="12" fillId="0" borderId="7" xfId="2" applyFont="1" applyBorder="1" applyAlignment="1">
      <alignment horizontal="left"/>
    </xf>
    <xf numFmtId="0" fontId="12" fillId="0" borderId="0" xfId="2" applyFont="1" applyAlignment="1">
      <alignment horizontal="left"/>
    </xf>
    <xf numFmtId="0" fontId="12" fillId="9" borderId="23" xfId="2" applyFont="1" applyFill="1" applyBorder="1" applyAlignment="1">
      <alignment horizontal="center"/>
    </xf>
    <xf numFmtId="0" fontId="18" fillId="0" borderId="18" xfId="2" applyFont="1" applyBorder="1"/>
    <xf numFmtId="0" fontId="20" fillId="0" borderId="0" xfId="0" applyFont="1"/>
    <xf numFmtId="0" fontId="12" fillId="0" borderId="11" xfId="2" applyFont="1" applyBorder="1" applyAlignment="1">
      <alignment horizontal="center"/>
    </xf>
    <xf numFmtId="0" fontId="12" fillId="0" borderId="0" xfId="2" applyFont="1" applyFill="1"/>
    <xf numFmtId="0" fontId="21" fillId="0" borderId="0" xfId="4" applyFont="1"/>
    <xf numFmtId="9" fontId="12" fillId="0" borderId="0" xfId="1" applyFont="1"/>
    <xf numFmtId="9" fontId="18" fillId="0" borderId="0" xfId="1" applyFont="1"/>
    <xf numFmtId="9" fontId="12" fillId="0" borderId="0" xfId="2" applyNumberFormat="1" applyFont="1"/>
    <xf numFmtId="0" fontId="17" fillId="0" borderId="14" xfId="2" applyFont="1" applyBorder="1" applyAlignment="1">
      <alignment horizontal="centerContinuous"/>
    </xf>
    <xf numFmtId="0" fontId="17" fillId="0" borderId="13" xfId="2" applyFont="1" applyBorder="1" applyAlignment="1">
      <alignment horizontal="centerContinuous"/>
    </xf>
    <xf numFmtId="0" fontId="22" fillId="11" borderId="7" xfId="2" applyFont="1" applyFill="1" applyBorder="1" applyAlignment="1">
      <alignment horizontal="centerContinuous"/>
    </xf>
    <xf numFmtId="0" fontId="22" fillId="11" borderId="16" xfId="2" applyFont="1" applyFill="1" applyBorder="1" applyAlignment="1">
      <alignment horizontal="centerContinuous"/>
    </xf>
    <xf numFmtId="0" fontId="12" fillId="0" borderId="16" xfId="2" applyFont="1" applyBorder="1"/>
    <xf numFmtId="0" fontId="12" fillId="0" borderId="7" xfId="2" applyFont="1" applyBorder="1"/>
    <xf numFmtId="0" fontId="12" fillId="0" borderId="0" xfId="2" applyFont="1" applyBorder="1"/>
    <xf numFmtId="0" fontId="12" fillId="0" borderId="9" xfId="2" applyFont="1" applyBorder="1" applyAlignment="1">
      <alignment horizontal="left"/>
    </xf>
    <xf numFmtId="0" fontId="12" fillId="9" borderId="19" xfId="2" applyFont="1" applyFill="1" applyBorder="1" applyAlignment="1">
      <alignment horizontal="center"/>
    </xf>
    <xf numFmtId="0" fontId="12" fillId="0" borderId="16" xfId="2" applyFont="1" applyBorder="1" applyAlignment="1">
      <alignment horizontal="center"/>
    </xf>
    <xf numFmtId="0" fontId="17" fillId="8" borderId="0" xfId="2" applyFont="1" applyFill="1" applyAlignment="1">
      <alignment horizontal="centerContinuous"/>
    </xf>
    <xf numFmtId="0" fontId="12" fillId="0" borderId="8" xfId="2" applyFont="1" applyBorder="1"/>
    <xf numFmtId="0" fontId="12" fillId="0" borderId="15" xfId="2" applyFont="1" applyBorder="1"/>
    <xf numFmtId="0" fontId="12" fillId="0" borderId="14" xfId="2" applyFont="1" applyBorder="1"/>
    <xf numFmtId="0" fontId="12" fillId="0" borderId="13" xfId="2" applyFont="1" applyBorder="1" applyAlignment="1">
      <alignment horizontal="center"/>
    </xf>
    <xf numFmtId="0" fontId="12" fillId="0" borderId="17" xfId="2" applyFont="1" applyBorder="1"/>
    <xf numFmtId="44" fontId="12" fillId="0" borderId="16" xfId="9" applyFont="1" applyBorder="1"/>
    <xf numFmtId="0" fontId="12" fillId="0" borderId="9" xfId="2" applyFont="1" applyBorder="1"/>
    <xf numFmtId="0" fontId="24" fillId="12" borderId="11" xfId="3" applyFont="1" applyFill="1" applyBorder="1" applyAlignment="1">
      <alignment horizontal="centerContinuous"/>
    </xf>
    <xf numFmtId="0" fontId="12" fillId="12" borderId="21" xfId="2" applyFont="1" applyFill="1" applyBorder="1" applyAlignment="1">
      <alignment horizontal="centerContinuous"/>
    </xf>
    <xf numFmtId="0" fontId="12" fillId="12" borderId="25" xfId="2" applyFont="1" applyFill="1" applyBorder="1" applyAlignment="1">
      <alignment horizontal="centerContinuous"/>
    </xf>
    <xf numFmtId="0" fontId="24" fillId="0" borderId="10" xfId="3" applyFont="1" applyBorder="1" applyAlignment="1">
      <alignment horizontal="center"/>
    </xf>
    <xf numFmtId="0" fontId="24" fillId="0" borderId="18" xfId="3" applyFont="1" applyBorder="1" applyAlignment="1">
      <alignment horizontal="center"/>
    </xf>
    <xf numFmtId="0" fontId="21" fillId="0" borderId="11" xfId="3" applyFont="1" applyBorder="1" applyAlignment="1">
      <alignment horizontal="center"/>
    </xf>
    <xf numFmtId="8" fontId="21" fillId="0" borderId="11" xfId="3" applyNumberFormat="1" applyFont="1" applyBorder="1" applyAlignment="1">
      <alignment horizontal="center"/>
    </xf>
    <xf numFmtId="0" fontId="21" fillId="0" borderId="0" xfId="3" applyFont="1" applyAlignment="1">
      <alignment horizontal="center"/>
    </xf>
    <xf numFmtId="0" fontId="21" fillId="0" borderId="0" xfId="3" applyFont="1" applyAlignment="1">
      <alignment horizontal="centerContinuous"/>
    </xf>
    <xf numFmtId="0" fontId="24" fillId="7" borderId="10" xfId="3" applyFont="1" applyFill="1" applyBorder="1" applyAlignment="1">
      <alignment horizontal="center"/>
    </xf>
    <xf numFmtId="0" fontId="24" fillId="0" borderId="12" xfId="3" applyFont="1" applyBorder="1" applyAlignment="1">
      <alignment horizontal="center"/>
    </xf>
    <xf numFmtId="0" fontId="24" fillId="0" borderId="12" xfId="3" applyFont="1" applyBorder="1" applyAlignment="1">
      <alignment horizontal="centerContinuous"/>
    </xf>
    <xf numFmtId="0" fontId="24" fillId="0" borderId="11" xfId="3" applyFont="1" applyBorder="1" applyAlignment="1">
      <alignment horizontal="center"/>
    </xf>
    <xf numFmtId="169" fontId="21" fillId="0" borderId="11" xfId="9" applyNumberFormat="1" applyFont="1" applyBorder="1" applyAlignment="1">
      <alignment horizontal="center"/>
    </xf>
    <xf numFmtId="0" fontId="21" fillId="0" borderId="0" xfId="3" applyFont="1" applyFill="1" applyAlignment="1">
      <alignment horizontal="centerContinuous"/>
    </xf>
    <xf numFmtId="0" fontId="21" fillId="0" borderId="0" xfId="3" applyFont="1" applyFill="1" applyAlignment="1">
      <alignment horizontal="center"/>
    </xf>
    <xf numFmtId="0" fontId="24" fillId="0" borderId="0" xfId="3" applyFont="1" applyFill="1" applyBorder="1" applyAlignment="1">
      <alignment horizontal="center"/>
    </xf>
    <xf numFmtId="0" fontId="12" fillId="0" borderId="0" xfId="2" applyFont="1" applyBorder="1" applyAlignment="1">
      <alignment horizontal="left"/>
    </xf>
    <xf numFmtId="0" fontId="17" fillId="0" borderId="0" xfId="2" applyFont="1" applyBorder="1" applyAlignment="1">
      <alignment horizontal="centerContinuous"/>
    </xf>
    <xf numFmtId="0" fontId="17" fillId="0" borderId="16" xfId="2" applyFont="1" applyBorder="1" applyAlignment="1">
      <alignment horizontal="centerContinuous"/>
    </xf>
    <xf numFmtId="0" fontId="17" fillId="8" borderId="0" xfId="2" applyFont="1" applyFill="1" applyBorder="1" applyAlignment="1">
      <alignment horizontal="centerContinuous"/>
    </xf>
    <xf numFmtId="0" fontId="12" fillId="0" borderId="0" xfId="2" applyFont="1" applyBorder="1" applyAlignment="1">
      <alignment horizontal="right"/>
    </xf>
    <xf numFmtId="0" fontId="12" fillId="0" borderId="0" xfId="2" applyFont="1" applyBorder="1" applyAlignment="1">
      <alignment horizontal="center"/>
    </xf>
    <xf numFmtId="0" fontId="22" fillId="11" borderId="0" xfId="2" applyFont="1" applyFill="1" applyBorder="1" applyAlignment="1">
      <alignment horizontal="centerContinuous"/>
    </xf>
    <xf numFmtId="43" fontId="12" fillId="0" borderId="0" xfId="2" applyNumberFormat="1" applyFont="1" applyBorder="1"/>
    <xf numFmtId="44" fontId="12" fillId="0" borderId="0" xfId="9" applyFont="1" applyBorder="1"/>
    <xf numFmtId="0" fontId="12" fillId="0" borderId="11" xfId="2" applyFont="1" applyBorder="1"/>
    <xf numFmtId="0" fontId="17" fillId="14" borderId="22" xfId="2" applyFont="1" applyFill="1" applyBorder="1"/>
    <xf numFmtId="0" fontId="17" fillId="14" borderId="21" xfId="2" applyFont="1" applyFill="1" applyBorder="1"/>
    <xf numFmtId="44" fontId="17" fillId="14" borderId="21" xfId="5" applyFont="1" applyFill="1" applyBorder="1" applyAlignment="1">
      <alignment horizontal="center"/>
    </xf>
    <xf numFmtId="9" fontId="12" fillId="15" borderId="11" xfId="7" applyFont="1" applyFill="1" applyBorder="1" applyAlignment="1">
      <alignment horizontal="right"/>
    </xf>
    <xf numFmtId="0" fontId="12" fillId="15" borderId="11" xfId="2" applyFont="1" applyFill="1" applyBorder="1" applyAlignment="1">
      <alignment horizontal="right"/>
    </xf>
    <xf numFmtId="0" fontId="25" fillId="0" borderId="13" xfId="2" applyFont="1" applyBorder="1" applyAlignment="1">
      <alignment horizontal="center"/>
    </xf>
    <xf numFmtId="0" fontId="12" fillId="0" borderId="13" xfId="2" applyFont="1" applyBorder="1"/>
    <xf numFmtId="0" fontId="26" fillId="0" borderId="0" xfId="2" applyFont="1" applyBorder="1" applyAlignment="1">
      <alignment horizontal="center"/>
    </xf>
    <xf numFmtId="0" fontId="12" fillId="0" borderId="9" xfId="2" applyFont="1" applyBorder="1" applyAlignment="1">
      <alignment horizontal="center"/>
    </xf>
    <xf numFmtId="0" fontId="12" fillId="0" borderId="8" xfId="2" applyFont="1" applyBorder="1" applyAlignment="1">
      <alignment horizontal="center"/>
    </xf>
    <xf numFmtId="0" fontId="12" fillId="0" borderId="14" xfId="2" applyFont="1" applyBorder="1" applyAlignment="1">
      <alignment horizontal="center"/>
    </xf>
    <xf numFmtId="0" fontId="12" fillId="0" borderId="13" xfId="2" applyFont="1" applyBorder="1" applyAlignment="1">
      <alignment horizontal="right"/>
    </xf>
    <xf numFmtId="0" fontId="12" fillId="0" borderId="17" xfId="2" applyFont="1" applyBorder="1" applyAlignment="1">
      <alignment horizontal="right"/>
    </xf>
    <xf numFmtId="0" fontId="17" fillId="8" borderId="17" xfId="2" applyFont="1" applyFill="1" applyBorder="1" applyAlignment="1">
      <alignment horizontal="centerContinuous"/>
    </xf>
    <xf numFmtId="0" fontId="0" fillId="0" borderId="0" xfId="0" applyBorder="1"/>
    <xf numFmtId="0" fontId="23" fillId="0" borderId="0" xfId="2" applyFont="1" applyBorder="1" applyAlignment="1">
      <alignment horizontal="center"/>
    </xf>
    <xf numFmtId="44" fontId="17" fillId="14" borderId="25" xfId="5" applyFont="1" applyFill="1" applyBorder="1" applyAlignment="1">
      <alignment horizontal="center"/>
    </xf>
    <xf numFmtId="0" fontId="0" fillId="0" borderId="16" xfId="0" applyBorder="1"/>
    <xf numFmtId="0" fontId="17" fillId="13" borderId="26" xfId="2" applyFont="1" applyFill="1" applyBorder="1"/>
    <xf numFmtId="170" fontId="17" fillId="13" borderId="27" xfId="2" applyNumberFormat="1" applyFont="1" applyFill="1" applyBorder="1"/>
    <xf numFmtId="44" fontId="17" fillId="13" borderId="28" xfId="5" applyFont="1" applyFill="1" applyBorder="1" applyAlignment="1">
      <alignment horizontal="center"/>
    </xf>
    <xf numFmtId="44" fontId="12" fillId="16" borderId="11" xfId="5" applyFont="1" applyFill="1" applyBorder="1" applyAlignment="1">
      <alignment horizontal="right"/>
    </xf>
    <xf numFmtId="9" fontId="12" fillId="16" borderId="24" xfId="7" applyFont="1" applyFill="1" applyBorder="1" applyAlignment="1">
      <alignment horizontal="right"/>
    </xf>
    <xf numFmtId="9" fontId="12" fillId="16" borderId="11" xfId="7" applyFont="1" applyFill="1" applyBorder="1" applyAlignment="1">
      <alignment horizontal="right"/>
    </xf>
    <xf numFmtId="0" fontId="12" fillId="16" borderId="11" xfId="2" applyFont="1" applyFill="1" applyBorder="1"/>
    <xf numFmtId="166" fontId="12" fillId="16" borderId="11" xfId="6" applyNumberFormat="1" applyFont="1" applyFill="1" applyBorder="1" applyAlignment="1">
      <alignment horizontal="center"/>
    </xf>
    <xf numFmtId="166" fontId="12" fillId="16" borderId="12" xfId="6" applyNumberFormat="1" applyFont="1" applyFill="1" applyBorder="1" applyAlignment="1">
      <alignment horizontal="center"/>
    </xf>
    <xf numFmtId="0" fontId="12" fillId="0" borderId="0" xfId="2" applyFont="1" applyFill="1" applyBorder="1"/>
    <xf numFmtId="165" fontId="12" fillId="0" borderId="0" xfId="2" applyNumberFormat="1" applyFont="1" applyFill="1" applyBorder="1"/>
    <xf numFmtId="44" fontId="12" fillId="0" borderId="16" xfId="5" applyFont="1" applyFill="1" applyBorder="1" applyAlignment="1">
      <alignment horizontal="center"/>
    </xf>
    <xf numFmtId="166" fontId="12" fillId="0" borderId="0" xfId="2" applyNumberFormat="1" applyFont="1" applyFill="1" applyBorder="1"/>
    <xf numFmtId="0" fontId="27" fillId="6" borderId="11" xfId="2" applyFont="1" applyFill="1" applyBorder="1" applyAlignment="1">
      <alignment horizontal="right"/>
    </xf>
    <xf numFmtId="44" fontId="28" fillId="6" borderId="19" xfId="5" applyFont="1" applyFill="1" applyBorder="1" applyAlignment="1">
      <alignment horizontal="right"/>
    </xf>
    <xf numFmtId="166" fontId="27" fillId="6" borderId="11" xfId="6" applyNumberFormat="1" applyFont="1" applyFill="1" applyBorder="1" applyAlignment="1">
      <alignment horizontal="center"/>
    </xf>
    <xf numFmtId="166" fontId="17" fillId="14" borderId="21" xfId="8" applyNumberFormat="1" applyFont="1" applyFill="1" applyBorder="1" applyAlignment="1">
      <alignment horizontal="center"/>
    </xf>
    <xf numFmtId="44" fontId="12" fillId="16" borderId="11" xfId="9" applyFont="1" applyFill="1" applyBorder="1" applyAlignment="1">
      <alignment horizontal="center"/>
    </xf>
    <xf numFmtId="43" fontId="12" fillId="0" borderId="0" xfId="2" applyNumberFormat="1" applyFont="1" applyBorder="1" applyAlignment="1">
      <alignment horizontal="center"/>
    </xf>
    <xf numFmtId="44" fontId="17" fillId="13" borderId="27" xfId="5" applyFont="1" applyFill="1" applyBorder="1" applyAlignment="1">
      <alignment horizontal="center"/>
    </xf>
    <xf numFmtId="0" fontId="17" fillId="13" borderId="27" xfId="2" applyFont="1" applyFill="1" applyBorder="1"/>
    <xf numFmtId="0" fontId="0" fillId="17" borderId="0" xfId="0" applyFill="1"/>
    <xf numFmtId="7" fontId="12" fillId="0" borderId="0" xfId="2" applyNumberFormat="1" applyFont="1"/>
    <xf numFmtId="2" fontId="12" fillId="0" borderId="11" xfId="2" applyNumberFormat="1" applyFont="1" applyBorder="1"/>
    <xf numFmtId="2" fontId="19" fillId="10" borderId="11" xfId="2" applyNumberFormat="1" applyFont="1" applyFill="1" applyBorder="1"/>
    <xf numFmtId="44" fontId="12" fillId="0" borderId="11" xfId="5" applyFont="1" applyBorder="1"/>
    <xf numFmtId="0" fontId="12" fillId="0" borderId="11" xfId="2" applyFont="1" applyBorder="1" applyAlignment="1" applyProtection="1">
      <alignment horizontal="center"/>
      <protection locked="0"/>
    </xf>
    <xf numFmtId="167" fontId="17" fillId="13" borderId="28" xfId="5" applyNumberFormat="1" applyFont="1" applyFill="1" applyBorder="1" applyAlignment="1">
      <alignment horizontal="center"/>
    </xf>
    <xf numFmtId="167" fontId="12" fillId="0" borderId="16" xfId="5" applyNumberFormat="1" applyFont="1" applyFill="1" applyBorder="1" applyAlignment="1">
      <alignment horizontal="center"/>
    </xf>
    <xf numFmtId="43" fontId="12" fillId="16" borderId="11" xfId="6" applyNumberFormat="1" applyFont="1" applyFill="1" applyBorder="1" applyAlignment="1">
      <alignment horizontal="center"/>
    </xf>
    <xf numFmtId="175" fontId="12" fillId="16" borderId="11" xfId="5" applyNumberFormat="1" applyFont="1" applyFill="1" applyBorder="1" applyAlignment="1">
      <alignment horizontal="right"/>
    </xf>
    <xf numFmtId="0" fontId="29" fillId="0" borderId="11" xfId="2" applyFont="1" applyBorder="1" applyAlignment="1" applyProtection="1">
      <alignment horizontal="center"/>
      <protection locked="0"/>
    </xf>
    <xf numFmtId="166" fontId="17" fillId="13" borderId="27" xfId="2" applyNumberFormat="1" applyFont="1" applyFill="1" applyBorder="1"/>
    <xf numFmtId="0" fontId="16" fillId="18" borderId="0" xfId="0" applyFont="1" applyFill="1"/>
    <xf numFmtId="0" fontId="17" fillId="8" borderId="12" xfId="2" applyFont="1" applyFill="1" applyBorder="1" applyAlignment="1">
      <alignment horizontal="centerContinuous"/>
    </xf>
    <xf numFmtId="0" fontId="12" fillId="0" borderId="18" xfId="2" applyFont="1" applyBorder="1"/>
    <xf numFmtId="0" fontId="12" fillId="0" borderId="10" xfId="2" applyFont="1" applyBorder="1"/>
    <xf numFmtId="0" fontId="12" fillId="0" borderId="12" xfId="2" applyFont="1" applyBorder="1"/>
    <xf numFmtId="0" fontId="21" fillId="0" borderId="11" xfId="4" applyFont="1" applyBorder="1"/>
    <xf numFmtId="0" fontId="20" fillId="0" borderId="11" xfId="0" applyFont="1" applyBorder="1"/>
    <xf numFmtId="0" fontId="20" fillId="0" borderId="12" xfId="0" applyFont="1" applyBorder="1"/>
    <xf numFmtId="0" fontId="20" fillId="0" borderId="18" xfId="0" applyFont="1" applyBorder="1"/>
    <xf numFmtId="0" fontId="20" fillId="0" borderId="11" xfId="0" applyFont="1" applyBorder="1" applyAlignment="1">
      <alignment horizontal="right"/>
    </xf>
    <xf numFmtId="9" fontId="20" fillId="0" borderId="11" xfId="1" applyFont="1" applyBorder="1" applyAlignment="1">
      <alignment horizontal="right"/>
    </xf>
    <xf numFmtId="0" fontId="31" fillId="19" borderId="29" xfId="0" applyFont="1" applyFill="1" applyBorder="1" applyAlignment="1">
      <alignment horizontal="center" vertical="center"/>
    </xf>
    <xf numFmtId="0" fontId="31" fillId="19" borderId="30" xfId="0" applyFont="1" applyFill="1" applyBorder="1" applyAlignment="1">
      <alignment horizontal="center" vertical="center"/>
    </xf>
    <xf numFmtId="0" fontId="31" fillId="19" borderId="31" xfId="0" applyFont="1" applyFill="1" applyBorder="1" applyAlignment="1">
      <alignment horizontal="center" vertical="center"/>
    </xf>
    <xf numFmtId="0" fontId="11" fillId="0" borderId="0" xfId="0" applyFont="1" applyAlignment="1">
      <alignment horizontal="center"/>
    </xf>
    <xf numFmtId="0" fontId="32" fillId="0" borderId="0" xfId="0" applyFont="1" applyAlignment="1">
      <alignment horizontal="center" vertical="center"/>
    </xf>
    <xf numFmtId="0" fontId="33" fillId="0" borderId="32" xfId="0" applyFont="1" applyBorder="1" applyAlignment="1">
      <alignment horizontal="center" vertical="center"/>
    </xf>
    <xf numFmtId="0" fontId="33" fillId="0" borderId="0" xfId="0" applyFont="1" applyAlignment="1">
      <alignment horizontal="center" vertical="center"/>
    </xf>
    <xf numFmtId="0" fontId="33" fillId="0" borderId="33" xfId="0" applyFont="1" applyBorder="1" applyAlignment="1">
      <alignment horizontal="center" vertical="center"/>
    </xf>
    <xf numFmtId="0" fontId="0" fillId="0" borderId="0" xfId="0" applyAlignment="1">
      <alignment horizontal="center"/>
    </xf>
    <xf numFmtId="0" fontId="33" fillId="0" borderId="20" xfId="0" applyFont="1" applyBorder="1" applyAlignment="1">
      <alignment horizontal="center" vertical="center"/>
    </xf>
    <xf numFmtId="0" fontId="33" fillId="0" borderId="34" xfId="0" applyFont="1" applyBorder="1" applyAlignment="1">
      <alignment horizontal="center" vertical="center"/>
    </xf>
    <xf numFmtId="0" fontId="33" fillId="0" borderId="35" xfId="0" applyFont="1" applyBorder="1" applyAlignment="1">
      <alignment horizontal="center" vertical="center"/>
    </xf>
    <xf numFmtId="0" fontId="34" fillId="0" borderId="0" xfId="0" applyFont="1" applyAlignment="1">
      <alignment horizontal="center"/>
    </xf>
    <xf numFmtId="0" fontId="31" fillId="0" borderId="0" xfId="0" applyFont="1"/>
    <xf numFmtId="0" fontId="35" fillId="0" borderId="0" xfId="0" applyFont="1" applyAlignment="1">
      <alignment horizontal="right"/>
    </xf>
    <xf numFmtId="0" fontId="31" fillId="0" borderId="8" xfId="0" applyFont="1" applyBorder="1" applyAlignment="1">
      <alignment horizontal="left"/>
    </xf>
    <xf numFmtId="14" fontId="31" fillId="0" borderId="8" xfId="0" applyNumberFormat="1" applyFont="1" applyBorder="1" applyAlignment="1">
      <alignment horizontal="left"/>
    </xf>
    <xf numFmtId="0" fontId="31" fillId="0" borderId="14" xfId="0" applyFont="1" applyBorder="1" applyAlignment="1">
      <alignment horizontal="center"/>
    </xf>
    <xf numFmtId="0" fontId="31" fillId="0" borderId="13" xfId="0" applyFont="1" applyBorder="1" applyAlignment="1">
      <alignment horizontal="center"/>
    </xf>
    <xf numFmtId="0" fontId="31" fillId="0" borderId="17" xfId="0" applyFont="1" applyBorder="1" applyAlignment="1">
      <alignment horizontal="center"/>
    </xf>
    <xf numFmtId="0" fontId="0" fillId="0" borderId="7" xfId="0" applyBorder="1" applyAlignment="1">
      <alignment horizontal="center" vertical="top" wrapText="1"/>
    </xf>
    <xf numFmtId="0" fontId="0" fillId="0" borderId="0" xfId="0" applyAlignment="1">
      <alignment horizontal="center" vertical="top" wrapText="1"/>
    </xf>
    <xf numFmtId="0" fontId="0" fillId="0" borderId="16" xfId="0" applyBorder="1" applyAlignment="1">
      <alignment horizontal="center" vertical="top" wrapText="1"/>
    </xf>
    <xf numFmtId="0" fontId="0" fillId="0" borderId="9" xfId="0" applyBorder="1" applyAlignment="1">
      <alignment horizontal="center" vertical="top" wrapText="1"/>
    </xf>
    <xf numFmtId="0" fontId="0" fillId="0" borderId="8" xfId="0" applyBorder="1" applyAlignment="1">
      <alignment horizontal="center" vertical="top" wrapText="1"/>
    </xf>
    <xf numFmtId="0" fontId="0" fillId="0" borderId="15" xfId="0" applyBorder="1" applyAlignment="1">
      <alignment horizontal="center" vertical="top" wrapText="1"/>
    </xf>
    <xf numFmtId="0" fontId="0" fillId="0" borderId="0" xfId="0" applyAlignment="1">
      <alignment vertical="top" wrapText="1"/>
    </xf>
    <xf numFmtId="0" fontId="35" fillId="0" borderId="0" xfId="0" applyFont="1" applyAlignment="1">
      <alignment horizontal="right" vertical="top" wrapText="1"/>
    </xf>
    <xf numFmtId="0" fontId="31" fillId="0" borderId="8" xfId="0" applyFont="1" applyBorder="1" applyAlignment="1">
      <alignment horizontal="left" vertical="top" wrapText="1"/>
    </xf>
    <xf numFmtId="0" fontId="0" fillId="0" borderId="0" xfId="0" applyAlignment="1">
      <alignment horizontal="center" wrapText="1"/>
    </xf>
    <xf numFmtId="0" fontId="0" fillId="0" borderId="8" xfId="0" applyBorder="1" applyAlignment="1">
      <alignment horizontal="left" vertical="top" wrapText="1"/>
    </xf>
    <xf numFmtId="0" fontId="31" fillId="0" borderId="34" xfId="0" applyFont="1" applyBorder="1"/>
    <xf numFmtId="0" fontId="0" fillId="0" borderId="0" xfId="0" applyAlignment="1">
      <alignment horizontal="center"/>
    </xf>
    <xf numFmtId="0" fontId="30" fillId="0" borderId="8" xfId="10" applyBorder="1" applyAlignment="1">
      <alignment horizontal="left"/>
    </xf>
    <xf numFmtId="0" fontId="0" fillId="0" borderId="8" xfId="0" applyBorder="1" applyAlignment="1">
      <alignment horizontal="left"/>
    </xf>
    <xf numFmtId="0" fontId="36" fillId="0" borderId="0" xfId="0" applyFont="1" applyAlignment="1">
      <alignment horizontal="center"/>
    </xf>
    <xf numFmtId="0" fontId="37" fillId="0" borderId="29" xfId="0" applyFont="1" applyBorder="1" applyAlignment="1">
      <alignment horizontal="center"/>
    </xf>
    <xf numFmtId="0" fontId="37" fillId="0" borderId="31" xfId="0" applyFont="1" applyBorder="1" applyAlignment="1">
      <alignment horizontal="center"/>
    </xf>
    <xf numFmtId="0" fontId="37" fillId="0" borderId="30" xfId="0" applyFont="1" applyBorder="1" applyAlignment="1">
      <alignment horizontal="center"/>
    </xf>
    <xf numFmtId="0" fontId="37" fillId="0" borderId="36" xfId="0" applyFont="1" applyBorder="1" applyAlignment="1">
      <alignment horizontal="center"/>
    </xf>
    <xf numFmtId="0" fontId="31" fillId="0" borderId="37" xfId="0" applyFont="1" applyBorder="1" applyAlignment="1">
      <alignment horizontal="center"/>
    </xf>
    <xf numFmtId="0" fontId="31" fillId="0" borderId="38" xfId="0" applyFont="1" applyBorder="1" applyAlignment="1">
      <alignment horizontal="center"/>
    </xf>
    <xf numFmtId="0" fontId="31" fillId="0" borderId="39" xfId="0" applyFont="1" applyBorder="1" applyAlignment="1">
      <alignment horizontal="center"/>
    </xf>
    <xf numFmtId="0" fontId="31" fillId="0" borderId="40" xfId="0" applyFont="1" applyBorder="1" applyAlignment="1">
      <alignment horizontal="center"/>
    </xf>
    <xf numFmtId="0" fontId="31" fillId="0" borderId="41" xfId="0" applyFont="1" applyBorder="1" applyAlignment="1">
      <alignment horizontal="center"/>
    </xf>
    <xf numFmtId="0" fontId="31" fillId="0" borderId="38" xfId="0" applyFont="1" applyBorder="1" applyAlignment="1">
      <alignment horizontal="center"/>
    </xf>
    <xf numFmtId="44" fontId="31" fillId="0" borderId="38" xfId="9" applyFont="1" applyBorder="1" applyAlignment="1">
      <alignment horizontal="center"/>
    </xf>
    <xf numFmtId="44" fontId="31" fillId="0" borderId="39" xfId="9" applyFont="1" applyBorder="1" applyAlignment="1">
      <alignment horizontal="center"/>
    </xf>
    <xf numFmtId="44" fontId="31" fillId="0" borderId="42" xfId="9" applyFont="1" applyBorder="1" applyAlignment="1">
      <alignment horizontal="center"/>
    </xf>
    <xf numFmtId="0" fontId="31" fillId="0" borderId="43" xfId="0" applyFont="1" applyBorder="1" applyAlignment="1">
      <alignment horizontal="center"/>
    </xf>
    <xf numFmtId="0" fontId="31" fillId="0" borderId="11" xfId="0" applyFont="1" applyBorder="1" applyAlignment="1">
      <alignment horizontal="center"/>
    </xf>
    <xf numFmtId="0" fontId="31" fillId="0" borderId="22" xfId="0" applyFont="1" applyBorder="1" applyAlignment="1">
      <alignment horizontal="center"/>
    </xf>
    <xf numFmtId="0" fontId="31" fillId="0" borderId="21" xfId="0" applyFont="1" applyBorder="1" applyAlignment="1">
      <alignment horizontal="center"/>
    </xf>
    <xf numFmtId="0" fontId="31" fillId="0" borderId="25" xfId="0" applyFont="1" applyBorder="1" applyAlignment="1">
      <alignment horizontal="center"/>
    </xf>
    <xf numFmtId="0" fontId="31" fillId="0" borderId="11" xfId="0" applyFont="1" applyBorder="1" applyAlignment="1">
      <alignment horizontal="center"/>
    </xf>
    <xf numFmtId="44" fontId="31" fillId="0" borderId="22" xfId="9" applyFont="1" applyBorder="1" applyAlignment="1">
      <alignment horizontal="center"/>
    </xf>
    <xf numFmtId="44" fontId="31" fillId="0" borderId="25" xfId="9" applyFont="1" applyBorder="1" applyAlignment="1">
      <alignment horizontal="center"/>
    </xf>
    <xf numFmtId="44" fontId="31" fillId="0" borderId="44" xfId="9" applyFont="1" applyBorder="1" applyAlignment="1">
      <alignment horizontal="center"/>
    </xf>
    <xf numFmtId="0" fontId="31" fillId="0" borderId="45" xfId="0" applyFont="1" applyBorder="1" applyAlignment="1">
      <alignment horizontal="center"/>
    </xf>
    <xf numFmtId="0" fontId="31" fillId="0" borderId="46" xfId="0" applyFont="1" applyBorder="1" applyAlignment="1">
      <alignment horizontal="center"/>
    </xf>
    <xf numFmtId="0" fontId="31" fillId="0" borderId="47" xfId="0" applyFont="1" applyBorder="1" applyAlignment="1">
      <alignment horizontal="center"/>
    </xf>
    <xf numFmtId="0" fontId="31" fillId="0" borderId="48" xfId="0" applyFont="1" applyBorder="1" applyAlignment="1">
      <alignment horizontal="center"/>
    </xf>
    <xf numFmtId="0" fontId="31" fillId="0" borderId="49" xfId="0" applyFont="1" applyBorder="1" applyAlignment="1">
      <alignment horizontal="center"/>
    </xf>
    <xf numFmtId="0" fontId="31" fillId="0" borderId="46" xfId="0" applyFont="1" applyBorder="1" applyAlignment="1">
      <alignment horizontal="center"/>
    </xf>
    <xf numFmtId="44" fontId="31" fillId="0" borderId="47" xfId="9" applyFont="1" applyBorder="1" applyAlignment="1">
      <alignment horizontal="center"/>
    </xf>
    <xf numFmtId="44" fontId="31" fillId="0" borderId="49" xfId="9" applyFont="1" applyBorder="1" applyAlignment="1">
      <alignment horizontal="center"/>
    </xf>
    <xf numFmtId="44" fontId="31" fillId="0" borderId="50" xfId="9" applyFont="1" applyBorder="1" applyAlignment="1">
      <alignment horizontal="center"/>
    </xf>
    <xf numFmtId="0" fontId="36" fillId="0" borderId="0" xfId="0" applyFont="1" applyAlignment="1">
      <alignment vertical="top"/>
    </xf>
    <xf numFmtId="0" fontId="31" fillId="0" borderId="0" xfId="0" applyFont="1" applyAlignment="1">
      <alignment horizontal="center" vertical="center"/>
    </xf>
    <xf numFmtId="0" fontId="31" fillId="0" borderId="0" xfId="0" applyFont="1" applyAlignment="1">
      <alignment horizontal="center" vertical="center"/>
    </xf>
    <xf numFmtId="0" fontId="0" fillId="0" borderId="0" xfId="0" applyAlignment="1">
      <alignment horizontal="right"/>
    </xf>
    <xf numFmtId="0" fontId="31" fillId="0" borderId="0" xfId="0" applyFont="1" applyAlignment="1">
      <alignment horizontal="right"/>
    </xf>
    <xf numFmtId="0" fontId="0" fillId="0" borderId="8" xfId="0" applyBorder="1"/>
    <xf numFmtId="0" fontId="31" fillId="0" borderId="0" xfId="0" applyFont="1" applyAlignment="1">
      <alignment horizontal="right"/>
    </xf>
    <xf numFmtId="0" fontId="34" fillId="0" borderId="0" xfId="0" applyFont="1" applyAlignment="1">
      <alignment horizontal="left"/>
    </xf>
    <xf numFmtId="0" fontId="38" fillId="0" borderId="0" xfId="0" applyFont="1"/>
    <xf numFmtId="0" fontId="39" fillId="0" borderId="0" xfId="0" applyFont="1"/>
    <xf numFmtId="8" fontId="31" fillId="0" borderId="0" xfId="0" applyNumberFormat="1" applyFont="1"/>
    <xf numFmtId="0" fontId="36" fillId="0" borderId="0" xfId="0" applyFont="1"/>
    <xf numFmtId="0" fontId="40" fillId="0" borderId="0" xfId="0" applyFont="1"/>
    <xf numFmtId="0" fontId="42" fillId="0" borderId="0" xfId="0" applyFont="1"/>
    <xf numFmtId="0" fontId="44" fillId="0" borderId="0" xfId="0" applyFont="1"/>
    <xf numFmtId="0" fontId="46" fillId="0" borderId="0" xfId="0" applyFont="1" applyAlignment="1">
      <alignment horizontal="center" vertical="top" wrapText="1"/>
    </xf>
    <xf numFmtId="167" fontId="12" fillId="0" borderId="0" xfId="2" applyNumberFormat="1" applyFont="1"/>
    <xf numFmtId="0" fontId="12" fillId="0" borderId="0" xfId="2" applyFont="1" applyAlignment="1">
      <alignment horizontal="right"/>
    </xf>
    <xf numFmtId="9" fontId="17" fillId="13" borderId="27" xfId="1" applyFont="1" applyFill="1" applyBorder="1"/>
    <xf numFmtId="167" fontId="17" fillId="13" borderId="27" xfId="9" applyNumberFormat="1" applyFont="1" applyFill="1" applyBorder="1"/>
    <xf numFmtId="177" fontId="12" fillId="16" borderId="11" xfId="6" applyNumberFormat="1" applyFont="1" applyFill="1" applyBorder="1" applyAlignment="1">
      <alignment horizontal="center"/>
    </xf>
    <xf numFmtId="167" fontId="17" fillId="13" borderId="27" xfId="9" applyNumberFormat="1" applyFont="1" applyFill="1" applyBorder="1" applyAlignment="1">
      <alignment horizontal="center"/>
    </xf>
    <xf numFmtId="166" fontId="27" fillId="6" borderId="11" xfId="6" applyNumberFormat="1" applyFont="1" applyFill="1" applyBorder="1" applyAlignment="1">
      <alignment horizontal="right"/>
    </xf>
    <xf numFmtId="44" fontId="27" fillId="6" borderId="23" xfId="5" applyFont="1" applyFill="1" applyBorder="1" applyAlignment="1">
      <alignment horizontal="right"/>
    </xf>
    <xf numFmtId="44" fontId="27" fillId="6" borderId="19" xfId="5" applyFont="1" applyFill="1" applyBorder="1" applyAlignment="1">
      <alignment horizontal="right"/>
    </xf>
    <xf numFmtId="166" fontId="27" fillId="6" borderId="11" xfId="6" applyNumberFormat="1" applyFont="1" applyFill="1" applyBorder="1" applyAlignment="1"/>
    <xf numFmtId="14" fontId="27" fillId="6" borderId="11" xfId="2" applyNumberFormat="1" applyFont="1" applyFill="1" applyBorder="1" applyAlignment="1">
      <alignment horizontal="right"/>
    </xf>
    <xf numFmtId="166" fontId="17" fillId="13" borderId="27" xfId="8" applyNumberFormat="1" applyFont="1" applyFill="1" applyBorder="1"/>
    <xf numFmtId="167" fontId="12" fillId="0" borderId="11" xfId="5" applyNumberFormat="1" applyFont="1" applyBorder="1"/>
    <xf numFmtId="0" fontId="12" fillId="0" borderId="14" xfId="2" applyFont="1" applyBorder="1" applyAlignment="1">
      <alignment horizontal="left"/>
    </xf>
    <xf numFmtId="9" fontId="27" fillId="6" borderId="11" xfId="1" applyFont="1" applyFill="1" applyBorder="1" applyAlignment="1">
      <alignment horizontal="right"/>
    </xf>
    <xf numFmtId="9" fontId="28" fillId="6" borderId="11" xfId="1" applyFont="1" applyFill="1" applyBorder="1" applyAlignment="1"/>
    <xf numFmtId="167" fontId="12" fillId="0" borderId="0" xfId="2" applyNumberFormat="1" applyFont="1" applyBorder="1"/>
    <xf numFmtId="9" fontId="12" fillId="0" borderId="0" xfId="1" applyFont="1" applyBorder="1" applyAlignment="1">
      <alignment horizontal="right"/>
    </xf>
    <xf numFmtId="0" fontId="17" fillId="13" borderId="51" xfId="2" applyFont="1" applyFill="1" applyBorder="1"/>
    <xf numFmtId="9" fontId="17" fillId="13" borderId="52" xfId="1" applyFont="1" applyFill="1" applyBorder="1" applyAlignment="1"/>
    <xf numFmtId="0" fontId="12" fillId="0" borderId="16" xfId="2" applyFont="1" applyBorder="1" applyAlignment="1"/>
    <xf numFmtId="167" fontId="12" fillId="0" borderId="0" xfId="9" applyNumberFormat="1" applyFont="1" applyBorder="1"/>
    <xf numFmtId="0" fontId="0" fillId="0" borderId="16" xfId="0" applyBorder="1" applyAlignment="1"/>
    <xf numFmtId="0" fontId="0" fillId="0" borderId="7" xfId="0" applyBorder="1"/>
    <xf numFmtId="0" fontId="22" fillId="11" borderId="22" xfId="2" applyFont="1" applyFill="1" applyBorder="1" applyAlignment="1">
      <alignment horizontal="centerContinuous"/>
    </xf>
    <xf numFmtId="0" fontId="22" fillId="11" borderId="21" xfId="2" applyFont="1" applyFill="1" applyBorder="1" applyAlignment="1">
      <alignment horizontal="centerContinuous"/>
    </xf>
    <xf numFmtId="0" fontId="22" fillId="11" borderId="25" xfId="2" applyFont="1" applyFill="1" applyBorder="1" applyAlignment="1">
      <alignment horizontal="centerContinuous"/>
    </xf>
    <xf numFmtId="9" fontId="27" fillId="6" borderId="11" xfId="1" applyFont="1" applyFill="1" applyBorder="1" applyAlignment="1"/>
    <xf numFmtId="0" fontId="5" fillId="4" borderId="5" xfId="0" applyFont="1" applyFill="1" applyBorder="1" applyAlignment="1">
      <alignment horizontal="centerContinuous"/>
    </xf>
    <xf numFmtId="177" fontId="27" fillId="6" borderId="11" xfId="6" applyNumberFormat="1" applyFont="1" applyFill="1" applyBorder="1" applyAlignment="1">
      <alignment horizontal="center"/>
    </xf>
    <xf numFmtId="0" fontId="12" fillId="0" borderId="18" xfId="2" applyFont="1" applyBorder="1" applyAlignment="1">
      <alignment horizontal="left"/>
    </xf>
    <xf numFmtId="0" fontId="12" fillId="0" borderId="53" xfId="2" applyFont="1" applyBorder="1" applyAlignment="1">
      <alignment horizontal="left"/>
    </xf>
    <xf numFmtId="175" fontId="12" fillId="0" borderId="0" xfId="9" applyNumberFormat="1" applyFont="1" applyBorder="1"/>
    <xf numFmtId="175" fontId="12" fillId="0" borderId="10" xfId="9" applyNumberFormat="1" applyFont="1" applyBorder="1"/>
    <xf numFmtId="9" fontId="12" fillId="0" borderId="8" xfId="1" applyFont="1" applyBorder="1"/>
    <xf numFmtId="167" fontId="12" fillId="0" borderId="0" xfId="9" applyNumberFormat="1" applyFont="1" applyBorder="1" applyAlignment="1">
      <alignment horizontal="right"/>
    </xf>
    <xf numFmtId="43" fontId="12" fillId="0" borderId="7" xfId="8" applyFont="1" applyBorder="1"/>
    <xf numFmtId="167" fontId="12" fillId="0" borderId="22" xfId="5" applyNumberFormat="1" applyFont="1" applyBorder="1"/>
    <xf numFmtId="0" fontId="17" fillId="13" borderId="54" xfId="2" applyFont="1" applyFill="1" applyBorder="1"/>
    <xf numFmtId="167" fontId="17" fillId="13" borderId="55" xfId="9" applyNumberFormat="1" applyFont="1" applyFill="1" applyBorder="1"/>
    <xf numFmtId="167" fontId="17" fillId="13" borderId="55" xfId="9" applyNumberFormat="1" applyFont="1" applyFill="1" applyBorder="1" applyAlignment="1">
      <alignment horizontal="center"/>
    </xf>
    <xf numFmtId="9" fontId="17" fillId="13" borderId="55" xfId="1" applyFont="1" applyFill="1" applyBorder="1"/>
    <xf numFmtId="9" fontId="17" fillId="13" borderId="56" xfId="1" applyFont="1" applyFill="1" applyBorder="1" applyAlignment="1"/>
    <xf numFmtId="0" fontId="17" fillId="13" borderId="57" xfId="2" applyFont="1" applyFill="1" applyBorder="1"/>
    <xf numFmtId="167" fontId="17" fillId="13" borderId="58" xfId="9" applyNumberFormat="1" applyFont="1" applyFill="1" applyBorder="1"/>
    <xf numFmtId="167" fontId="17" fillId="13" borderId="58" xfId="9" applyNumberFormat="1" applyFont="1" applyFill="1" applyBorder="1" applyAlignment="1">
      <alignment horizontal="center"/>
    </xf>
    <xf numFmtId="9" fontId="17" fillId="13" borderId="58" xfId="1" applyFont="1" applyFill="1" applyBorder="1"/>
    <xf numFmtId="9" fontId="17" fillId="13" borderId="59" xfId="1" applyFont="1" applyFill="1" applyBorder="1" applyAlignment="1"/>
    <xf numFmtId="0" fontId="12" fillId="0" borderId="17" xfId="2" applyFont="1" applyBorder="1" applyAlignment="1"/>
    <xf numFmtId="167" fontId="12" fillId="0" borderId="8" xfId="9" applyNumberFormat="1" applyFont="1" applyBorder="1"/>
    <xf numFmtId="9" fontId="12" fillId="0" borderId="8" xfId="1" applyFont="1" applyBorder="1" applyAlignment="1">
      <alignment horizontal="right"/>
    </xf>
    <xf numFmtId="0" fontId="12" fillId="0" borderId="13" xfId="2" applyFont="1" applyBorder="1" applyAlignment="1">
      <alignment horizontal="left"/>
    </xf>
    <xf numFmtId="167" fontId="12" fillId="0" borderId="16" xfId="9" applyNumberFormat="1" applyFont="1" applyBorder="1"/>
    <xf numFmtId="0" fontId="4" fillId="0" borderId="5" xfId="0" applyFont="1" applyBorder="1"/>
    <xf numFmtId="9" fontId="12" fillId="0" borderId="0" xfId="1" applyFont="1" applyBorder="1"/>
    <xf numFmtId="9" fontId="7" fillId="0" borderId="6" xfId="0" applyNumberFormat="1" applyFont="1" applyBorder="1"/>
    <xf numFmtId="178" fontId="12" fillId="0" borderId="0" xfId="2" applyNumberFormat="1" applyFont="1" applyBorder="1"/>
    <xf numFmtId="0" fontId="2" fillId="0" borderId="6" xfId="0" applyFont="1" applyBorder="1" applyAlignment="1">
      <alignment horizontal="right"/>
    </xf>
    <xf numFmtId="167" fontId="7" fillId="0" borderId="6" xfId="9" applyNumberFormat="1" applyFont="1" applyBorder="1"/>
    <xf numFmtId="9" fontId="7" fillId="0" borderId="6" xfId="1" applyFont="1" applyBorder="1"/>
    <xf numFmtId="167" fontId="12" fillId="0" borderId="15" xfId="9" applyNumberFormat="1" applyFont="1" applyBorder="1"/>
    <xf numFmtId="168" fontId="17" fillId="13" borderId="27" xfId="1" applyNumberFormat="1" applyFont="1" applyFill="1" applyBorder="1"/>
  </cellXfs>
  <cellStyles count="11">
    <cellStyle name="Comma" xfId="8" builtinId="3"/>
    <cellStyle name="Comma 2" xfId="6" xr:uid="{A8EA3930-E786-40AB-81D3-9C1E6C7A21B9}"/>
    <cellStyle name="Currency" xfId="9" builtinId="4"/>
    <cellStyle name="Currency 2" xfId="5" xr:uid="{3AE09F53-B46E-4B20-9A83-ABB3B4018606}"/>
    <cellStyle name="Hyperlink" xfId="10" builtinId="8"/>
    <cellStyle name="Normal" xfId="0" builtinId="0"/>
    <cellStyle name="Normal 2" xfId="2" xr:uid="{A4C09CCA-0AE6-47D3-B020-9A5C94A274E5}"/>
    <cellStyle name="Normal 2 2" xfId="4" xr:uid="{1355CD87-6D4B-477B-BB70-C10CB416C7C0}"/>
    <cellStyle name="Normal 3" xfId="3" xr:uid="{48941829-D85F-4022-940A-9FE201C5C2FB}"/>
    <cellStyle name="Percent" xfId="1" builtinId="5"/>
    <cellStyle name="Percent 2" xfId="7" xr:uid="{630946A7-3DE2-4F2D-89DD-A3FD423260F7}"/>
  </cellStyles>
  <dxfs count="1">
    <dxf>
      <font>
        <color rgb="FF006100"/>
      </font>
      <fill>
        <patternFill patternType="solid">
          <fgColor rgb="FFC6EFCE"/>
          <bgColor rgb="FFC6EFCE"/>
        </patternFill>
      </fill>
    </dxf>
  </dxfs>
  <tableStyles count="0" defaultTableStyle="TableStyleMedium2" defaultPivotStyle="PivotStyleLight16"/>
  <colors>
    <mruColors>
      <color rgb="FF75FF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50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'119488'!$AB$35:$AB$48</c:f>
              <c:strCache>
                <c:ptCount val="14"/>
                <c:pt idx="0">
                  <c:v>Type III</c:v>
                </c:pt>
                <c:pt idx="1">
                  <c:v>6' Type III</c:v>
                </c:pt>
                <c:pt idx="2">
                  <c:v>H Stands</c:v>
                </c:pt>
                <c:pt idx="3">
                  <c:v>Sandbags</c:v>
                </c:pt>
                <c:pt idx="4">
                  <c:v>Covers</c:v>
                </c:pt>
                <c:pt idx="5">
                  <c:v>Spring Loaded Metal Stands</c:v>
                </c:pt>
                <c:pt idx="6">
                  <c:v>Posts</c:v>
                </c:pt>
                <c:pt idx="7">
                  <c:v>A/C-Lites</c:v>
                </c:pt>
                <c:pt idx="8">
                  <c:v>B-Lites</c:v>
                </c:pt>
                <c:pt idx="9">
                  <c:v>Vetical Panels</c:v>
                </c:pt>
                <c:pt idx="10">
                  <c:v>TMA</c:v>
                </c:pt>
                <c:pt idx="11">
                  <c:v>Message Board</c:v>
                </c:pt>
                <c:pt idx="12">
                  <c:v>Arrow Panel</c:v>
                </c:pt>
                <c:pt idx="13">
                  <c:v>Speed Display</c:v>
                </c:pt>
              </c:strCache>
            </c:strRef>
          </c:cat>
          <c:val>
            <c:numRef>
              <c:f>'119488'!$AC$35:$AC$48</c:f>
              <c:numCache>
                <c:formatCode>General</c:formatCode>
                <c:ptCount val="14"/>
                <c:pt idx="0">
                  <c:v>25</c:v>
                </c:pt>
                <c:pt idx="1">
                  <c:v>5</c:v>
                </c:pt>
                <c:pt idx="2">
                  <c:v>3</c:v>
                </c:pt>
                <c:pt idx="3">
                  <c:v>330</c:v>
                </c:pt>
                <c:pt idx="4">
                  <c:v>72</c:v>
                </c:pt>
                <c:pt idx="5">
                  <c:v>0</c:v>
                </c:pt>
                <c:pt idx="6">
                  <c:v>0</c:v>
                </c:pt>
                <c:pt idx="7">
                  <c:v>50</c:v>
                </c:pt>
                <c:pt idx="8">
                  <c:v>50</c:v>
                </c:pt>
                <c:pt idx="9">
                  <c:v>50</c:v>
                </c:pt>
                <c:pt idx="10">
                  <c:v>0</c:v>
                </c:pt>
                <c:pt idx="11">
                  <c:v>0</c:v>
                </c:pt>
                <c:pt idx="12">
                  <c:v>0</c:v>
                </c:pt>
                <c:pt idx="13">
                  <c:v>0</c:v>
                </c:pt>
              </c:numCache>
            </c:numRef>
          </c:val>
          <c:extLst>
            <c:ext xmlns:c16="http://schemas.microsoft.com/office/drawing/2014/chart" uri="{C3380CC4-5D6E-409C-BE32-E72D297353CC}">
              <c16:uniqueId val="{00000000-198B-4839-9E47-B7D0AB2BB8D3}"/>
            </c:ext>
          </c:extLst>
        </c:ser>
        <c:dLbls>
          <c:showLegendKey val="0"/>
          <c:showVal val="0"/>
          <c:showCatName val="0"/>
          <c:showSerName val="0"/>
          <c:showPercent val="0"/>
          <c:showBubbleSize val="0"/>
        </c:dLbls>
        <c:gapWidth val="50"/>
        <c:overlap val="-27"/>
        <c:axId val="1174902608"/>
        <c:axId val="1174899728"/>
      </c:barChart>
      <c:catAx>
        <c:axId val="117490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74899728"/>
        <c:crosses val="autoZero"/>
        <c:auto val="1"/>
        <c:lblAlgn val="ctr"/>
        <c:lblOffset val="100"/>
        <c:noMultiLvlLbl val="0"/>
      </c:catAx>
      <c:valAx>
        <c:axId val="1174899728"/>
        <c:scaling>
          <c:orientation val="minMax"/>
        </c:scaling>
        <c:delete val="1"/>
        <c:axPos val="l"/>
        <c:numFmt formatCode="General" sourceLinked="1"/>
        <c:majorTickMark val="none"/>
        <c:minorTickMark val="none"/>
        <c:tickLblPos val="nextTo"/>
        <c:crossAx val="1174902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989821882951654E-2"/>
          <c:y val="0.19523809523809524"/>
          <c:w val="0.94402035623409675"/>
          <c:h val="0.69429396325459314"/>
        </c:manualLayout>
      </c:layout>
      <c:barChart>
        <c:barDir val="col"/>
        <c:grouping val="clustered"/>
        <c:varyColors val="0"/>
        <c:ser>
          <c:idx val="0"/>
          <c:order val="0"/>
          <c:spPr>
            <a:solidFill>
              <a:schemeClr val="accent1">
                <a:lumMod val="50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'119488'!$AB$6:$AB$9</c:f>
              <c:strCache>
                <c:ptCount val="4"/>
                <c:pt idx="0">
                  <c:v>MPT</c:v>
                </c:pt>
                <c:pt idx="1">
                  <c:v>RENTAL</c:v>
                </c:pt>
                <c:pt idx="2">
                  <c:v>SALE</c:v>
                </c:pt>
                <c:pt idx="3">
                  <c:v>PERMANENT SIGNS</c:v>
                </c:pt>
              </c:strCache>
            </c:strRef>
          </c:cat>
          <c:val>
            <c:numRef>
              <c:f>'119488'!$AC$6:$AC$9</c:f>
              <c:numCache>
                <c:formatCode>_("$"* #,##0_);_("$"* \(#,##0\);_("$"* "-"??_);_(@_)</c:formatCode>
                <c:ptCount val="4"/>
                <c:pt idx="0">
                  <c:v>10179.730288356164</c:v>
                </c:pt>
                <c:pt idx="1">
                  <c:v>8300</c:v>
                </c:pt>
                <c:pt idx="2">
                  <c:v>0</c:v>
                </c:pt>
              </c:numCache>
            </c:numRef>
          </c:val>
          <c:extLst>
            <c:ext xmlns:c16="http://schemas.microsoft.com/office/drawing/2014/chart" uri="{C3380CC4-5D6E-409C-BE32-E72D297353CC}">
              <c16:uniqueId val="{00000000-3BD4-48AE-BBC2-C678FC6A03B1}"/>
            </c:ext>
          </c:extLst>
        </c:ser>
        <c:dLbls>
          <c:showLegendKey val="0"/>
          <c:showVal val="0"/>
          <c:showCatName val="0"/>
          <c:showSerName val="0"/>
          <c:showPercent val="0"/>
          <c:showBubbleSize val="0"/>
        </c:dLbls>
        <c:gapWidth val="50"/>
        <c:overlap val="-27"/>
        <c:axId val="1842463807"/>
        <c:axId val="1842466207"/>
      </c:barChart>
      <c:catAx>
        <c:axId val="184246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842466207"/>
        <c:crosses val="autoZero"/>
        <c:auto val="1"/>
        <c:lblAlgn val="ctr"/>
        <c:lblOffset val="100"/>
        <c:noMultiLvlLbl val="0"/>
      </c:catAx>
      <c:valAx>
        <c:axId val="1842466207"/>
        <c:scaling>
          <c:orientation val="minMax"/>
        </c:scaling>
        <c:delete val="1"/>
        <c:axPos val="l"/>
        <c:numFmt formatCode="_(&quot;$&quot;* #,##0_);_(&quot;$&quot;* \(#,##0\);_(&quot;$&quot;* &quot;-&quot;??_);_(@_)" sourceLinked="1"/>
        <c:majorTickMark val="none"/>
        <c:minorTickMark val="none"/>
        <c:tickLblPos val="nextTo"/>
        <c:crossAx val="1842463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50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'119409'!$AB$35:$AB$48</c:f>
              <c:strCache>
                <c:ptCount val="14"/>
                <c:pt idx="0">
                  <c:v>Type III</c:v>
                </c:pt>
                <c:pt idx="1">
                  <c:v>6' Type III</c:v>
                </c:pt>
                <c:pt idx="2">
                  <c:v>H Stands</c:v>
                </c:pt>
                <c:pt idx="3">
                  <c:v>Sandbags</c:v>
                </c:pt>
                <c:pt idx="4">
                  <c:v>Covers</c:v>
                </c:pt>
                <c:pt idx="5">
                  <c:v>Spring Loaded Metal Stands</c:v>
                </c:pt>
                <c:pt idx="6">
                  <c:v>Posts</c:v>
                </c:pt>
                <c:pt idx="7">
                  <c:v>A/C-Lites</c:v>
                </c:pt>
                <c:pt idx="8">
                  <c:v>B-Lites</c:v>
                </c:pt>
                <c:pt idx="9">
                  <c:v>Vetical Panels</c:v>
                </c:pt>
                <c:pt idx="10">
                  <c:v>TMA</c:v>
                </c:pt>
                <c:pt idx="11">
                  <c:v>Message Board</c:v>
                </c:pt>
                <c:pt idx="12">
                  <c:v>Arrow Panel</c:v>
                </c:pt>
                <c:pt idx="13">
                  <c:v>Speed Display</c:v>
                </c:pt>
              </c:strCache>
            </c:strRef>
          </c:cat>
          <c:val>
            <c:numRef>
              <c:f>'119409'!$AC$35:$AC$48</c:f>
              <c:numCache>
                <c:formatCode>General</c:formatCode>
                <c:ptCount val="14"/>
                <c:pt idx="0">
                  <c:v>25</c:v>
                </c:pt>
                <c:pt idx="1">
                  <c:v>5</c:v>
                </c:pt>
                <c:pt idx="2">
                  <c:v>3</c:v>
                </c:pt>
                <c:pt idx="3">
                  <c:v>330</c:v>
                </c:pt>
                <c:pt idx="4">
                  <c:v>72</c:v>
                </c:pt>
                <c:pt idx="5">
                  <c:v>0</c:v>
                </c:pt>
                <c:pt idx="6">
                  <c:v>0</c:v>
                </c:pt>
                <c:pt idx="7">
                  <c:v>50</c:v>
                </c:pt>
                <c:pt idx="8">
                  <c:v>50</c:v>
                </c:pt>
                <c:pt idx="9">
                  <c:v>50</c:v>
                </c:pt>
                <c:pt idx="10">
                  <c:v>0</c:v>
                </c:pt>
                <c:pt idx="11">
                  <c:v>0</c:v>
                </c:pt>
                <c:pt idx="12">
                  <c:v>0</c:v>
                </c:pt>
                <c:pt idx="13">
                  <c:v>0</c:v>
                </c:pt>
              </c:numCache>
            </c:numRef>
          </c:val>
          <c:extLst>
            <c:ext xmlns:c16="http://schemas.microsoft.com/office/drawing/2014/chart" uri="{C3380CC4-5D6E-409C-BE32-E72D297353CC}">
              <c16:uniqueId val="{00000000-DCFC-421F-9B9B-B0A764920BC7}"/>
            </c:ext>
          </c:extLst>
        </c:ser>
        <c:dLbls>
          <c:showLegendKey val="0"/>
          <c:showVal val="0"/>
          <c:showCatName val="0"/>
          <c:showSerName val="0"/>
          <c:showPercent val="0"/>
          <c:showBubbleSize val="0"/>
        </c:dLbls>
        <c:gapWidth val="50"/>
        <c:overlap val="-27"/>
        <c:axId val="1174902608"/>
        <c:axId val="1174899728"/>
      </c:barChart>
      <c:catAx>
        <c:axId val="117490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174899728"/>
        <c:crosses val="autoZero"/>
        <c:auto val="1"/>
        <c:lblAlgn val="ctr"/>
        <c:lblOffset val="100"/>
        <c:noMultiLvlLbl val="0"/>
      </c:catAx>
      <c:valAx>
        <c:axId val="1174899728"/>
        <c:scaling>
          <c:orientation val="minMax"/>
        </c:scaling>
        <c:delete val="1"/>
        <c:axPos val="l"/>
        <c:numFmt formatCode="General" sourceLinked="1"/>
        <c:majorTickMark val="none"/>
        <c:minorTickMark val="none"/>
        <c:tickLblPos val="nextTo"/>
        <c:crossAx val="11749026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989821882951654E-2"/>
          <c:y val="0.19523809523809524"/>
          <c:w val="0.94402035623409675"/>
          <c:h val="0.69429396325459314"/>
        </c:manualLayout>
      </c:layout>
      <c:barChart>
        <c:barDir val="col"/>
        <c:grouping val="clustered"/>
        <c:varyColors val="0"/>
        <c:ser>
          <c:idx val="0"/>
          <c:order val="0"/>
          <c:spPr>
            <a:solidFill>
              <a:schemeClr val="accent1">
                <a:lumMod val="50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'119409'!$AB$6:$AB$9</c:f>
              <c:strCache>
                <c:ptCount val="4"/>
                <c:pt idx="0">
                  <c:v>MPT</c:v>
                </c:pt>
                <c:pt idx="1">
                  <c:v>RENTAL</c:v>
                </c:pt>
                <c:pt idx="2">
                  <c:v>SALE</c:v>
                </c:pt>
                <c:pt idx="3">
                  <c:v>PERMANENT SIGNS</c:v>
                </c:pt>
              </c:strCache>
            </c:strRef>
          </c:cat>
          <c:val>
            <c:numRef>
              <c:f>'119409'!$AC$6:$AC$9</c:f>
              <c:numCache>
                <c:formatCode>_("$"* #,##0_);_("$"* \(#,##0\);_("$"* "-"??_);_(@_)</c:formatCode>
                <c:ptCount val="4"/>
                <c:pt idx="0">
                  <c:v>10179.730288356164</c:v>
                </c:pt>
                <c:pt idx="1">
                  <c:v>8300</c:v>
                </c:pt>
                <c:pt idx="2">
                  <c:v>0</c:v>
                </c:pt>
              </c:numCache>
            </c:numRef>
          </c:val>
          <c:extLst>
            <c:ext xmlns:c16="http://schemas.microsoft.com/office/drawing/2014/chart" uri="{C3380CC4-5D6E-409C-BE32-E72D297353CC}">
              <c16:uniqueId val="{00000000-107B-4893-8D14-9BD6A4214F80}"/>
            </c:ext>
          </c:extLst>
        </c:ser>
        <c:dLbls>
          <c:showLegendKey val="0"/>
          <c:showVal val="0"/>
          <c:showCatName val="0"/>
          <c:showSerName val="0"/>
          <c:showPercent val="0"/>
          <c:showBubbleSize val="0"/>
        </c:dLbls>
        <c:gapWidth val="50"/>
        <c:overlap val="-27"/>
        <c:axId val="1842463807"/>
        <c:axId val="1842466207"/>
      </c:barChart>
      <c:catAx>
        <c:axId val="184246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842466207"/>
        <c:crosses val="autoZero"/>
        <c:auto val="1"/>
        <c:lblAlgn val="ctr"/>
        <c:lblOffset val="100"/>
        <c:noMultiLvlLbl val="0"/>
      </c:catAx>
      <c:valAx>
        <c:axId val="1842466207"/>
        <c:scaling>
          <c:orientation val="minMax"/>
        </c:scaling>
        <c:delete val="1"/>
        <c:axPos val="l"/>
        <c:numFmt formatCode="_(&quot;$&quot;* #,##0_);_(&quot;$&quot;* \(#,##0\);_(&quot;$&quot;* &quot;-&quot;??_);_(@_)" sourceLinked="1"/>
        <c:majorTickMark val="none"/>
        <c:minorTickMark val="none"/>
        <c:tickLblPos val="nextTo"/>
        <c:crossAx val="1842463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374649</xdr:colOff>
      <xdr:row>18</xdr:row>
      <xdr:rowOff>65087</xdr:rowOff>
    </xdr:from>
    <xdr:to>
      <xdr:col>31</xdr:col>
      <xdr:colOff>622299</xdr:colOff>
      <xdr:row>30</xdr:row>
      <xdr:rowOff>141287</xdr:rowOff>
    </xdr:to>
    <xdr:graphicFrame macro="">
      <xdr:nvGraphicFramePr>
        <xdr:cNvPr id="2" name="Chart 1">
          <a:extLst>
            <a:ext uri="{FF2B5EF4-FFF2-40B4-BE49-F238E27FC236}">
              <a16:creationId xmlns:a16="http://schemas.microsoft.com/office/drawing/2014/main" id="{D2552811-53C1-4B3C-928D-2DD02D2ED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4</xdr:row>
      <xdr:rowOff>57150</xdr:rowOff>
    </xdr:from>
    <xdr:to>
      <xdr:col>25</xdr:col>
      <xdr:colOff>816429</xdr:colOff>
      <xdr:row>16</xdr:row>
      <xdr:rowOff>57150</xdr:rowOff>
    </xdr:to>
    <xdr:graphicFrame macro="">
      <xdr:nvGraphicFramePr>
        <xdr:cNvPr id="3" name="Chart 2">
          <a:extLst>
            <a:ext uri="{FF2B5EF4-FFF2-40B4-BE49-F238E27FC236}">
              <a16:creationId xmlns:a16="http://schemas.microsoft.com/office/drawing/2014/main" id="{0CB215F3-AAE1-4BF7-B090-868396A4AA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374649</xdr:colOff>
      <xdr:row>18</xdr:row>
      <xdr:rowOff>65087</xdr:rowOff>
    </xdr:from>
    <xdr:to>
      <xdr:col>31</xdr:col>
      <xdr:colOff>622299</xdr:colOff>
      <xdr:row>30</xdr:row>
      <xdr:rowOff>141287</xdr:rowOff>
    </xdr:to>
    <xdr:graphicFrame macro="">
      <xdr:nvGraphicFramePr>
        <xdr:cNvPr id="2" name="Chart 1">
          <a:extLst>
            <a:ext uri="{FF2B5EF4-FFF2-40B4-BE49-F238E27FC236}">
              <a16:creationId xmlns:a16="http://schemas.microsoft.com/office/drawing/2014/main" id="{6F3E51E3-1C5F-354F-B9F9-A4FEAECB63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0</xdr:colOff>
      <xdr:row>4</xdr:row>
      <xdr:rowOff>57150</xdr:rowOff>
    </xdr:from>
    <xdr:to>
      <xdr:col>25</xdr:col>
      <xdr:colOff>816429</xdr:colOff>
      <xdr:row>16</xdr:row>
      <xdr:rowOff>57150</xdr:rowOff>
    </xdr:to>
    <xdr:graphicFrame macro="">
      <xdr:nvGraphicFramePr>
        <xdr:cNvPr id="3" name="Chart 2">
          <a:extLst>
            <a:ext uri="{FF2B5EF4-FFF2-40B4-BE49-F238E27FC236}">
              <a16:creationId xmlns:a16="http://schemas.microsoft.com/office/drawing/2014/main" id="{9DD29771-A106-436F-E131-1EA4D9E2C9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redden@establishedtraffic.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jredden@establishedtraffic.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78"/>
  <sheetViews>
    <sheetView showGridLines="0" tabSelected="1" topLeftCell="I1" zoomScale="85" zoomScaleNormal="85" workbookViewId="0">
      <selection activeCell="P6" sqref="P6"/>
    </sheetView>
    <sheetView topLeftCell="A20" zoomScale="85" zoomScaleNormal="85" workbookViewId="1">
      <selection activeCell="I13" sqref="I13"/>
    </sheetView>
  </sheetViews>
  <sheetFormatPr defaultColWidth="14.453125" defaultRowHeight="15" customHeight="1"/>
  <cols>
    <col min="1" max="1" width="2.54296875" customWidth="1"/>
    <col min="2" max="2" width="16.7265625" customWidth="1"/>
    <col min="3" max="3" width="16.453125" bestFit="1" customWidth="1"/>
    <col min="4" max="4" width="18.453125" customWidth="1"/>
    <col min="5" max="6" width="10.453125" customWidth="1"/>
    <col min="7" max="7" width="14.453125" customWidth="1"/>
    <col min="8" max="8" width="35.08984375" customWidth="1"/>
    <col min="9" max="17" width="21" customWidth="1"/>
    <col min="18" max="18" width="16.08984375" customWidth="1"/>
    <col min="19" max="19" width="17.7265625" customWidth="1"/>
    <col min="20" max="20" width="19.453125" customWidth="1"/>
    <col min="21" max="22" width="9" customWidth="1"/>
    <col min="23" max="23" width="16.7265625" customWidth="1"/>
    <col min="24" max="26" width="16.81640625" customWidth="1"/>
    <col min="27" max="41" width="9" customWidth="1"/>
  </cols>
  <sheetData>
    <row r="1" spans="1:41" ht="15.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15.7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1" ht="15.75" customHeight="1">
      <c r="A3" s="1"/>
      <c r="B3" s="21" t="s">
        <v>0</v>
      </c>
      <c r="C3" s="22"/>
      <c r="D3" s="22"/>
      <c r="E3" s="22"/>
      <c r="F3" s="291"/>
      <c r="G3" s="22"/>
      <c r="H3" s="22"/>
      <c r="I3" s="23"/>
      <c r="J3" s="2"/>
      <c r="K3" s="2"/>
      <c r="L3" s="2"/>
      <c r="M3" s="2"/>
      <c r="N3" s="2"/>
      <c r="O3" s="3"/>
      <c r="P3" s="3"/>
      <c r="Q3" s="24" t="s">
        <v>1</v>
      </c>
      <c r="R3" s="22"/>
      <c r="S3" s="22"/>
      <c r="T3" s="23"/>
      <c r="U3" s="266" t="s">
        <v>2</v>
      </c>
      <c r="V3" s="266"/>
      <c r="W3" s="266"/>
      <c r="X3" s="266"/>
      <c r="Y3" s="266"/>
      <c r="Z3" s="266"/>
      <c r="AA3" s="4" t="s">
        <v>3</v>
      </c>
      <c r="AB3" s="5"/>
      <c r="AC3" s="1"/>
      <c r="AD3" s="1"/>
      <c r="AE3" s="1"/>
      <c r="AF3" s="1"/>
      <c r="AG3" s="1"/>
      <c r="AH3" s="1"/>
      <c r="AI3" s="1" t="s">
        <v>4</v>
      </c>
      <c r="AJ3" s="1" t="s">
        <v>5</v>
      </c>
      <c r="AK3" s="1" t="s">
        <v>6</v>
      </c>
      <c r="AL3" s="1"/>
      <c r="AM3" s="1"/>
    </row>
    <row r="4" spans="1:41" ht="15.75" customHeight="1">
      <c r="A4" s="1"/>
      <c r="B4" s="6" t="s">
        <v>9</v>
      </c>
      <c r="C4" s="6" t="s">
        <v>10</v>
      </c>
      <c r="D4" s="6" t="s">
        <v>11</v>
      </c>
      <c r="E4" s="6" t="s">
        <v>12</v>
      </c>
      <c r="F4" s="6" t="s">
        <v>14</v>
      </c>
      <c r="G4" s="6" t="s">
        <v>13</v>
      </c>
      <c r="H4" s="6" t="s">
        <v>15</v>
      </c>
      <c r="I4" s="6" t="s">
        <v>16</v>
      </c>
      <c r="J4" s="6" t="s">
        <v>17</v>
      </c>
      <c r="K4" s="6" t="s">
        <v>18</v>
      </c>
      <c r="L4" s="6" t="s">
        <v>643</v>
      </c>
      <c r="M4" s="6" t="s">
        <v>19</v>
      </c>
      <c r="N4" s="6" t="s">
        <v>20</v>
      </c>
      <c r="O4" s="6" t="s">
        <v>449</v>
      </c>
      <c r="P4" s="6" t="s">
        <v>450</v>
      </c>
      <c r="Q4" s="6" t="s">
        <v>21</v>
      </c>
      <c r="R4" s="6" t="s">
        <v>22</v>
      </c>
      <c r="S4" s="6" t="s">
        <v>23</v>
      </c>
      <c r="T4" s="6" t="s">
        <v>24</v>
      </c>
      <c r="U4" s="6" t="s">
        <v>25</v>
      </c>
      <c r="V4" s="6" t="s">
        <v>650</v>
      </c>
      <c r="W4" s="6" t="s">
        <v>26</v>
      </c>
      <c r="X4" s="6" t="s">
        <v>27</v>
      </c>
      <c r="Y4" s="6" t="s">
        <v>641</v>
      </c>
      <c r="Z4" s="6" t="s">
        <v>642</v>
      </c>
      <c r="AA4" s="6" t="s">
        <v>28</v>
      </c>
      <c r="AB4" s="6" t="s">
        <v>29</v>
      </c>
      <c r="AC4" s="1"/>
      <c r="AD4" s="1"/>
      <c r="AE4" s="1"/>
      <c r="AF4" s="1"/>
      <c r="AG4" s="1"/>
      <c r="AH4" s="1"/>
      <c r="AI4" s="1" t="s">
        <v>30</v>
      </c>
      <c r="AJ4" s="1" t="s">
        <v>31</v>
      </c>
      <c r="AK4" s="1"/>
      <c r="AL4" s="1"/>
      <c r="AM4" s="1"/>
    </row>
    <row r="5" spans="1:41" ht="15.75" customHeight="1">
      <c r="A5" s="1"/>
      <c r="B5" s="7">
        <v>45302</v>
      </c>
      <c r="C5" s="7">
        <v>45467</v>
      </c>
      <c r="D5" s="7">
        <v>45600</v>
      </c>
      <c r="E5" s="8">
        <f t="shared" ref="E5:E21" si="0">D5-C5</f>
        <v>133</v>
      </c>
      <c r="F5" s="8">
        <v>116505</v>
      </c>
      <c r="G5" s="9" t="s">
        <v>32</v>
      </c>
      <c r="H5" s="8" t="s">
        <v>33</v>
      </c>
      <c r="I5" s="10"/>
      <c r="J5" s="10"/>
      <c r="K5" s="10"/>
      <c r="L5" s="10"/>
      <c r="M5" s="10">
        <f t="shared" ref="M5:M36" si="1">SUM(I5:L5)</f>
        <v>0</v>
      </c>
      <c r="N5" s="10">
        <f>I5*0.35</f>
        <v>0</v>
      </c>
      <c r="O5" s="10"/>
      <c r="P5" s="10"/>
      <c r="Q5" s="8" t="s">
        <v>31</v>
      </c>
      <c r="R5" s="8" t="s">
        <v>5</v>
      </c>
      <c r="S5" s="8"/>
      <c r="T5" s="11" t="s">
        <v>34</v>
      </c>
      <c r="U5" s="11"/>
      <c r="V5" s="11"/>
      <c r="W5" s="11"/>
      <c r="X5" s="11"/>
      <c r="Y5" s="11"/>
      <c r="Z5" s="11"/>
      <c r="AA5" s="11"/>
      <c r="AB5" s="11"/>
      <c r="AC5" s="1"/>
      <c r="AD5" s="1"/>
      <c r="AE5" s="1"/>
      <c r="AF5" s="1"/>
      <c r="AG5" s="1"/>
      <c r="AH5" s="1"/>
      <c r="AI5" s="1" t="s">
        <v>7</v>
      </c>
      <c r="AJ5" s="1" t="s">
        <v>32</v>
      </c>
      <c r="AK5" s="1"/>
      <c r="AL5" s="1"/>
      <c r="AM5" s="1"/>
    </row>
    <row r="6" spans="1:41" ht="15.75" customHeight="1">
      <c r="A6" s="1"/>
      <c r="B6" s="7" t="s">
        <v>653</v>
      </c>
      <c r="C6" s="7">
        <v>45348</v>
      </c>
      <c r="D6" s="7">
        <v>45595</v>
      </c>
      <c r="E6" s="8">
        <f t="shared" si="0"/>
        <v>247</v>
      </c>
      <c r="F6" s="8">
        <v>119409</v>
      </c>
      <c r="G6" s="12" t="s">
        <v>32</v>
      </c>
      <c r="H6" s="8" t="s">
        <v>35</v>
      </c>
      <c r="I6" s="296">
        <f>+'119409'!AC6</f>
        <v>10179.730288356164</v>
      </c>
      <c r="J6" s="296">
        <f>+'119409'!AC9</f>
        <v>0</v>
      </c>
      <c r="K6" s="296">
        <f>+'119409'!AC8</f>
        <v>0</v>
      </c>
      <c r="L6" s="296">
        <f>+'119409'!AC7</f>
        <v>8300</v>
      </c>
      <c r="M6" s="296">
        <f t="shared" si="1"/>
        <v>18479.730288356164</v>
      </c>
      <c r="N6" s="296">
        <f t="shared" ref="N6:N57" si="2">I6*0.35</f>
        <v>3562.9056009246574</v>
      </c>
      <c r="O6" s="297">
        <f>'119409'!AF6</f>
        <v>0</v>
      </c>
      <c r="P6" s="293">
        <f>+'119409'!AC10</f>
        <v>0.92487270825194823</v>
      </c>
      <c r="Q6" s="8" t="s">
        <v>30</v>
      </c>
      <c r="R6" s="8" t="s">
        <v>5</v>
      </c>
      <c r="S6" s="13"/>
      <c r="T6" s="11" t="s">
        <v>36</v>
      </c>
      <c r="U6" s="295">
        <f>+'119409'!AC45</f>
        <v>0</v>
      </c>
      <c r="V6" s="295">
        <f>+'119409'!AC35</f>
        <v>25</v>
      </c>
      <c r="W6" s="295">
        <f>+'119409'!AC11</f>
        <v>1519</v>
      </c>
      <c r="X6" s="295">
        <f>+'119409'!AC44</f>
        <v>50</v>
      </c>
      <c r="Y6" s="295">
        <f>+'119409'!AC42</f>
        <v>50</v>
      </c>
      <c r="Z6" s="295">
        <f>+'119409'!AC43</f>
        <v>50</v>
      </c>
      <c r="AA6" s="11"/>
      <c r="AB6" s="11"/>
      <c r="AC6" s="1"/>
      <c r="AD6" s="1"/>
      <c r="AE6" s="1"/>
      <c r="AF6" s="1"/>
      <c r="AG6" s="1"/>
      <c r="AH6" s="1"/>
      <c r="AI6" s="1" t="s">
        <v>37</v>
      </c>
      <c r="AJ6" s="1" t="s">
        <v>38</v>
      </c>
      <c r="AK6" s="1" t="s">
        <v>39</v>
      </c>
      <c r="AL6" s="1" t="s">
        <v>40</v>
      </c>
      <c r="AM6" s="1" t="s">
        <v>41</v>
      </c>
    </row>
    <row r="7" spans="1:41" ht="15.75" customHeight="1">
      <c r="A7" s="1"/>
      <c r="B7" s="7">
        <v>45302</v>
      </c>
      <c r="C7" s="7">
        <v>45446</v>
      </c>
      <c r="D7" s="7">
        <v>45587</v>
      </c>
      <c r="E7" s="8">
        <f t="shared" si="0"/>
        <v>141</v>
      </c>
      <c r="F7" s="8">
        <v>117826</v>
      </c>
      <c r="G7" s="12" t="s">
        <v>32</v>
      </c>
      <c r="H7" s="8" t="s">
        <v>42</v>
      </c>
      <c r="I7" s="10"/>
      <c r="J7" s="10"/>
      <c r="K7" s="10"/>
      <c r="L7" s="10"/>
      <c r="M7" s="10">
        <f t="shared" si="1"/>
        <v>0</v>
      </c>
      <c r="N7" s="10">
        <f t="shared" si="2"/>
        <v>0</v>
      </c>
      <c r="O7" s="10"/>
      <c r="P7" s="10"/>
      <c r="Q7" s="8" t="s">
        <v>30</v>
      </c>
      <c r="R7" s="8" t="s">
        <v>5</v>
      </c>
      <c r="S7" s="13"/>
      <c r="T7" s="11" t="s">
        <v>43</v>
      </c>
      <c r="U7" s="11"/>
      <c r="V7" s="11"/>
      <c r="W7" s="11"/>
      <c r="X7" s="11"/>
      <c r="Y7" s="11"/>
      <c r="Z7" s="11"/>
      <c r="AA7" s="11"/>
      <c r="AB7" s="11"/>
      <c r="AC7" s="1"/>
      <c r="AD7" s="1"/>
      <c r="AE7" s="1"/>
      <c r="AF7" s="1"/>
      <c r="AG7" s="1"/>
      <c r="AH7" s="1"/>
      <c r="AI7" s="1"/>
      <c r="AJ7" s="1"/>
      <c r="AK7" s="1"/>
      <c r="AL7" s="1"/>
      <c r="AM7" s="1"/>
    </row>
    <row r="8" spans="1:41" ht="15.75" customHeight="1">
      <c r="A8" s="1"/>
      <c r="B8" s="7">
        <v>45302</v>
      </c>
      <c r="C8" s="7">
        <v>45404</v>
      </c>
      <c r="D8" s="7">
        <v>45593</v>
      </c>
      <c r="E8" s="8">
        <f t="shared" si="0"/>
        <v>189</v>
      </c>
      <c r="F8" s="8">
        <v>105528</v>
      </c>
      <c r="G8" s="12" t="s">
        <v>32</v>
      </c>
      <c r="H8" s="8" t="s">
        <v>44</v>
      </c>
      <c r="I8" s="10"/>
      <c r="J8" s="10"/>
      <c r="K8" s="10"/>
      <c r="L8" s="10"/>
      <c r="M8" s="10">
        <f t="shared" si="1"/>
        <v>0</v>
      </c>
      <c r="N8" s="10">
        <f t="shared" si="2"/>
        <v>0</v>
      </c>
      <c r="O8" s="10"/>
      <c r="P8" s="10"/>
      <c r="Q8" s="8" t="s">
        <v>30</v>
      </c>
      <c r="R8" s="8" t="s">
        <v>5</v>
      </c>
      <c r="S8" s="13"/>
      <c r="T8" s="11" t="s">
        <v>45</v>
      </c>
      <c r="U8" s="11"/>
      <c r="V8" s="11"/>
      <c r="W8" s="11"/>
      <c r="X8" s="11"/>
      <c r="Y8" s="11"/>
      <c r="Z8" s="11"/>
      <c r="AA8" s="11"/>
      <c r="AB8" s="11"/>
      <c r="AC8" s="1"/>
      <c r="AD8" s="1"/>
      <c r="AE8" s="1"/>
      <c r="AF8" s="1"/>
      <c r="AG8" s="1"/>
      <c r="AH8" s="1"/>
      <c r="AI8" s="1"/>
      <c r="AJ8" s="1"/>
      <c r="AK8" s="1"/>
      <c r="AL8" s="1"/>
      <c r="AM8" s="1"/>
    </row>
    <row r="9" spans="1:41" ht="15.75" customHeight="1">
      <c r="A9" s="1"/>
      <c r="B9" s="7">
        <v>45302</v>
      </c>
      <c r="C9" s="7">
        <v>45498</v>
      </c>
      <c r="D9" s="7">
        <v>45524</v>
      </c>
      <c r="E9" s="8">
        <f t="shared" si="0"/>
        <v>26</v>
      </c>
      <c r="F9" s="8">
        <v>68954</v>
      </c>
      <c r="G9" s="12" t="s">
        <v>32</v>
      </c>
      <c r="H9" s="8" t="s">
        <v>46</v>
      </c>
      <c r="I9" s="10"/>
      <c r="J9" s="10"/>
      <c r="K9" s="10"/>
      <c r="L9" s="10"/>
      <c r="M9" s="10">
        <f t="shared" si="1"/>
        <v>0</v>
      </c>
      <c r="N9" s="10">
        <f t="shared" si="2"/>
        <v>0</v>
      </c>
      <c r="O9" s="10"/>
      <c r="P9" s="10"/>
      <c r="Q9" s="8" t="s">
        <v>30</v>
      </c>
      <c r="R9" s="8" t="s">
        <v>5</v>
      </c>
      <c r="S9" s="13"/>
      <c r="T9" s="11" t="s">
        <v>47</v>
      </c>
      <c r="U9" s="11"/>
      <c r="V9" s="11"/>
      <c r="W9" s="11"/>
      <c r="X9" s="11"/>
      <c r="Y9" s="11"/>
      <c r="Z9" s="11"/>
      <c r="AA9" s="11"/>
      <c r="AB9" s="11"/>
      <c r="AC9" s="1"/>
      <c r="AD9" s="1"/>
      <c r="AE9" s="1"/>
      <c r="AF9" s="1"/>
      <c r="AG9" s="1"/>
      <c r="AH9" s="1"/>
      <c r="AI9" s="1"/>
      <c r="AJ9" s="1"/>
      <c r="AK9" s="1"/>
      <c r="AL9" s="1"/>
      <c r="AM9" s="1"/>
    </row>
    <row r="10" spans="1:41" ht="15.75" customHeight="1">
      <c r="A10" s="1"/>
      <c r="B10" s="7">
        <v>45302</v>
      </c>
      <c r="C10" s="7">
        <v>45348</v>
      </c>
      <c r="D10" s="7">
        <v>45474</v>
      </c>
      <c r="E10" s="8">
        <f t="shared" si="0"/>
        <v>126</v>
      </c>
      <c r="F10" s="8">
        <v>119488</v>
      </c>
      <c r="G10" s="12" t="s">
        <v>32</v>
      </c>
      <c r="H10" s="8" t="s">
        <v>42</v>
      </c>
      <c r="I10" s="10"/>
      <c r="J10" s="10"/>
      <c r="K10" s="10"/>
      <c r="L10" s="10"/>
      <c r="M10" s="10">
        <f t="shared" si="1"/>
        <v>0</v>
      </c>
      <c r="N10" s="10">
        <f t="shared" si="2"/>
        <v>0</v>
      </c>
      <c r="O10" s="10"/>
      <c r="P10" s="10"/>
      <c r="Q10" s="8" t="s">
        <v>30</v>
      </c>
      <c r="R10" s="8" t="s">
        <v>5</v>
      </c>
      <c r="S10" s="13"/>
      <c r="T10" s="11" t="s">
        <v>48</v>
      </c>
      <c r="U10" s="11"/>
      <c r="V10" s="11"/>
      <c r="W10" s="11"/>
      <c r="X10" s="11"/>
      <c r="Y10" s="11"/>
      <c r="Z10" s="11"/>
      <c r="AA10" s="11"/>
      <c r="AB10" s="11"/>
      <c r="AC10" s="1"/>
      <c r="AD10" s="1"/>
      <c r="AE10" s="1"/>
      <c r="AF10" s="1"/>
      <c r="AG10" s="1"/>
      <c r="AH10" s="1"/>
      <c r="AI10" s="1"/>
      <c r="AJ10" s="1"/>
      <c r="AK10" s="1"/>
      <c r="AL10" s="1"/>
      <c r="AM10" s="1"/>
    </row>
    <row r="11" spans="1:41" ht="15.75" customHeight="1">
      <c r="A11" s="1"/>
      <c r="B11" s="7">
        <v>45302</v>
      </c>
      <c r="C11" s="7">
        <v>45383</v>
      </c>
      <c r="D11" s="7">
        <v>45461</v>
      </c>
      <c r="E11" s="8">
        <f t="shared" si="0"/>
        <v>78</v>
      </c>
      <c r="F11" s="8">
        <v>115656</v>
      </c>
      <c r="G11" s="12" t="s">
        <v>32</v>
      </c>
      <c r="H11" s="8" t="s">
        <v>50</v>
      </c>
      <c r="I11" s="10"/>
      <c r="J11" s="10"/>
      <c r="K11" s="10"/>
      <c r="L11" s="10"/>
      <c r="M11" s="10">
        <f t="shared" si="1"/>
        <v>0</v>
      </c>
      <c r="N11" s="10">
        <f t="shared" si="2"/>
        <v>0</v>
      </c>
      <c r="O11" s="10"/>
      <c r="P11" s="10"/>
      <c r="Q11" s="8" t="s">
        <v>30</v>
      </c>
      <c r="R11" s="8" t="s">
        <v>5</v>
      </c>
      <c r="S11" s="13"/>
      <c r="T11" s="11" t="s">
        <v>45</v>
      </c>
      <c r="U11" s="11"/>
      <c r="V11" s="11"/>
      <c r="W11" s="11"/>
      <c r="X11" s="11"/>
      <c r="Y11" s="11"/>
      <c r="Z11" s="11"/>
      <c r="AA11" s="11"/>
      <c r="AB11" s="11"/>
      <c r="AC11" s="1"/>
      <c r="AD11" s="1"/>
      <c r="AE11" s="1"/>
      <c r="AF11" s="1"/>
      <c r="AG11" s="1"/>
      <c r="AH11" s="1"/>
      <c r="AI11" s="1"/>
      <c r="AJ11" s="1"/>
      <c r="AK11" s="1"/>
      <c r="AL11" s="1"/>
      <c r="AM11" s="1"/>
    </row>
    <row r="12" spans="1:41" ht="15.75" customHeight="1">
      <c r="A12" s="1"/>
      <c r="B12" s="7">
        <v>45316</v>
      </c>
      <c r="C12" s="7">
        <v>45436</v>
      </c>
      <c r="D12" s="7">
        <v>45554</v>
      </c>
      <c r="E12" s="8">
        <f t="shared" si="0"/>
        <v>118</v>
      </c>
      <c r="F12" s="8">
        <v>114095</v>
      </c>
      <c r="G12" s="12" t="s">
        <v>32</v>
      </c>
      <c r="H12" s="8" t="s">
        <v>42</v>
      </c>
      <c r="I12" s="10"/>
      <c r="J12" s="10"/>
      <c r="K12" s="10"/>
      <c r="L12" s="10"/>
      <c r="M12" s="10">
        <f t="shared" si="1"/>
        <v>0</v>
      </c>
      <c r="N12" s="10">
        <f t="shared" si="2"/>
        <v>0</v>
      </c>
      <c r="O12" s="10"/>
      <c r="P12" s="10"/>
      <c r="Q12" s="8" t="s">
        <v>30</v>
      </c>
      <c r="R12" s="8" t="s">
        <v>5</v>
      </c>
      <c r="S12" s="8" t="s">
        <v>41</v>
      </c>
      <c r="T12" s="11" t="s">
        <v>52</v>
      </c>
      <c r="U12" s="11"/>
      <c r="V12" s="11"/>
      <c r="W12" s="11"/>
      <c r="X12" s="11"/>
      <c r="Y12" s="11"/>
      <c r="Z12" s="11"/>
      <c r="AA12" s="11"/>
      <c r="AB12" s="11"/>
      <c r="AC12" s="1"/>
      <c r="AD12" s="1"/>
      <c r="AE12" s="1"/>
      <c r="AF12" s="1"/>
      <c r="AG12" s="1"/>
      <c r="AH12" s="1"/>
      <c r="AI12" s="1"/>
      <c r="AJ12" s="1"/>
      <c r="AK12" s="1"/>
      <c r="AL12" s="1"/>
      <c r="AM12" s="1"/>
    </row>
    <row r="13" spans="1:41" ht="15.75" customHeight="1">
      <c r="A13" s="1"/>
      <c r="B13" s="7">
        <v>45316</v>
      </c>
      <c r="C13" s="7">
        <v>45756</v>
      </c>
      <c r="D13" s="7">
        <v>45820</v>
      </c>
      <c r="E13" s="8">
        <f t="shared" si="0"/>
        <v>64</v>
      </c>
      <c r="F13" s="8">
        <v>116892</v>
      </c>
      <c r="G13" s="12" t="s">
        <v>7</v>
      </c>
      <c r="H13" s="8" t="s">
        <v>51</v>
      </c>
      <c r="I13" s="10"/>
      <c r="J13" s="10"/>
      <c r="K13" s="10"/>
      <c r="L13" s="10"/>
      <c r="M13" s="10">
        <f t="shared" si="1"/>
        <v>0</v>
      </c>
      <c r="N13" s="10">
        <f t="shared" si="2"/>
        <v>0</v>
      </c>
      <c r="O13" s="10"/>
      <c r="P13" s="10"/>
      <c r="Q13" s="8" t="s">
        <v>30</v>
      </c>
      <c r="R13" s="8" t="s">
        <v>5</v>
      </c>
      <c r="S13" s="8"/>
      <c r="T13" s="11" t="s">
        <v>53</v>
      </c>
      <c r="U13" s="11"/>
      <c r="V13" s="11"/>
      <c r="W13" s="11"/>
      <c r="X13" s="11"/>
      <c r="Y13" s="11"/>
      <c r="Z13" s="11"/>
      <c r="AA13" s="11"/>
      <c r="AB13" s="11"/>
      <c r="AC13" s="1"/>
      <c r="AD13" s="1"/>
      <c r="AE13" s="1"/>
      <c r="AF13" s="1"/>
      <c r="AG13" s="1"/>
      <c r="AH13" s="1"/>
      <c r="AI13" s="1" t="s">
        <v>7</v>
      </c>
      <c r="AJ13" s="1" t="s">
        <v>32</v>
      </c>
      <c r="AK13" s="1"/>
      <c r="AL13" s="1"/>
      <c r="AM13" s="1"/>
    </row>
    <row r="14" spans="1:41" ht="15.75" customHeight="1">
      <c r="A14" s="1"/>
      <c r="B14" s="7">
        <v>45316</v>
      </c>
      <c r="C14" s="7">
        <v>45362</v>
      </c>
      <c r="D14" s="7">
        <v>46570</v>
      </c>
      <c r="E14" s="8">
        <f t="shared" si="0"/>
        <v>1208</v>
      </c>
      <c r="F14" s="8">
        <v>118734</v>
      </c>
      <c r="G14" s="12" t="s">
        <v>32</v>
      </c>
      <c r="H14" s="8" t="s">
        <v>8</v>
      </c>
      <c r="I14" s="10"/>
      <c r="J14" s="10"/>
      <c r="K14" s="10"/>
      <c r="L14" s="10"/>
      <c r="M14" s="10">
        <f t="shared" si="1"/>
        <v>0</v>
      </c>
      <c r="N14" s="10">
        <f t="shared" si="2"/>
        <v>0</v>
      </c>
      <c r="O14" s="10"/>
      <c r="P14" s="10"/>
      <c r="Q14" s="8" t="s">
        <v>30</v>
      </c>
      <c r="R14" s="8" t="s">
        <v>5</v>
      </c>
      <c r="S14" s="8" t="s">
        <v>38</v>
      </c>
      <c r="T14" s="11" t="s">
        <v>54</v>
      </c>
      <c r="U14" s="11"/>
      <c r="V14" s="11"/>
      <c r="W14" s="11"/>
      <c r="X14" s="11"/>
      <c r="Y14" s="11"/>
      <c r="Z14" s="11"/>
      <c r="AA14" s="11"/>
      <c r="AB14" s="11"/>
      <c r="AC14" s="1"/>
      <c r="AD14" s="1"/>
      <c r="AE14" s="1"/>
      <c r="AF14" s="1"/>
      <c r="AG14" s="1"/>
      <c r="AH14" s="1"/>
      <c r="AI14" s="1">
        <v>1</v>
      </c>
      <c r="AJ14" s="1">
        <v>2</v>
      </c>
      <c r="AK14" s="1">
        <v>3</v>
      </c>
      <c r="AL14" s="1">
        <v>4</v>
      </c>
      <c r="AM14" s="1"/>
    </row>
    <row r="15" spans="1:41" ht="15.75" customHeight="1">
      <c r="A15" s="1"/>
      <c r="B15" s="7">
        <v>45316</v>
      </c>
      <c r="C15" s="7">
        <v>45418</v>
      </c>
      <c r="D15" s="7">
        <v>45659</v>
      </c>
      <c r="E15" s="8">
        <f t="shared" si="0"/>
        <v>241</v>
      </c>
      <c r="F15" s="8">
        <v>5319</v>
      </c>
      <c r="G15" s="12" t="s">
        <v>32</v>
      </c>
      <c r="H15" s="8" t="s">
        <v>49</v>
      </c>
      <c r="I15" s="10"/>
      <c r="J15" s="10"/>
      <c r="K15" s="10"/>
      <c r="L15" s="10"/>
      <c r="M15" s="10">
        <f t="shared" si="1"/>
        <v>0</v>
      </c>
      <c r="N15" s="10">
        <f t="shared" si="2"/>
        <v>0</v>
      </c>
      <c r="O15" s="10"/>
      <c r="P15" s="10"/>
      <c r="Q15" s="8" t="s">
        <v>30</v>
      </c>
      <c r="R15" s="8" t="s">
        <v>5</v>
      </c>
      <c r="S15" s="8"/>
      <c r="T15" s="11" t="s">
        <v>55</v>
      </c>
      <c r="U15" s="11"/>
      <c r="V15" s="11"/>
      <c r="W15" s="11"/>
      <c r="X15" s="11"/>
      <c r="Y15" s="11"/>
      <c r="Z15" s="11"/>
      <c r="AA15" s="11"/>
      <c r="AB15" s="11"/>
      <c r="AC15" s="1"/>
      <c r="AD15" s="1"/>
      <c r="AE15" s="1"/>
      <c r="AF15" s="1"/>
      <c r="AG15" s="1"/>
      <c r="AH15" s="1"/>
      <c r="AI15" s="1"/>
      <c r="AJ15" s="1"/>
      <c r="AK15" s="1"/>
      <c r="AL15" s="1"/>
      <c r="AM15" s="1"/>
    </row>
    <row r="16" spans="1:41" ht="15.75" customHeight="1">
      <c r="A16" s="1"/>
      <c r="B16" s="7">
        <v>45316</v>
      </c>
      <c r="C16" s="7">
        <v>45411</v>
      </c>
      <c r="D16" s="7">
        <v>45931</v>
      </c>
      <c r="E16" s="8">
        <f t="shared" si="0"/>
        <v>520</v>
      </c>
      <c r="F16" s="8">
        <v>115422</v>
      </c>
      <c r="G16" s="12" t="s">
        <v>7</v>
      </c>
      <c r="H16" s="8" t="s">
        <v>56</v>
      </c>
      <c r="I16" s="10"/>
      <c r="J16" s="10"/>
      <c r="K16" s="10"/>
      <c r="L16" s="10"/>
      <c r="M16" s="10">
        <f t="shared" si="1"/>
        <v>0</v>
      </c>
      <c r="N16" s="10">
        <f t="shared" si="2"/>
        <v>0</v>
      </c>
      <c r="O16" s="10"/>
      <c r="P16" s="10"/>
      <c r="Q16" s="8" t="s">
        <v>30</v>
      </c>
      <c r="R16" s="8" t="s">
        <v>5</v>
      </c>
      <c r="S16" s="8"/>
      <c r="T16" s="11" t="s">
        <v>57</v>
      </c>
      <c r="U16" s="11"/>
      <c r="V16" s="11"/>
      <c r="W16" s="11"/>
      <c r="X16" s="11"/>
      <c r="Y16" s="11"/>
      <c r="Z16" s="11"/>
      <c r="AA16" s="11"/>
      <c r="AB16" s="11"/>
      <c r="AC16" s="1"/>
      <c r="AD16" s="1"/>
      <c r="AE16" s="1"/>
      <c r="AF16" s="1"/>
      <c r="AG16" s="1"/>
      <c r="AH16" s="1"/>
      <c r="AI16" s="1"/>
      <c r="AJ16" s="1"/>
      <c r="AK16" s="1"/>
      <c r="AL16" s="1"/>
      <c r="AM16" s="1"/>
    </row>
    <row r="17" spans="1:39" ht="15.75" customHeight="1">
      <c r="A17" s="1"/>
      <c r="B17" s="7">
        <v>45316</v>
      </c>
      <c r="C17" s="7">
        <v>45534</v>
      </c>
      <c r="D17" s="7">
        <v>45581</v>
      </c>
      <c r="E17" s="8">
        <f t="shared" si="0"/>
        <v>47</v>
      </c>
      <c r="F17" s="8">
        <v>89278</v>
      </c>
      <c r="G17" s="12" t="s">
        <v>32</v>
      </c>
      <c r="H17" s="8" t="s">
        <v>49</v>
      </c>
      <c r="I17" s="10"/>
      <c r="J17" s="10"/>
      <c r="K17" s="10"/>
      <c r="L17" s="10"/>
      <c r="M17" s="10">
        <f t="shared" si="1"/>
        <v>0</v>
      </c>
      <c r="N17" s="10">
        <f t="shared" si="2"/>
        <v>0</v>
      </c>
      <c r="O17" s="10"/>
      <c r="P17" s="10"/>
      <c r="Q17" s="8" t="s">
        <v>30</v>
      </c>
      <c r="R17" s="8" t="s">
        <v>5</v>
      </c>
      <c r="S17" s="8"/>
      <c r="T17" s="11" t="s">
        <v>58</v>
      </c>
      <c r="U17" s="11"/>
      <c r="V17" s="11"/>
      <c r="W17" s="11"/>
      <c r="X17" s="11"/>
      <c r="Y17" s="11"/>
      <c r="Z17" s="11"/>
      <c r="AA17" s="11"/>
      <c r="AB17" s="11"/>
      <c r="AC17" s="1"/>
      <c r="AD17" s="1"/>
      <c r="AE17" s="1"/>
      <c r="AF17" s="1"/>
      <c r="AG17" s="1"/>
      <c r="AH17" s="1"/>
      <c r="AI17" s="1"/>
      <c r="AJ17" s="1"/>
      <c r="AK17" s="1"/>
      <c r="AL17" s="1"/>
      <c r="AM17" s="1"/>
    </row>
    <row r="18" spans="1:39" ht="15.75" customHeight="1">
      <c r="A18" s="1"/>
      <c r="B18" s="7">
        <v>45316</v>
      </c>
      <c r="C18" s="7">
        <v>45446</v>
      </c>
      <c r="D18" s="7">
        <v>45629</v>
      </c>
      <c r="E18" s="8">
        <f t="shared" si="0"/>
        <v>183</v>
      </c>
      <c r="F18" s="8">
        <v>102271</v>
      </c>
      <c r="G18" s="12" t="s">
        <v>32</v>
      </c>
      <c r="H18" s="8" t="s">
        <v>59</v>
      </c>
      <c r="I18" s="10"/>
      <c r="J18" s="10"/>
      <c r="K18" s="10"/>
      <c r="L18" s="10"/>
      <c r="M18" s="10">
        <f t="shared" si="1"/>
        <v>0</v>
      </c>
      <c r="N18" s="10">
        <f t="shared" si="2"/>
        <v>0</v>
      </c>
      <c r="O18" s="10"/>
      <c r="P18" s="10"/>
      <c r="Q18" s="8" t="s">
        <v>30</v>
      </c>
      <c r="R18" s="8" t="s">
        <v>5</v>
      </c>
      <c r="S18" s="8"/>
      <c r="T18" s="11" t="s">
        <v>36</v>
      </c>
      <c r="U18" s="11"/>
      <c r="V18" s="11"/>
      <c r="W18" s="11"/>
      <c r="X18" s="11"/>
      <c r="Y18" s="11"/>
      <c r="Z18" s="11"/>
      <c r="AA18" s="11"/>
      <c r="AB18" s="11"/>
      <c r="AC18" s="1"/>
      <c r="AD18" s="1"/>
      <c r="AE18" s="1"/>
      <c r="AF18" s="1"/>
      <c r="AG18" s="1"/>
      <c r="AH18" s="1"/>
      <c r="AI18" s="1"/>
      <c r="AJ18" s="1"/>
      <c r="AK18" s="1"/>
      <c r="AL18" s="1"/>
      <c r="AM18" s="1"/>
    </row>
    <row r="19" spans="1:39" ht="15.75" customHeight="1">
      <c r="A19" s="1"/>
      <c r="B19" s="7">
        <v>45316</v>
      </c>
      <c r="C19" s="7">
        <v>45432</v>
      </c>
      <c r="D19" s="7">
        <v>45607</v>
      </c>
      <c r="E19" s="8">
        <f t="shared" si="0"/>
        <v>175</v>
      </c>
      <c r="F19" s="8">
        <v>86064</v>
      </c>
      <c r="G19" s="12" t="s">
        <v>7</v>
      </c>
      <c r="H19" s="8" t="s">
        <v>56</v>
      </c>
      <c r="I19" s="10"/>
      <c r="J19" s="10"/>
      <c r="K19" s="10"/>
      <c r="L19" s="10"/>
      <c r="M19" s="10">
        <f t="shared" si="1"/>
        <v>0</v>
      </c>
      <c r="N19" s="10">
        <f t="shared" si="2"/>
        <v>0</v>
      </c>
      <c r="O19" s="10"/>
      <c r="P19" s="10"/>
      <c r="Q19" s="8" t="s">
        <v>30</v>
      </c>
      <c r="R19" s="8" t="s">
        <v>5</v>
      </c>
      <c r="S19" s="8"/>
      <c r="T19" s="11" t="s">
        <v>60</v>
      </c>
      <c r="U19" s="11"/>
      <c r="V19" s="11"/>
      <c r="W19" s="11"/>
      <c r="X19" s="11"/>
      <c r="Y19" s="11"/>
      <c r="Z19" s="11"/>
      <c r="AA19" s="11"/>
      <c r="AB19" s="11"/>
      <c r="AC19" s="1"/>
      <c r="AD19" s="1"/>
      <c r="AE19" s="1"/>
      <c r="AF19" s="1"/>
      <c r="AG19" s="1"/>
      <c r="AH19" s="1"/>
      <c r="AI19" s="1"/>
      <c r="AJ19" s="1"/>
      <c r="AK19" s="1"/>
      <c r="AL19" s="1"/>
      <c r="AM19" s="1"/>
    </row>
    <row r="20" spans="1:39" ht="15.75" customHeight="1">
      <c r="A20" s="1"/>
      <c r="B20" s="7">
        <v>45323</v>
      </c>
      <c r="C20" s="7">
        <v>45456</v>
      </c>
      <c r="D20" s="7">
        <v>45600</v>
      </c>
      <c r="E20" s="8">
        <f t="shared" si="0"/>
        <v>144</v>
      </c>
      <c r="F20" s="8">
        <v>117106</v>
      </c>
      <c r="G20" s="12" t="s">
        <v>32</v>
      </c>
      <c r="H20" s="8" t="s">
        <v>62</v>
      </c>
      <c r="I20" s="10"/>
      <c r="J20" s="10"/>
      <c r="K20" s="10"/>
      <c r="L20" s="10"/>
      <c r="M20" s="10">
        <f t="shared" si="1"/>
        <v>0</v>
      </c>
      <c r="N20" s="10">
        <f t="shared" si="2"/>
        <v>0</v>
      </c>
      <c r="O20" s="10"/>
      <c r="P20" s="10"/>
      <c r="Q20" s="8" t="s">
        <v>30</v>
      </c>
      <c r="R20" s="8" t="s">
        <v>4</v>
      </c>
      <c r="S20" s="8" t="s">
        <v>37</v>
      </c>
      <c r="T20" s="11" t="s">
        <v>63</v>
      </c>
      <c r="U20" s="11"/>
      <c r="V20" s="11"/>
      <c r="W20" s="11"/>
      <c r="X20" s="11"/>
      <c r="Y20" s="11"/>
      <c r="Z20" s="11"/>
      <c r="AA20" s="11"/>
      <c r="AB20" s="11"/>
      <c r="AC20" s="1"/>
      <c r="AD20" s="1"/>
      <c r="AE20" s="1"/>
      <c r="AF20" s="1"/>
      <c r="AG20" s="1"/>
      <c r="AH20" s="1"/>
      <c r="AI20" s="1"/>
      <c r="AJ20" s="1"/>
      <c r="AK20" s="1"/>
      <c r="AL20" s="1"/>
      <c r="AM20" s="1"/>
    </row>
    <row r="21" spans="1:39" ht="15.75" customHeight="1">
      <c r="A21" s="1"/>
      <c r="B21" s="7">
        <v>45323</v>
      </c>
      <c r="C21" s="7">
        <v>45421</v>
      </c>
      <c r="D21" s="7">
        <v>45604</v>
      </c>
      <c r="E21" s="8">
        <f t="shared" si="0"/>
        <v>183</v>
      </c>
      <c r="F21" s="8">
        <v>118434</v>
      </c>
      <c r="G21" s="12" t="s">
        <v>7</v>
      </c>
      <c r="H21" s="8" t="s">
        <v>65</v>
      </c>
      <c r="I21" s="10"/>
      <c r="J21" s="10"/>
      <c r="K21" s="10"/>
      <c r="L21" s="10"/>
      <c r="M21" s="10">
        <f t="shared" si="1"/>
        <v>0</v>
      </c>
      <c r="N21" s="10">
        <f t="shared" si="2"/>
        <v>0</v>
      </c>
      <c r="O21" s="10"/>
      <c r="P21" s="10"/>
      <c r="Q21" s="8" t="s">
        <v>30</v>
      </c>
      <c r="R21" s="8" t="s">
        <v>6</v>
      </c>
      <c r="S21" s="8"/>
      <c r="T21" s="11" t="s">
        <v>66</v>
      </c>
      <c r="U21" s="11"/>
      <c r="V21" s="11"/>
      <c r="W21" s="11"/>
      <c r="X21" s="11"/>
      <c r="Y21" s="11"/>
      <c r="Z21" s="11"/>
      <c r="AA21" s="11"/>
      <c r="AB21" s="11"/>
      <c r="AC21" s="1"/>
      <c r="AD21" s="1"/>
      <c r="AE21" s="1"/>
      <c r="AF21" s="1"/>
      <c r="AG21" s="1"/>
      <c r="AH21" s="1"/>
      <c r="AI21" s="1"/>
      <c r="AJ21" s="1"/>
      <c r="AK21" s="1"/>
      <c r="AL21" s="1"/>
      <c r="AM21" s="1"/>
    </row>
    <row r="22" spans="1:39" ht="15.75" customHeight="1">
      <c r="A22" s="1"/>
      <c r="B22" s="7">
        <v>45337</v>
      </c>
      <c r="C22" s="7">
        <v>45447</v>
      </c>
      <c r="D22" s="7">
        <v>45580</v>
      </c>
      <c r="E22" s="8">
        <v>133</v>
      </c>
      <c r="F22" s="8">
        <v>114181</v>
      </c>
      <c r="G22" s="12" t="s">
        <v>32</v>
      </c>
      <c r="H22" s="8" t="s">
        <v>67</v>
      </c>
      <c r="I22" s="10"/>
      <c r="J22" s="10"/>
      <c r="K22" s="10"/>
      <c r="L22" s="10"/>
      <c r="M22" s="10">
        <f t="shared" si="1"/>
        <v>0</v>
      </c>
      <c r="N22" s="10">
        <f t="shared" si="2"/>
        <v>0</v>
      </c>
      <c r="O22" s="10"/>
      <c r="P22" s="10"/>
      <c r="Q22" s="8" t="s">
        <v>30</v>
      </c>
      <c r="R22" s="8" t="s">
        <v>4</v>
      </c>
      <c r="S22" s="8" t="s">
        <v>37</v>
      </c>
      <c r="T22" s="11" t="s">
        <v>68</v>
      </c>
      <c r="U22" s="11"/>
      <c r="V22" s="11"/>
      <c r="W22" s="11"/>
      <c r="X22" s="11"/>
      <c r="Y22" s="11"/>
      <c r="Z22" s="11"/>
      <c r="AA22" s="11"/>
      <c r="AB22" s="11"/>
      <c r="AC22" s="1"/>
      <c r="AD22" s="1"/>
      <c r="AE22" s="1"/>
      <c r="AF22" s="1"/>
      <c r="AG22" s="1"/>
      <c r="AH22" s="1"/>
      <c r="AI22" s="1"/>
      <c r="AJ22" s="1"/>
      <c r="AK22" s="1"/>
      <c r="AL22" s="1"/>
      <c r="AM22" s="1"/>
    </row>
    <row r="23" spans="1:39" ht="15.75" customHeight="1">
      <c r="A23" s="1"/>
      <c r="B23" s="7">
        <v>45337</v>
      </c>
      <c r="C23" s="7">
        <v>45414</v>
      </c>
      <c r="D23" s="7">
        <v>45916</v>
      </c>
      <c r="E23" s="8">
        <v>502</v>
      </c>
      <c r="F23" s="8">
        <v>117977</v>
      </c>
      <c r="G23" s="12" t="s">
        <v>32</v>
      </c>
      <c r="H23" s="8" t="s">
        <v>69</v>
      </c>
      <c r="I23" s="10"/>
      <c r="J23" s="10"/>
      <c r="K23" s="10"/>
      <c r="L23" s="10"/>
      <c r="M23" s="10">
        <f t="shared" si="1"/>
        <v>0</v>
      </c>
      <c r="N23" s="10">
        <f t="shared" si="2"/>
        <v>0</v>
      </c>
      <c r="O23" s="10"/>
      <c r="P23" s="10"/>
      <c r="Q23" s="8" t="s">
        <v>30</v>
      </c>
      <c r="R23" s="8" t="s">
        <v>4</v>
      </c>
      <c r="S23" s="8" t="s">
        <v>37</v>
      </c>
      <c r="T23" s="11" t="s">
        <v>70</v>
      </c>
      <c r="U23" s="11"/>
      <c r="V23" s="11"/>
      <c r="W23" s="11"/>
      <c r="X23" s="11"/>
      <c r="Y23" s="11"/>
      <c r="Z23" s="11"/>
      <c r="AA23" s="11"/>
      <c r="AB23" s="11"/>
      <c r="AC23" s="1"/>
      <c r="AD23" s="1"/>
      <c r="AE23" s="1"/>
      <c r="AF23" s="1"/>
      <c r="AG23" s="1"/>
      <c r="AH23" s="1"/>
      <c r="AI23" s="1"/>
      <c r="AJ23" s="1"/>
      <c r="AK23" s="1"/>
      <c r="AL23" s="1"/>
      <c r="AM23" s="1"/>
    </row>
    <row r="24" spans="1:39" ht="15.75" customHeight="1">
      <c r="A24" s="1"/>
      <c r="B24" s="7">
        <v>45337</v>
      </c>
      <c r="C24" s="7">
        <v>45495</v>
      </c>
      <c r="D24" s="7">
        <v>45593</v>
      </c>
      <c r="E24" s="8">
        <v>98</v>
      </c>
      <c r="F24" s="8">
        <v>94631</v>
      </c>
      <c r="G24" s="12" t="s">
        <v>32</v>
      </c>
      <c r="H24" s="8" t="s">
        <v>49</v>
      </c>
      <c r="I24" s="10"/>
      <c r="J24" s="10"/>
      <c r="K24" s="10"/>
      <c r="L24" s="10"/>
      <c r="M24" s="10">
        <f t="shared" si="1"/>
        <v>0</v>
      </c>
      <c r="N24" s="10">
        <f t="shared" si="2"/>
        <v>0</v>
      </c>
      <c r="O24" s="10"/>
      <c r="P24" s="10"/>
      <c r="Q24" s="8" t="s">
        <v>30</v>
      </c>
      <c r="R24" s="8" t="s">
        <v>4</v>
      </c>
      <c r="S24" s="8" t="s">
        <v>37</v>
      </c>
      <c r="T24" s="11" t="s">
        <v>71</v>
      </c>
      <c r="U24" s="11"/>
      <c r="V24" s="11"/>
      <c r="W24" s="11"/>
      <c r="X24" s="11"/>
      <c r="Y24" s="11"/>
      <c r="Z24" s="11"/>
      <c r="AA24" s="11"/>
      <c r="AB24" s="11"/>
      <c r="AC24" s="1"/>
      <c r="AD24" s="1"/>
      <c r="AE24" s="1"/>
      <c r="AF24" s="1"/>
      <c r="AG24" s="1"/>
      <c r="AH24" s="1"/>
      <c r="AI24" s="1"/>
      <c r="AJ24" s="1"/>
      <c r="AK24" s="1"/>
      <c r="AL24" s="1"/>
      <c r="AM24" s="1"/>
    </row>
    <row r="25" spans="1:39" ht="15.75" customHeight="1">
      <c r="A25" s="1"/>
      <c r="B25" s="7">
        <v>45337</v>
      </c>
      <c r="C25" s="7">
        <v>45404</v>
      </c>
      <c r="D25" s="7">
        <v>45474</v>
      </c>
      <c r="E25" s="8">
        <v>70</v>
      </c>
      <c r="F25" s="8">
        <v>120050</v>
      </c>
      <c r="G25" s="12" t="s">
        <v>7</v>
      </c>
      <c r="H25" s="8" t="s">
        <v>72</v>
      </c>
      <c r="I25" s="10"/>
      <c r="J25" s="10"/>
      <c r="K25" s="10"/>
      <c r="L25" s="10"/>
      <c r="M25" s="10">
        <f t="shared" si="1"/>
        <v>0</v>
      </c>
      <c r="N25" s="10">
        <f t="shared" si="2"/>
        <v>0</v>
      </c>
      <c r="O25" s="10"/>
      <c r="P25" s="10"/>
      <c r="Q25" s="8" t="s">
        <v>30</v>
      </c>
      <c r="R25" s="8" t="s">
        <v>6</v>
      </c>
      <c r="S25" s="8"/>
      <c r="T25" s="11" t="s">
        <v>73</v>
      </c>
      <c r="U25" s="11"/>
      <c r="V25" s="11"/>
      <c r="W25" s="11"/>
      <c r="X25" s="11"/>
      <c r="Y25" s="11"/>
      <c r="Z25" s="11"/>
      <c r="AA25" s="11"/>
      <c r="AB25" s="11"/>
      <c r="AC25" s="1"/>
      <c r="AD25" s="1"/>
      <c r="AE25" s="1"/>
      <c r="AF25" s="1"/>
      <c r="AG25" s="1"/>
      <c r="AH25" s="1"/>
      <c r="AI25" s="1"/>
      <c r="AJ25" s="1"/>
      <c r="AK25" s="1"/>
      <c r="AL25" s="1"/>
      <c r="AM25" s="1"/>
    </row>
    <row r="26" spans="1:39" ht="15.75" customHeight="1">
      <c r="A26" s="1"/>
      <c r="B26" s="7">
        <v>45337</v>
      </c>
      <c r="C26" s="7">
        <v>45425</v>
      </c>
      <c r="D26" s="7">
        <v>45561</v>
      </c>
      <c r="E26" s="8">
        <v>136</v>
      </c>
      <c r="F26" s="8">
        <v>85692</v>
      </c>
      <c r="G26" s="12" t="s">
        <v>7</v>
      </c>
      <c r="H26" s="8" t="s">
        <v>65</v>
      </c>
      <c r="I26" s="10"/>
      <c r="J26" s="10"/>
      <c r="K26" s="10"/>
      <c r="L26" s="10"/>
      <c r="M26" s="10">
        <f t="shared" si="1"/>
        <v>0</v>
      </c>
      <c r="N26" s="10">
        <f t="shared" si="2"/>
        <v>0</v>
      </c>
      <c r="O26" s="10"/>
      <c r="P26" s="10"/>
      <c r="Q26" s="8" t="s">
        <v>30</v>
      </c>
      <c r="R26" s="8" t="s">
        <v>4</v>
      </c>
      <c r="S26" s="8" t="s">
        <v>37</v>
      </c>
      <c r="T26" s="11" t="s">
        <v>36</v>
      </c>
      <c r="U26" s="11"/>
      <c r="V26" s="11"/>
      <c r="W26" s="11"/>
      <c r="X26" s="11"/>
      <c r="Y26" s="11"/>
      <c r="Z26" s="11"/>
      <c r="AA26" s="11"/>
      <c r="AB26" s="11"/>
      <c r="AC26" s="1"/>
      <c r="AD26" s="1"/>
      <c r="AE26" s="1"/>
      <c r="AF26" s="1"/>
      <c r="AG26" s="1"/>
      <c r="AH26" s="1"/>
      <c r="AI26" s="1"/>
      <c r="AJ26" s="1"/>
      <c r="AK26" s="1"/>
      <c r="AL26" s="1"/>
      <c r="AM26" s="1"/>
    </row>
    <row r="27" spans="1:39" ht="15.75" customHeight="1">
      <c r="A27" s="1"/>
      <c r="B27" s="7">
        <v>45337</v>
      </c>
      <c r="C27" s="7">
        <v>45414</v>
      </c>
      <c r="D27" s="7">
        <v>45615</v>
      </c>
      <c r="E27" s="8">
        <v>201</v>
      </c>
      <c r="F27" s="14">
        <v>78637</v>
      </c>
      <c r="G27" s="12" t="s">
        <v>32</v>
      </c>
      <c r="H27" s="8" t="s">
        <v>74</v>
      </c>
      <c r="I27" s="10"/>
      <c r="J27" s="10"/>
      <c r="K27" s="10"/>
      <c r="L27" s="10"/>
      <c r="M27" s="10">
        <f t="shared" si="1"/>
        <v>0</v>
      </c>
      <c r="N27" s="10">
        <f t="shared" si="2"/>
        <v>0</v>
      </c>
      <c r="O27" s="10"/>
      <c r="P27" s="10"/>
      <c r="Q27" s="8" t="s">
        <v>30</v>
      </c>
      <c r="R27" s="8" t="s">
        <v>6</v>
      </c>
      <c r="S27" s="8"/>
      <c r="T27" s="11" t="s">
        <v>75</v>
      </c>
      <c r="U27" s="11"/>
      <c r="V27" s="11"/>
      <c r="W27" s="11"/>
      <c r="X27" s="11"/>
      <c r="Y27" s="11"/>
      <c r="Z27" s="11"/>
      <c r="AA27" s="11"/>
      <c r="AB27" s="11"/>
      <c r="AC27" s="1"/>
      <c r="AD27" s="1"/>
      <c r="AE27" s="1"/>
      <c r="AF27" s="1"/>
      <c r="AG27" s="1"/>
      <c r="AH27" s="1"/>
      <c r="AI27" s="1"/>
      <c r="AJ27" s="1"/>
      <c r="AK27" s="1"/>
      <c r="AL27" s="1"/>
      <c r="AM27" s="1"/>
    </row>
    <row r="28" spans="1:39" ht="15.75" customHeight="1">
      <c r="A28" s="1"/>
      <c r="B28" s="7">
        <v>45337</v>
      </c>
      <c r="C28" s="7">
        <v>45392</v>
      </c>
      <c r="D28" s="7">
        <v>45624</v>
      </c>
      <c r="E28" s="8">
        <v>232</v>
      </c>
      <c r="F28" s="14">
        <v>67580</v>
      </c>
      <c r="G28" s="12" t="s">
        <v>32</v>
      </c>
      <c r="H28" s="8" t="s">
        <v>76</v>
      </c>
      <c r="I28" s="10"/>
      <c r="J28" s="10"/>
      <c r="K28" s="10"/>
      <c r="L28" s="10"/>
      <c r="M28" s="10">
        <f t="shared" si="1"/>
        <v>0</v>
      </c>
      <c r="N28" s="10">
        <f t="shared" si="2"/>
        <v>0</v>
      </c>
      <c r="O28" s="10"/>
      <c r="P28" s="10"/>
      <c r="Q28" s="8" t="s">
        <v>30</v>
      </c>
      <c r="R28" s="8" t="s">
        <v>4</v>
      </c>
      <c r="S28" s="8" t="s">
        <v>37</v>
      </c>
      <c r="T28" s="11" t="s">
        <v>47</v>
      </c>
      <c r="U28" s="11"/>
      <c r="V28" s="11"/>
      <c r="W28" s="11"/>
      <c r="X28" s="11"/>
      <c r="Y28" s="11"/>
      <c r="Z28" s="11"/>
      <c r="AA28" s="11"/>
      <c r="AB28" s="11"/>
      <c r="AC28" s="1"/>
      <c r="AD28" s="1"/>
      <c r="AE28" s="1"/>
      <c r="AF28" s="1"/>
      <c r="AG28" s="1"/>
      <c r="AH28" s="1"/>
      <c r="AI28" s="1"/>
      <c r="AJ28" s="1"/>
      <c r="AK28" s="1"/>
      <c r="AL28" s="1"/>
      <c r="AM28" s="1"/>
    </row>
    <row r="29" spans="1:39" ht="15.75" customHeight="1">
      <c r="A29" s="1"/>
      <c r="B29" s="7">
        <v>45337</v>
      </c>
      <c r="C29" s="7">
        <v>45394</v>
      </c>
      <c r="D29" s="7">
        <v>45978</v>
      </c>
      <c r="E29" s="8">
        <v>581</v>
      </c>
      <c r="F29" s="14">
        <v>107794</v>
      </c>
      <c r="G29" s="12" t="s">
        <v>7</v>
      </c>
      <c r="H29" s="8" t="s">
        <v>51</v>
      </c>
      <c r="I29" s="10"/>
      <c r="J29" s="10"/>
      <c r="K29" s="10"/>
      <c r="L29" s="10"/>
      <c r="M29" s="10">
        <f t="shared" si="1"/>
        <v>0</v>
      </c>
      <c r="N29" s="10">
        <f t="shared" si="2"/>
        <v>0</v>
      </c>
      <c r="O29" s="10"/>
      <c r="P29" s="10"/>
      <c r="Q29" s="8" t="s">
        <v>30</v>
      </c>
      <c r="R29" s="8" t="s">
        <v>4</v>
      </c>
      <c r="S29" s="8" t="s">
        <v>37</v>
      </c>
      <c r="T29" s="11" t="s">
        <v>77</v>
      </c>
      <c r="U29" s="11"/>
      <c r="V29" s="11"/>
      <c r="W29" s="11"/>
      <c r="X29" s="11"/>
      <c r="Y29" s="11"/>
      <c r="Z29" s="11"/>
      <c r="AA29" s="11"/>
      <c r="AB29" s="11"/>
      <c r="AC29" s="1"/>
      <c r="AD29" s="1"/>
      <c r="AE29" s="1"/>
      <c r="AF29" s="1"/>
      <c r="AG29" s="1"/>
      <c r="AH29" s="1"/>
      <c r="AI29" s="1"/>
      <c r="AJ29" s="1"/>
      <c r="AK29" s="1"/>
      <c r="AL29" s="1"/>
      <c r="AM29" s="1"/>
    </row>
    <row r="30" spans="1:39" ht="15.75" customHeight="1">
      <c r="A30" s="1"/>
      <c r="B30" s="7">
        <v>45337</v>
      </c>
      <c r="C30" s="7">
        <v>45370</v>
      </c>
      <c r="D30" s="7">
        <v>45672</v>
      </c>
      <c r="E30" s="8">
        <v>302</v>
      </c>
      <c r="F30" s="14">
        <v>68813</v>
      </c>
      <c r="G30" s="12" t="s">
        <v>32</v>
      </c>
      <c r="H30" s="8" t="s">
        <v>78</v>
      </c>
      <c r="I30" s="10"/>
      <c r="J30" s="10"/>
      <c r="K30" s="10"/>
      <c r="L30" s="10"/>
      <c r="M30" s="10">
        <f t="shared" si="1"/>
        <v>0</v>
      </c>
      <c r="N30" s="10">
        <f t="shared" si="2"/>
        <v>0</v>
      </c>
      <c r="O30" s="10"/>
      <c r="P30" s="10"/>
      <c r="Q30" s="8" t="s">
        <v>30</v>
      </c>
      <c r="R30" s="8" t="s">
        <v>6</v>
      </c>
      <c r="S30" s="8"/>
      <c r="T30" s="11" t="s">
        <v>79</v>
      </c>
      <c r="U30" s="11"/>
      <c r="V30" s="11"/>
      <c r="W30" s="11"/>
      <c r="X30" s="11"/>
      <c r="Y30" s="11"/>
      <c r="Z30" s="11"/>
      <c r="AA30" s="11"/>
      <c r="AB30" s="11"/>
      <c r="AC30" s="1"/>
      <c r="AD30" s="1"/>
      <c r="AE30" s="1"/>
      <c r="AF30" s="1"/>
      <c r="AG30" s="1"/>
      <c r="AH30" s="1"/>
      <c r="AI30" s="1"/>
      <c r="AJ30" s="1"/>
      <c r="AK30" s="1"/>
      <c r="AL30" s="1"/>
      <c r="AM30" s="1"/>
    </row>
    <row r="31" spans="1:39" ht="15.75" customHeight="1">
      <c r="A31" s="1"/>
      <c r="B31" s="7">
        <v>45351</v>
      </c>
      <c r="C31" s="7">
        <v>45404</v>
      </c>
      <c r="D31" s="7">
        <v>46308</v>
      </c>
      <c r="E31" s="8">
        <v>904</v>
      </c>
      <c r="F31" s="14">
        <v>16334</v>
      </c>
      <c r="G31" s="12" t="s">
        <v>7</v>
      </c>
      <c r="H31" s="8" t="s">
        <v>80</v>
      </c>
      <c r="I31" s="10"/>
      <c r="J31" s="10"/>
      <c r="K31" s="10"/>
      <c r="L31" s="10"/>
      <c r="M31" s="10">
        <f t="shared" si="1"/>
        <v>0</v>
      </c>
      <c r="N31" s="10">
        <f t="shared" si="2"/>
        <v>0</v>
      </c>
      <c r="O31" s="10"/>
      <c r="P31" s="10"/>
      <c r="Q31" s="8" t="s">
        <v>30</v>
      </c>
      <c r="R31" s="8" t="s">
        <v>4</v>
      </c>
      <c r="S31" s="8" t="s">
        <v>37</v>
      </c>
      <c r="T31" s="11" t="s">
        <v>81</v>
      </c>
      <c r="U31" s="11"/>
      <c r="V31" s="11"/>
      <c r="W31" s="11"/>
      <c r="X31" s="11"/>
      <c r="Y31" s="11"/>
      <c r="Z31" s="11"/>
      <c r="AA31" s="11"/>
      <c r="AB31" s="11"/>
      <c r="AC31" s="1"/>
      <c r="AD31" s="1"/>
      <c r="AE31" s="1"/>
      <c r="AF31" s="1"/>
      <c r="AG31" s="1"/>
      <c r="AH31" s="1"/>
      <c r="AI31" s="1"/>
      <c r="AJ31" s="1"/>
      <c r="AK31" s="1"/>
      <c r="AL31" s="1"/>
      <c r="AM31" s="1"/>
    </row>
    <row r="32" spans="1:39" ht="15.75" customHeight="1">
      <c r="A32" s="1"/>
      <c r="B32" s="7">
        <v>45351</v>
      </c>
      <c r="C32" s="7">
        <v>45441</v>
      </c>
      <c r="D32" s="7">
        <v>46189</v>
      </c>
      <c r="E32" s="8">
        <v>748</v>
      </c>
      <c r="F32" s="14">
        <v>12286</v>
      </c>
      <c r="G32" s="12" t="s">
        <v>7</v>
      </c>
      <c r="H32" s="8" t="s">
        <v>82</v>
      </c>
      <c r="I32" s="10"/>
      <c r="J32" s="10"/>
      <c r="K32" s="10"/>
      <c r="L32" s="10"/>
      <c r="M32" s="10">
        <f t="shared" si="1"/>
        <v>0</v>
      </c>
      <c r="N32" s="10">
        <f t="shared" si="2"/>
        <v>0</v>
      </c>
      <c r="O32" s="10"/>
      <c r="P32" s="10"/>
      <c r="Q32" s="8" t="s">
        <v>30</v>
      </c>
      <c r="R32" s="8" t="s">
        <v>6</v>
      </c>
      <c r="S32" s="8"/>
      <c r="T32" s="11" t="s">
        <v>36</v>
      </c>
      <c r="U32" s="11"/>
      <c r="V32" s="11"/>
      <c r="W32" s="11"/>
      <c r="X32" s="11"/>
      <c r="Y32" s="11"/>
      <c r="Z32" s="11"/>
      <c r="AA32" s="11"/>
      <c r="AB32" s="11"/>
      <c r="AC32" s="1"/>
      <c r="AD32" s="1"/>
      <c r="AE32" s="1"/>
      <c r="AF32" s="1"/>
      <c r="AG32" s="1"/>
      <c r="AH32" s="1"/>
      <c r="AI32" s="1"/>
      <c r="AJ32" s="1"/>
      <c r="AK32" s="1"/>
      <c r="AL32" s="1"/>
      <c r="AM32" s="1"/>
    </row>
    <row r="33" spans="1:39" ht="15.75" customHeight="1">
      <c r="A33" s="1"/>
      <c r="B33" s="7">
        <v>45351</v>
      </c>
      <c r="C33" s="7">
        <v>45400</v>
      </c>
      <c r="D33" s="7">
        <v>45992</v>
      </c>
      <c r="E33" s="8">
        <v>592</v>
      </c>
      <c r="F33" s="14">
        <v>109964</v>
      </c>
      <c r="G33" s="12" t="s">
        <v>7</v>
      </c>
      <c r="H33" s="8" t="s">
        <v>83</v>
      </c>
      <c r="I33" s="10"/>
      <c r="J33" s="10"/>
      <c r="K33" s="10"/>
      <c r="L33" s="10"/>
      <c r="M33" s="10">
        <f t="shared" si="1"/>
        <v>0</v>
      </c>
      <c r="N33" s="10">
        <f t="shared" si="2"/>
        <v>0</v>
      </c>
      <c r="O33" s="10"/>
      <c r="P33" s="10"/>
      <c r="Q33" s="8" t="s">
        <v>30</v>
      </c>
      <c r="R33" s="8" t="s">
        <v>4</v>
      </c>
      <c r="S33" s="8" t="s">
        <v>37</v>
      </c>
      <c r="T33" s="11" t="s">
        <v>84</v>
      </c>
      <c r="U33" s="11"/>
      <c r="V33" s="11"/>
      <c r="W33" s="11"/>
      <c r="X33" s="11"/>
      <c r="Y33" s="11"/>
      <c r="Z33" s="11"/>
      <c r="AA33" s="11"/>
      <c r="AB33" s="11"/>
      <c r="AC33" s="1"/>
      <c r="AD33" s="1"/>
      <c r="AE33" s="1"/>
      <c r="AF33" s="1"/>
      <c r="AG33" s="1"/>
      <c r="AH33" s="1"/>
      <c r="AI33" s="1"/>
      <c r="AJ33" s="1"/>
      <c r="AK33" s="1"/>
      <c r="AL33" s="1"/>
      <c r="AM33" s="1"/>
    </row>
    <row r="34" spans="1:39" ht="15.75" customHeight="1">
      <c r="A34" s="1"/>
      <c r="B34" s="7">
        <v>45351</v>
      </c>
      <c r="C34" s="7">
        <v>45415</v>
      </c>
      <c r="D34" s="7">
        <v>45581</v>
      </c>
      <c r="E34" s="8">
        <v>166</v>
      </c>
      <c r="F34" s="14">
        <v>69038</v>
      </c>
      <c r="G34" s="12" t="s">
        <v>32</v>
      </c>
      <c r="H34" s="8" t="s">
        <v>64</v>
      </c>
      <c r="I34" s="10"/>
      <c r="J34" s="10"/>
      <c r="K34" s="10"/>
      <c r="L34" s="10"/>
      <c r="M34" s="10">
        <f t="shared" si="1"/>
        <v>0</v>
      </c>
      <c r="N34" s="10">
        <f t="shared" si="2"/>
        <v>0</v>
      </c>
      <c r="O34" s="10"/>
      <c r="P34" s="10"/>
      <c r="Q34" s="8" t="s">
        <v>30</v>
      </c>
      <c r="R34" s="8" t="s">
        <v>5</v>
      </c>
      <c r="S34" s="8" t="s">
        <v>41</v>
      </c>
      <c r="T34" s="11" t="s">
        <v>85</v>
      </c>
      <c r="U34" s="11"/>
      <c r="V34" s="11"/>
      <c r="W34" s="11"/>
      <c r="X34" s="11"/>
      <c r="Y34" s="11"/>
      <c r="Z34" s="11"/>
      <c r="AA34" s="11"/>
      <c r="AB34" s="11"/>
      <c r="AC34" s="1"/>
      <c r="AD34" s="1"/>
      <c r="AE34" s="1"/>
      <c r="AF34" s="1"/>
      <c r="AG34" s="1"/>
      <c r="AH34" s="1"/>
      <c r="AI34" s="1"/>
      <c r="AJ34" s="1"/>
      <c r="AK34" s="1"/>
      <c r="AL34" s="1"/>
      <c r="AM34" s="1"/>
    </row>
    <row r="35" spans="1:39" ht="15.75" customHeight="1">
      <c r="A35" s="1"/>
      <c r="B35" s="7">
        <v>45351</v>
      </c>
      <c r="C35" s="7">
        <v>45524</v>
      </c>
      <c r="D35" s="7">
        <v>45992</v>
      </c>
      <c r="E35" s="8">
        <v>468</v>
      </c>
      <c r="F35" s="14">
        <v>115425</v>
      </c>
      <c r="G35" s="12" t="s">
        <v>7</v>
      </c>
      <c r="H35" s="8" t="s">
        <v>56</v>
      </c>
      <c r="I35" s="10"/>
      <c r="J35" s="10"/>
      <c r="K35" s="10"/>
      <c r="L35" s="10"/>
      <c r="M35" s="10">
        <f t="shared" si="1"/>
        <v>0</v>
      </c>
      <c r="N35" s="10">
        <f t="shared" si="2"/>
        <v>0</v>
      </c>
      <c r="O35" s="10"/>
      <c r="P35" s="10"/>
      <c r="Q35" s="8" t="s">
        <v>30</v>
      </c>
      <c r="R35" s="8" t="s">
        <v>4</v>
      </c>
      <c r="S35" s="8" t="s">
        <v>37</v>
      </c>
      <c r="T35" s="11" t="s">
        <v>86</v>
      </c>
      <c r="U35" s="11"/>
      <c r="V35" s="11"/>
      <c r="W35" s="11"/>
      <c r="X35" s="11"/>
      <c r="Y35" s="11"/>
      <c r="Z35" s="11"/>
      <c r="AA35" s="11"/>
      <c r="AB35" s="11"/>
      <c r="AC35" s="1"/>
      <c r="AD35" s="1"/>
      <c r="AE35" s="1"/>
      <c r="AF35" s="1"/>
      <c r="AG35" s="1"/>
      <c r="AH35" s="1"/>
      <c r="AI35" s="1"/>
      <c r="AJ35" s="1"/>
      <c r="AK35" s="1"/>
      <c r="AL35" s="1"/>
      <c r="AM35" s="1"/>
    </row>
    <row r="36" spans="1:39" ht="15.75" customHeight="1">
      <c r="A36" s="1"/>
      <c r="B36" s="7">
        <v>45351</v>
      </c>
      <c r="C36" s="7">
        <v>45490</v>
      </c>
      <c r="D36" s="7">
        <v>45688</v>
      </c>
      <c r="E36" s="8">
        <v>198</v>
      </c>
      <c r="F36" s="14">
        <v>78846</v>
      </c>
      <c r="G36" s="12" t="s">
        <v>32</v>
      </c>
      <c r="H36" s="8" t="s">
        <v>87</v>
      </c>
      <c r="I36" s="10"/>
      <c r="J36" s="10"/>
      <c r="K36" s="10"/>
      <c r="L36" s="10"/>
      <c r="M36" s="10">
        <f t="shared" si="1"/>
        <v>0</v>
      </c>
      <c r="N36" s="10">
        <f t="shared" si="2"/>
        <v>0</v>
      </c>
      <c r="O36" s="10"/>
      <c r="P36" s="10"/>
      <c r="Q36" s="8" t="s">
        <v>30</v>
      </c>
      <c r="R36" s="8" t="s">
        <v>4</v>
      </c>
      <c r="S36" s="8" t="s">
        <v>37</v>
      </c>
      <c r="T36" s="11" t="s">
        <v>88</v>
      </c>
      <c r="U36" s="11"/>
      <c r="V36" s="11"/>
      <c r="W36" s="11"/>
      <c r="X36" s="11"/>
      <c r="Y36" s="11"/>
      <c r="Z36" s="11"/>
      <c r="AA36" s="11"/>
      <c r="AB36" s="11"/>
      <c r="AC36" s="1"/>
      <c r="AD36" s="1"/>
      <c r="AE36" s="1"/>
      <c r="AF36" s="1"/>
      <c r="AG36" s="1"/>
      <c r="AH36" s="1"/>
      <c r="AI36" s="1"/>
      <c r="AJ36" s="1"/>
      <c r="AK36" s="1"/>
      <c r="AL36" s="1"/>
      <c r="AM36" s="1"/>
    </row>
    <row r="37" spans="1:39" ht="15.75" customHeight="1">
      <c r="A37" s="1"/>
      <c r="B37" s="7">
        <v>45351</v>
      </c>
      <c r="C37" s="7">
        <v>45748</v>
      </c>
      <c r="D37" s="7">
        <v>45943</v>
      </c>
      <c r="E37" s="8">
        <v>195</v>
      </c>
      <c r="F37" s="14">
        <v>67333</v>
      </c>
      <c r="G37" s="12" t="s">
        <v>32</v>
      </c>
      <c r="H37" s="8" t="s">
        <v>62</v>
      </c>
      <c r="I37" s="10"/>
      <c r="J37" s="10"/>
      <c r="K37" s="10"/>
      <c r="L37" s="10"/>
      <c r="M37" s="10">
        <f t="shared" ref="M37:M68" si="3">SUM(I37:L37)</f>
        <v>0</v>
      </c>
      <c r="N37" s="10">
        <f t="shared" si="2"/>
        <v>0</v>
      </c>
      <c r="O37" s="10"/>
      <c r="P37" s="10"/>
      <c r="Q37" s="8" t="s">
        <v>30</v>
      </c>
      <c r="R37" s="8" t="s">
        <v>6</v>
      </c>
      <c r="S37" s="8"/>
      <c r="T37" s="11" t="s">
        <v>89</v>
      </c>
      <c r="U37" s="11"/>
      <c r="V37" s="11"/>
      <c r="W37" s="11"/>
      <c r="X37" s="11"/>
      <c r="Y37" s="11"/>
      <c r="Z37" s="11"/>
      <c r="AA37" s="11"/>
      <c r="AB37" s="11"/>
      <c r="AC37" s="1"/>
      <c r="AD37" s="1"/>
      <c r="AE37" s="1"/>
      <c r="AF37" s="1"/>
      <c r="AG37" s="1"/>
      <c r="AH37" s="1"/>
      <c r="AI37" s="1"/>
      <c r="AJ37" s="1"/>
      <c r="AK37" s="1"/>
      <c r="AL37" s="1"/>
      <c r="AM37" s="1"/>
    </row>
    <row r="38" spans="1:39" ht="15.75" customHeight="1">
      <c r="A38" s="1"/>
      <c r="B38" s="7">
        <v>45351</v>
      </c>
      <c r="C38" s="7">
        <v>45411</v>
      </c>
      <c r="D38" s="7">
        <v>45484</v>
      </c>
      <c r="E38" s="8">
        <v>73</v>
      </c>
      <c r="F38" s="14">
        <v>108809</v>
      </c>
      <c r="G38" s="12" t="s">
        <v>32</v>
      </c>
      <c r="H38" s="8" t="s">
        <v>62</v>
      </c>
      <c r="I38" s="10"/>
      <c r="J38" s="10"/>
      <c r="K38" s="10"/>
      <c r="L38" s="10"/>
      <c r="M38" s="10">
        <f t="shared" si="3"/>
        <v>0</v>
      </c>
      <c r="N38" s="10">
        <f t="shared" si="2"/>
        <v>0</v>
      </c>
      <c r="O38" s="10"/>
      <c r="P38" s="10"/>
      <c r="Q38" s="8" t="s">
        <v>30</v>
      </c>
      <c r="R38" s="8" t="s">
        <v>4</v>
      </c>
      <c r="S38" s="8" t="s">
        <v>37</v>
      </c>
      <c r="T38" s="11" t="s">
        <v>90</v>
      </c>
      <c r="U38" s="11"/>
      <c r="V38" s="11"/>
      <c r="W38" s="11"/>
      <c r="X38" s="11"/>
      <c r="Y38" s="11"/>
      <c r="Z38" s="11"/>
      <c r="AA38" s="11"/>
      <c r="AB38" s="11"/>
      <c r="AC38" s="1"/>
      <c r="AD38" s="1"/>
      <c r="AE38" s="1"/>
      <c r="AF38" s="1"/>
      <c r="AG38" s="1"/>
      <c r="AH38" s="1"/>
      <c r="AI38" s="1"/>
      <c r="AJ38" s="1"/>
      <c r="AK38" s="1"/>
      <c r="AL38" s="1"/>
      <c r="AM38" s="1"/>
    </row>
    <row r="39" spans="1:39" ht="15.75" customHeight="1">
      <c r="A39" s="1"/>
      <c r="B39" s="7">
        <v>45365</v>
      </c>
      <c r="C39" s="7">
        <v>45850</v>
      </c>
      <c r="D39" s="7">
        <v>45860</v>
      </c>
      <c r="E39" s="8">
        <v>10</v>
      </c>
      <c r="F39" s="14">
        <v>10943</v>
      </c>
      <c r="G39" s="12" t="s">
        <v>7</v>
      </c>
      <c r="H39" s="8"/>
      <c r="I39" s="10"/>
      <c r="J39" s="10"/>
      <c r="K39" s="10"/>
      <c r="L39" s="10"/>
      <c r="M39" s="10">
        <f t="shared" si="3"/>
        <v>0</v>
      </c>
      <c r="N39" s="10">
        <f t="shared" si="2"/>
        <v>0</v>
      </c>
      <c r="O39" s="10"/>
      <c r="P39" s="10"/>
      <c r="Q39" s="8" t="s">
        <v>30</v>
      </c>
      <c r="R39" s="8" t="s">
        <v>6</v>
      </c>
      <c r="S39" s="8"/>
      <c r="T39" s="11"/>
      <c r="U39" s="11"/>
      <c r="V39" s="11"/>
      <c r="W39" s="11"/>
      <c r="X39" s="11"/>
      <c r="Y39" s="11"/>
      <c r="Z39" s="11"/>
      <c r="AA39" s="11"/>
      <c r="AB39" s="11"/>
      <c r="AC39" s="1"/>
      <c r="AD39" s="1"/>
      <c r="AE39" s="1"/>
      <c r="AF39" s="1"/>
      <c r="AG39" s="1"/>
      <c r="AH39" s="1"/>
      <c r="AI39" s="1"/>
      <c r="AJ39" s="1"/>
      <c r="AK39" s="1"/>
      <c r="AL39" s="1"/>
      <c r="AM39" s="1"/>
    </row>
    <row r="40" spans="1:39" ht="15.75" customHeight="1">
      <c r="A40" s="1"/>
      <c r="B40" s="7">
        <v>45365</v>
      </c>
      <c r="C40" s="7">
        <v>45491</v>
      </c>
      <c r="D40" s="7">
        <v>45499</v>
      </c>
      <c r="E40" s="8">
        <v>8</v>
      </c>
      <c r="F40" s="14">
        <v>114039</v>
      </c>
      <c r="G40" s="12" t="s">
        <v>32</v>
      </c>
      <c r="H40" s="8" t="s">
        <v>91</v>
      </c>
      <c r="I40" s="10"/>
      <c r="J40" s="10"/>
      <c r="K40" s="10"/>
      <c r="L40" s="10"/>
      <c r="M40" s="10">
        <f t="shared" si="3"/>
        <v>0</v>
      </c>
      <c r="N40" s="10">
        <f t="shared" si="2"/>
        <v>0</v>
      </c>
      <c r="O40" s="10"/>
      <c r="P40" s="10"/>
      <c r="Q40" s="8" t="s">
        <v>30</v>
      </c>
      <c r="R40" s="8" t="s">
        <v>6</v>
      </c>
      <c r="S40" s="8"/>
      <c r="T40" s="11"/>
      <c r="U40" s="11"/>
      <c r="V40" s="11"/>
      <c r="W40" s="11"/>
      <c r="X40" s="11"/>
      <c r="Y40" s="11"/>
      <c r="Z40" s="11"/>
      <c r="AA40" s="11"/>
      <c r="AB40" s="11"/>
      <c r="AC40" s="1"/>
      <c r="AD40" s="1"/>
      <c r="AE40" s="1"/>
      <c r="AF40" s="1"/>
      <c r="AG40" s="1"/>
      <c r="AH40" s="1"/>
      <c r="AI40" s="1"/>
      <c r="AJ40" s="1"/>
      <c r="AK40" s="1"/>
      <c r="AL40" s="1"/>
      <c r="AM40" s="1"/>
    </row>
    <row r="41" spans="1:39" ht="15.75" customHeight="1">
      <c r="A41" s="1"/>
      <c r="B41" s="7">
        <v>45365</v>
      </c>
      <c r="C41" s="7">
        <v>45412</v>
      </c>
      <c r="D41" s="7">
        <v>45553</v>
      </c>
      <c r="E41" s="8">
        <v>141</v>
      </c>
      <c r="F41" s="14">
        <v>119953</v>
      </c>
      <c r="G41" s="12" t="s">
        <v>32</v>
      </c>
      <c r="H41" s="8" t="s">
        <v>64</v>
      </c>
      <c r="I41" s="10"/>
      <c r="J41" s="10"/>
      <c r="K41" s="10"/>
      <c r="L41" s="10"/>
      <c r="M41" s="10">
        <f t="shared" si="3"/>
        <v>0</v>
      </c>
      <c r="N41" s="10">
        <f t="shared" si="2"/>
        <v>0</v>
      </c>
      <c r="O41" s="10"/>
      <c r="P41" s="10"/>
      <c r="Q41" s="8" t="s">
        <v>30</v>
      </c>
      <c r="R41" s="8" t="s">
        <v>6</v>
      </c>
      <c r="S41" s="8"/>
      <c r="T41" s="11"/>
      <c r="U41" s="11"/>
      <c r="V41" s="11"/>
      <c r="W41" s="11"/>
      <c r="X41" s="11"/>
      <c r="Y41" s="11"/>
      <c r="Z41" s="11"/>
      <c r="AA41" s="11"/>
      <c r="AB41" s="11"/>
      <c r="AC41" s="1"/>
      <c r="AD41" s="1"/>
      <c r="AE41" s="1"/>
      <c r="AF41" s="1"/>
      <c r="AG41" s="1"/>
      <c r="AH41" s="1"/>
      <c r="AI41" s="1"/>
      <c r="AJ41" s="1"/>
      <c r="AK41" s="1"/>
      <c r="AL41" s="1"/>
      <c r="AM41" s="1"/>
    </row>
    <row r="42" spans="1:39" ht="15.75" customHeight="1">
      <c r="A42" s="1"/>
      <c r="B42" s="7">
        <v>45365</v>
      </c>
      <c r="C42" s="7">
        <v>45429</v>
      </c>
      <c r="D42" s="7">
        <v>45533</v>
      </c>
      <c r="E42" s="8">
        <v>104</v>
      </c>
      <c r="F42" s="14">
        <v>115884</v>
      </c>
      <c r="G42" s="12" t="s">
        <v>32</v>
      </c>
      <c r="H42" s="8" t="s">
        <v>76</v>
      </c>
      <c r="I42" s="10"/>
      <c r="J42" s="10"/>
      <c r="K42" s="10"/>
      <c r="L42" s="10"/>
      <c r="M42" s="10">
        <f t="shared" si="3"/>
        <v>0</v>
      </c>
      <c r="N42" s="10">
        <f t="shared" si="2"/>
        <v>0</v>
      </c>
      <c r="O42" s="10"/>
      <c r="P42" s="10"/>
      <c r="Q42" s="8" t="s">
        <v>30</v>
      </c>
      <c r="R42" s="8" t="s">
        <v>6</v>
      </c>
      <c r="S42" s="8"/>
      <c r="T42" s="11"/>
      <c r="U42" s="11"/>
      <c r="V42" s="11"/>
      <c r="W42" s="11"/>
      <c r="X42" s="11"/>
      <c r="Y42" s="11"/>
      <c r="Z42" s="11"/>
      <c r="AA42" s="11"/>
      <c r="AB42" s="11"/>
      <c r="AC42" s="1"/>
      <c r="AD42" s="1"/>
      <c r="AE42" s="1"/>
      <c r="AF42" s="1"/>
      <c r="AG42" s="1"/>
      <c r="AH42" s="1"/>
      <c r="AI42" s="1"/>
      <c r="AJ42" s="1"/>
      <c r="AK42" s="1"/>
      <c r="AL42" s="1"/>
      <c r="AM42" s="1"/>
    </row>
    <row r="43" spans="1:39" ht="15.75" customHeight="1">
      <c r="A43" s="1"/>
      <c r="B43" s="7">
        <v>45365</v>
      </c>
      <c r="C43" s="7">
        <v>45526</v>
      </c>
      <c r="D43" s="7">
        <v>45797</v>
      </c>
      <c r="E43" s="8">
        <v>271</v>
      </c>
      <c r="F43" s="14">
        <v>110779</v>
      </c>
      <c r="G43" s="12" t="s">
        <v>7</v>
      </c>
      <c r="H43" s="8" t="s">
        <v>80</v>
      </c>
      <c r="I43" s="10"/>
      <c r="J43" s="10"/>
      <c r="K43" s="10"/>
      <c r="L43" s="10"/>
      <c r="M43" s="10">
        <f t="shared" si="3"/>
        <v>0</v>
      </c>
      <c r="N43" s="10">
        <f t="shared" si="2"/>
        <v>0</v>
      </c>
      <c r="O43" s="10"/>
      <c r="P43" s="10"/>
      <c r="Q43" s="8" t="s">
        <v>30</v>
      </c>
      <c r="R43" s="8" t="s">
        <v>6</v>
      </c>
      <c r="S43" s="8"/>
      <c r="T43" s="11"/>
      <c r="U43" s="11"/>
      <c r="V43" s="11"/>
      <c r="W43" s="11"/>
      <c r="X43" s="11"/>
      <c r="Y43" s="11"/>
      <c r="Z43" s="11"/>
      <c r="AA43" s="11"/>
      <c r="AB43" s="11"/>
      <c r="AC43" s="1"/>
      <c r="AD43" s="1"/>
      <c r="AE43" s="1"/>
      <c r="AF43" s="1"/>
      <c r="AG43" s="1"/>
      <c r="AH43" s="1"/>
      <c r="AI43" s="1"/>
      <c r="AJ43" s="1"/>
      <c r="AK43" s="1"/>
      <c r="AL43" s="1"/>
      <c r="AM43" s="1"/>
    </row>
    <row r="44" spans="1:39" ht="15.75" customHeight="1">
      <c r="A44" s="1"/>
      <c r="B44" s="7">
        <v>45365</v>
      </c>
      <c r="C44" s="7">
        <v>45686</v>
      </c>
      <c r="D44" s="7">
        <v>46217</v>
      </c>
      <c r="E44" s="8">
        <v>531</v>
      </c>
      <c r="F44" s="14">
        <v>106314</v>
      </c>
      <c r="G44" s="12" t="s">
        <v>32</v>
      </c>
      <c r="H44" s="8" t="s">
        <v>69</v>
      </c>
      <c r="I44" s="10"/>
      <c r="J44" s="10"/>
      <c r="K44" s="10"/>
      <c r="L44" s="10"/>
      <c r="M44" s="10">
        <f t="shared" si="3"/>
        <v>0</v>
      </c>
      <c r="N44" s="10">
        <f t="shared" si="2"/>
        <v>0</v>
      </c>
      <c r="O44" s="10"/>
      <c r="P44" s="10"/>
      <c r="Q44" s="8" t="s">
        <v>30</v>
      </c>
      <c r="R44" s="8" t="s">
        <v>6</v>
      </c>
      <c r="S44" s="8"/>
      <c r="T44" s="11"/>
      <c r="U44" s="11"/>
      <c r="V44" s="11"/>
      <c r="W44" s="11"/>
      <c r="X44" s="11"/>
      <c r="Y44" s="11"/>
      <c r="Z44" s="11"/>
      <c r="AA44" s="11"/>
      <c r="AB44" s="11"/>
      <c r="AC44" s="1"/>
      <c r="AD44" s="1"/>
      <c r="AE44" s="1"/>
      <c r="AF44" s="1"/>
      <c r="AG44" s="1"/>
      <c r="AH44" s="1"/>
      <c r="AI44" s="1"/>
      <c r="AJ44" s="1"/>
      <c r="AK44" s="1"/>
      <c r="AL44" s="1"/>
      <c r="AM44" s="1"/>
    </row>
    <row r="45" spans="1:39" ht="15.75" customHeight="1">
      <c r="A45" s="1"/>
      <c r="B45" s="7">
        <v>45365</v>
      </c>
      <c r="C45" s="7">
        <v>45567</v>
      </c>
      <c r="D45" s="7">
        <v>45573</v>
      </c>
      <c r="E45" s="8">
        <v>7</v>
      </c>
      <c r="F45" s="14">
        <v>105346</v>
      </c>
      <c r="G45" s="12" t="s">
        <v>32</v>
      </c>
      <c r="H45" s="8" t="s">
        <v>92</v>
      </c>
      <c r="I45" s="10"/>
      <c r="J45" s="10"/>
      <c r="K45" s="10"/>
      <c r="L45" s="10"/>
      <c r="M45" s="10">
        <f t="shared" si="3"/>
        <v>0</v>
      </c>
      <c r="N45" s="10">
        <f t="shared" si="2"/>
        <v>0</v>
      </c>
      <c r="O45" s="10"/>
      <c r="P45" s="10"/>
      <c r="Q45" s="8" t="s">
        <v>30</v>
      </c>
      <c r="R45" s="8" t="s">
        <v>6</v>
      </c>
      <c r="S45" s="8"/>
      <c r="T45" s="11"/>
      <c r="U45" s="11"/>
      <c r="V45" s="11"/>
      <c r="W45" s="11"/>
      <c r="X45" s="11"/>
      <c r="Y45" s="11"/>
      <c r="Z45" s="11"/>
      <c r="AA45" s="11"/>
      <c r="AB45" s="11"/>
      <c r="AC45" s="1"/>
      <c r="AD45" s="1"/>
      <c r="AE45" s="1"/>
      <c r="AF45" s="1"/>
      <c r="AG45" s="1"/>
      <c r="AH45" s="1"/>
      <c r="AI45" s="1"/>
      <c r="AJ45" s="1"/>
      <c r="AK45" s="1"/>
      <c r="AL45" s="1"/>
      <c r="AM45" s="1"/>
    </row>
    <row r="46" spans="1:39" ht="15.75" customHeight="1">
      <c r="A46" s="1"/>
      <c r="B46" s="7">
        <v>45365</v>
      </c>
      <c r="C46" s="7">
        <v>45426</v>
      </c>
      <c r="D46" s="7">
        <v>45447</v>
      </c>
      <c r="E46" s="8">
        <v>21</v>
      </c>
      <c r="F46" s="14">
        <v>3263</v>
      </c>
      <c r="G46" s="12" t="s">
        <v>32</v>
      </c>
      <c r="H46" s="8" t="s">
        <v>61</v>
      </c>
      <c r="I46" s="10"/>
      <c r="J46" s="10"/>
      <c r="K46" s="10"/>
      <c r="L46" s="10"/>
      <c r="M46" s="10">
        <f t="shared" si="3"/>
        <v>0</v>
      </c>
      <c r="N46" s="10">
        <f t="shared" si="2"/>
        <v>0</v>
      </c>
      <c r="O46" s="10"/>
      <c r="P46" s="10"/>
      <c r="Q46" s="8" t="s">
        <v>30</v>
      </c>
      <c r="R46" s="8" t="s">
        <v>6</v>
      </c>
      <c r="S46" s="8"/>
      <c r="T46" s="11"/>
      <c r="U46" s="11"/>
      <c r="V46" s="11"/>
      <c r="W46" s="11"/>
      <c r="X46" s="11"/>
      <c r="Y46" s="11"/>
      <c r="Z46" s="11"/>
      <c r="AA46" s="11"/>
      <c r="AB46" s="11"/>
      <c r="AC46" s="1"/>
      <c r="AD46" s="1"/>
      <c r="AE46" s="1"/>
      <c r="AF46" s="1"/>
      <c r="AG46" s="1"/>
      <c r="AH46" s="1"/>
      <c r="AI46" s="1"/>
      <c r="AJ46" s="1"/>
      <c r="AK46" s="1"/>
      <c r="AL46" s="1"/>
      <c r="AM46" s="1"/>
    </row>
    <row r="47" spans="1:39" ht="15.75" customHeight="1">
      <c r="A47" s="1"/>
      <c r="B47" s="7">
        <v>45411</v>
      </c>
      <c r="C47" s="8" t="s">
        <v>93</v>
      </c>
      <c r="D47" s="7"/>
      <c r="E47" s="8">
        <v>120</v>
      </c>
      <c r="F47" s="15" t="s">
        <v>94</v>
      </c>
      <c r="G47" s="12" t="s">
        <v>7</v>
      </c>
      <c r="H47" s="8" t="s">
        <v>72</v>
      </c>
      <c r="I47" s="10" t="s">
        <v>95</v>
      </c>
      <c r="J47" s="10" t="s">
        <v>96</v>
      </c>
      <c r="K47" s="10"/>
      <c r="L47" s="10"/>
      <c r="M47" s="10">
        <f t="shared" si="3"/>
        <v>0</v>
      </c>
      <c r="N47" s="10" t="e">
        <f t="shared" si="2"/>
        <v>#VALUE!</v>
      </c>
      <c r="O47" s="10"/>
      <c r="P47" s="10"/>
      <c r="Q47" s="8"/>
      <c r="R47" s="8"/>
      <c r="S47" s="8"/>
      <c r="T47" s="8"/>
      <c r="U47" s="8"/>
      <c r="V47" s="8"/>
      <c r="W47" s="8"/>
      <c r="X47" s="8"/>
      <c r="Y47" s="8"/>
      <c r="Z47" s="8"/>
      <c r="AA47" s="8"/>
      <c r="AB47" s="8"/>
      <c r="AC47" s="1"/>
      <c r="AD47" s="1"/>
      <c r="AE47" s="1"/>
      <c r="AF47" s="1"/>
      <c r="AG47" s="1"/>
      <c r="AH47" s="1"/>
      <c r="AI47" s="1"/>
      <c r="AJ47" s="1"/>
      <c r="AK47" s="1"/>
      <c r="AL47" s="1"/>
      <c r="AM47" s="1"/>
    </row>
    <row r="48" spans="1:39" ht="15.75" customHeight="1">
      <c r="A48" s="1"/>
      <c r="B48" s="7">
        <v>45412</v>
      </c>
      <c r="C48" s="8" t="s">
        <v>93</v>
      </c>
      <c r="D48" s="7"/>
      <c r="E48" s="8">
        <v>120</v>
      </c>
      <c r="F48" s="14" t="s">
        <v>94</v>
      </c>
      <c r="G48" s="12" t="s">
        <v>7</v>
      </c>
      <c r="H48" s="8" t="s">
        <v>56</v>
      </c>
      <c r="I48" s="10" t="s">
        <v>95</v>
      </c>
      <c r="J48" s="10"/>
      <c r="K48" s="10"/>
      <c r="L48" s="10"/>
      <c r="M48" s="10">
        <f t="shared" si="3"/>
        <v>0</v>
      </c>
      <c r="N48" s="10" t="e">
        <f t="shared" si="2"/>
        <v>#VALUE!</v>
      </c>
      <c r="O48" s="10"/>
      <c r="P48" s="10"/>
      <c r="Q48" s="8"/>
      <c r="R48" s="8"/>
      <c r="S48" s="8"/>
      <c r="T48" s="8"/>
      <c r="U48" s="8"/>
      <c r="V48" s="8"/>
      <c r="W48" s="8"/>
      <c r="X48" s="8"/>
      <c r="Y48" s="8"/>
      <c r="Z48" s="8"/>
      <c r="AA48" s="8"/>
      <c r="AB48" s="8"/>
      <c r="AC48" s="1"/>
      <c r="AD48" s="1"/>
      <c r="AE48" s="1"/>
      <c r="AF48" s="1"/>
      <c r="AG48" s="1"/>
      <c r="AH48" s="1"/>
      <c r="AI48" s="1"/>
      <c r="AJ48" s="1"/>
      <c r="AK48" s="1"/>
      <c r="AL48" s="1"/>
      <c r="AM48" s="1"/>
    </row>
    <row r="49" spans="1:39" ht="15.75" customHeight="1">
      <c r="A49" s="1"/>
      <c r="B49" s="7">
        <v>45412</v>
      </c>
      <c r="C49" s="8" t="s">
        <v>93</v>
      </c>
      <c r="D49" s="7"/>
      <c r="E49" s="8">
        <v>182</v>
      </c>
      <c r="F49" s="14" t="s">
        <v>94</v>
      </c>
      <c r="G49" s="12" t="s">
        <v>7</v>
      </c>
      <c r="H49" s="8" t="s">
        <v>72</v>
      </c>
      <c r="I49" s="10" t="s">
        <v>95</v>
      </c>
      <c r="J49" s="10"/>
      <c r="K49" s="10"/>
      <c r="L49" s="10"/>
      <c r="M49" s="10">
        <f t="shared" si="3"/>
        <v>0</v>
      </c>
      <c r="N49" s="10" t="e">
        <f t="shared" si="2"/>
        <v>#VALUE!</v>
      </c>
      <c r="O49" s="10"/>
      <c r="P49" s="10"/>
      <c r="Q49" s="8"/>
      <c r="R49" s="8"/>
      <c r="S49" s="8"/>
      <c r="T49" s="8"/>
      <c r="U49" s="8"/>
      <c r="V49" s="8"/>
      <c r="W49" s="8"/>
      <c r="X49" s="8"/>
      <c r="Y49" s="8"/>
      <c r="Z49" s="8"/>
      <c r="AA49" s="8"/>
      <c r="AB49" s="8"/>
      <c r="AC49" s="1"/>
      <c r="AD49" s="1"/>
      <c r="AE49" s="1"/>
      <c r="AF49" s="1"/>
      <c r="AG49" s="1"/>
      <c r="AH49" s="1"/>
      <c r="AI49" s="1"/>
      <c r="AJ49" s="1"/>
      <c r="AK49" s="1"/>
      <c r="AL49" s="1"/>
      <c r="AM49" s="1"/>
    </row>
    <row r="50" spans="1:39" ht="15.75" customHeight="1">
      <c r="A50" s="1"/>
      <c r="B50" s="7"/>
      <c r="C50" s="8"/>
      <c r="D50" s="7"/>
      <c r="E50" s="8"/>
      <c r="F50" s="8"/>
      <c r="G50" s="12"/>
      <c r="H50" s="8"/>
      <c r="I50" s="10"/>
      <c r="J50" s="10"/>
      <c r="K50" s="10"/>
      <c r="L50" s="10"/>
      <c r="M50" s="10">
        <f t="shared" si="3"/>
        <v>0</v>
      </c>
      <c r="N50" s="10">
        <f t="shared" si="2"/>
        <v>0</v>
      </c>
      <c r="O50" s="10"/>
      <c r="P50" s="10"/>
      <c r="Q50" s="8"/>
      <c r="R50" s="8"/>
      <c r="S50" s="8"/>
      <c r="T50" s="8"/>
      <c r="U50" s="8"/>
      <c r="V50" s="8"/>
      <c r="W50" s="8"/>
      <c r="X50" s="8"/>
      <c r="Y50" s="8"/>
      <c r="Z50" s="8"/>
      <c r="AA50" s="8"/>
      <c r="AB50" s="8"/>
      <c r="AC50" s="1"/>
      <c r="AD50" s="1"/>
      <c r="AE50" s="1"/>
      <c r="AF50" s="1"/>
      <c r="AG50" s="1"/>
      <c r="AH50" s="1"/>
      <c r="AI50" s="1"/>
      <c r="AJ50" s="1"/>
      <c r="AK50" s="1"/>
      <c r="AL50" s="1"/>
      <c r="AM50" s="1"/>
    </row>
    <row r="51" spans="1:39" ht="15.75" customHeight="1">
      <c r="A51" s="1"/>
      <c r="B51" s="7"/>
      <c r="C51" s="7"/>
      <c r="D51" s="7"/>
      <c r="E51" s="8"/>
      <c r="F51" s="8"/>
      <c r="G51" s="12"/>
      <c r="H51" s="8"/>
      <c r="I51" s="10"/>
      <c r="J51" s="10"/>
      <c r="K51" s="10"/>
      <c r="L51" s="10"/>
      <c r="M51" s="10">
        <f t="shared" si="3"/>
        <v>0</v>
      </c>
      <c r="N51" s="10">
        <f t="shared" si="2"/>
        <v>0</v>
      </c>
      <c r="O51" s="10"/>
      <c r="P51" s="10"/>
      <c r="Q51" s="8"/>
      <c r="R51" s="8"/>
      <c r="S51" s="8"/>
      <c r="T51" s="8"/>
      <c r="U51" s="8"/>
      <c r="V51" s="8"/>
      <c r="W51" s="8"/>
      <c r="X51" s="8"/>
      <c r="Y51" s="8"/>
      <c r="Z51" s="8"/>
      <c r="AA51" s="8"/>
      <c r="AB51" s="8"/>
      <c r="AC51" s="1"/>
      <c r="AD51" s="1"/>
      <c r="AE51" s="1"/>
      <c r="AF51" s="1"/>
      <c r="AG51" s="1"/>
      <c r="AH51" s="1"/>
      <c r="AI51" s="1"/>
      <c r="AJ51" s="1"/>
      <c r="AK51" s="1"/>
      <c r="AL51" s="1"/>
      <c r="AM51" s="1"/>
    </row>
    <row r="52" spans="1:39" ht="15.75" customHeight="1">
      <c r="A52" s="1"/>
      <c r="B52" s="7"/>
      <c r="C52" s="7"/>
      <c r="D52" s="7"/>
      <c r="E52" s="8"/>
      <c r="F52" s="8"/>
      <c r="G52" s="12"/>
      <c r="H52" s="8"/>
      <c r="I52" s="10"/>
      <c r="J52" s="10"/>
      <c r="K52" s="10"/>
      <c r="L52" s="10"/>
      <c r="M52" s="10">
        <f t="shared" si="3"/>
        <v>0</v>
      </c>
      <c r="N52" s="10">
        <f t="shared" si="2"/>
        <v>0</v>
      </c>
      <c r="O52" s="10"/>
      <c r="P52" s="10"/>
      <c r="Q52" s="8"/>
      <c r="R52" s="8"/>
      <c r="S52" s="8"/>
      <c r="T52" s="8"/>
      <c r="U52" s="8"/>
      <c r="V52" s="8"/>
      <c r="W52" s="8"/>
      <c r="X52" s="8"/>
      <c r="Y52" s="8"/>
      <c r="Z52" s="8"/>
      <c r="AA52" s="8"/>
      <c r="AB52" s="8"/>
      <c r="AC52" s="1"/>
      <c r="AD52" s="1"/>
      <c r="AE52" s="1"/>
      <c r="AF52" s="1"/>
      <c r="AG52" s="1"/>
      <c r="AH52" s="1"/>
      <c r="AI52" s="1"/>
      <c r="AJ52" s="1"/>
      <c r="AK52" s="1"/>
      <c r="AL52" s="1"/>
      <c r="AM52" s="1"/>
    </row>
    <row r="53" spans="1:39" ht="15.75" customHeight="1">
      <c r="A53" s="1"/>
      <c r="B53" s="7"/>
      <c r="C53" s="7"/>
      <c r="D53" s="7"/>
      <c r="E53" s="8"/>
      <c r="F53" s="8"/>
      <c r="G53" s="12"/>
      <c r="H53" s="8"/>
      <c r="I53" s="10"/>
      <c r="J53" s="10"/>
      <c r="K53" s="10"/>
      <c r="L53" s="10"/>
      <c r="M53" s="10">
        <f t="shared" si="3"/>
        <v>0</v>
      </c>
      <c r="N53" s="10">
        <f t="shared" si="2"/>
        <v>0</v>
      </c>
      <c r="O53" s="10"/>
      <c r="P53" s="10"/>
      <c r="Q53" s="8"/>
      <c r="R53" s="8"/>
      <c r="S53" s="8"/>
      <c r="T53" s="8"/>
      <c r="U53" s="8"/>
      <c r="V53" s="8"/>
      <c r="W53" s="8"/>
      <c r="X53" s="8"/>
      <c r="Y53" s="8"/>
      <c r="Z53" s="8"/>
      <c r="AA53" s="8"/>
      <c r="AB53" s="8"/>
      <c r="AC53" s="1"/>
      <c r="AD53" s="1"/>
      <c r="AE53" s="1"/>
      <c r="AF53" s="1"/>
      <c r="AG53" s="1"/>
      <c r="AH53" s="1"/>
      <c r="AI53" s="1"/>
      <c r="AJ53" s="1"/>
      <c r="AK53" s="1"/>
      <c r="AL53" s="1"/>
      <c r="AM53" s="1"/>
    </row>
    <row r="54" spans="1:39" ht="15.75" customHeight="1">
      <c r="A54" s="1"/>
      <c r="B54" s="7"/>
      <c r="C54" s="7"/>
      <c r="D54" s="7"/>
      <c r="E54" s="8"/>
      <c r="F54" s="8"/>
      <c r="G54" s="12"/>
      <c r="H54" s="8"/>
      <c r="I54" s="10"/>
      <c r="J54" s="10"/>
      <c r="K54" s="10"/>
      <c r="L54" s="10"/>
      <c r="M54" s="10">
        <f t="shared" si="3"/>
        <v>0</v>
      </c>
      <c r="N54" s="10">
        <f t="shared" si="2"/>
        <v>0</v>
      </c>
      <c r="O54" s="10"/>
      <c r="P54" s="10"/>
      <c r="Q54" s="8"/>
      <c r="R54" s="8"/>
      <c r="S54" s="8"/>
      <c r="T54" s="8"/>
      <c r="U54" s="8"/>
      <c r="V54" s="8"/>
      <c r="W54" s="8"/>
      <c r="X54" s="8"/>
      <c r="Y54" s="8"/>
      <c r="Z54" s="8"/>
      <c r="AA54" s="8"/>
      <c r="AB54" s="8"/>
      <c r="AC54" s="1"/>
      <c r="AD54" s="1"/>
      <c r="AE54" s="1"/>
      <c r="AF54" s="1"/>
      <c r="AG54" s="1"/>
      <c r="AH54" s="1"/>
      <c r="AI54" s="1"/>
      <c r="AJ54" s="1"/>
      <c r="AK54" s="1"/>
      <c r="AL54" s="1"/>
      <c r="AM54" s="1"/>
    </row>
    <row r="55" spans="1:39" ht="15.75" customHeight="1">
      <c r="A55" s="1"/>
      <c r="B55" s="7"/>
      <c r="C55" s="7"/>
      <c r="D55" s="7"/>
      <c r="E55" s="8"/>
      <c r="F55" s="8"/>
      <c r="G55" s="12"/>
      <c r="H55" s="8"/>
      <c r="I55" s="10"/>
      <c r="J55" s="10"/>
      <c r="K55" s="10"/>
      <c r="L55" s="10"/>
      <c r="M55" s="10">
        <f t="shared" si="3"/>
        <v>0</v>
      </c>
      <c r="N55" s="10">
        <f t="shared" si="2"/>
        <v>0</v>
      </c>
      <c r="O55" s="10"/>
      <c r="P55" s="10"/>
      <c r="Q55" s="8"/>
      <c r="R55" s="8"/>
      <c r="S55" s="8"/>
      <c r="T55" s="8"/>
      <c r="U55" s="8"/>
      <c r="V55" s="8"/>
      <c r="W55" s="8"/>
      <c r="X55" s="8"/>
      <c r="Y55" s="8"/>
      <c r="Z55" s="8"/>
      <c r="AA55" s="8"/>
      <c r="AB55" s="8"/>
      <c r="AC55" s="1"/>
      <c r="AD55" s="1"/>
      <c r="AE55" s="1"/>
      <c r="AF55" s="1"/>
      <c r="AG55" s="1"/>
      <c r="AH55" s="1"/>
      <c r="AI55" s="1"/>
      <c r="AJ55" s="1"/>
      <c r="AK55" s="1"/>
      <c r="AL55" s="1"/>
      <c r="AM55" s="1"/>
    </row>
    <row r="56" spans="1:39" ht="15.75" customHeight="1">
      <c r="A56" s="1"/>
      <c r="B56" s="7"/>
      <c r="C56" s="7"/>
      <c r="D56" s="7"/>
      <c r="E56" s="8"/>
      <c r="F56" s="8"/>
      <c r="G56" s="12"/>
      <c r="H56" s="8"/>
      <c r="I56" s="10"/>
      <c r="J56" s="10"/>
      <c r="K56" s="10"/>
      <c r="L56" s="10"/>
      <c r="M56" s="10">
        <f t="shared" si="3"/>
        <v>0</v>
      </c>
      <c r="N56" s="10">
        <f t="shared" si="2"/>
        <v>0</v>
      </c>
      <c r="O56" s="10"/>
      <c r="P56" s="10"/>
      <c r="Q56" s="8"/>
      <c r="R56" s="8"/>
      <c r="S56" s="8"/>
      <c r="T56" s="8"/>
      <c r="U56" s="8"/>
      <c r="V56" s="8"/>
      <c r="W56" s="8"/>
      <c r="X56" s="8"/>
      <c r="Y56" s="8"/>
      <c r="Z56" s="8"/>
      <c r="AA56" s="8"/>
      <c r="AB56" s="8"/>
      <c r="AC56" s="1"/>
      <c r="AD56" s="1"/>
      <c r="AE56" s="1"/>
      <c r="AF56" s="1"/>
      <c r="AG56" s="1"/>
      <c r="AH56" s="1"/>
      <c r="AI56" s="1"/>
      <c r="AJ56" s="1"/>
      <c r="AK56" s="1"/>
      <c r="AL56" s="1"/>
      <c r="AM56" s="1"/>
    </row>
    <row r="57" spans="1:39" ht="15.75" customHeight="1">
      <c r="A57" s="1"/>
      <c r="B57" s="7"/>
      <c r="C57" s="7"/>
      <c r="D57" s="7"/>
      <c r="E57" s="8"/>
      <c r="F57" s="8"/>
      <c r="G57" s="12"/>
      <c r="H57" s="8"/>
      <c r="I57" s="10"/>
      <c r="J57" s="10"/>
      <c r="K57" s="10"/>
      <c r="L57" s="10"/>
      <c r="M57" s="10">
        <f t="shared" si="3"/>
        <v>0</v>
      </c>
      <c r="N57" s="10">
        <f t="shared" si="2"/>
        <v>0</v>
      </c>
      <c r="O57" s="10"/>
      <c r="P57" s="10"/>
      <c r="Q57" s="8"/>
      <c r="R57" s="8"/>
      <c r="S57" s="8"/>
      <c r="T57" s="8"/>
      <c r="U57" s="8"/>
      <c r="V57" s="8"/>
      <c r="W57" s="8"/>
      <c r="X57" s="8"/>
      <c r="Y57" s="8"/>
      <c r="Z57" s="8"/>
      <c r="AA57" s="8"/>
      <c r="AB57" s="8"/>
      <c r="AC57" s="1"/>
      <c r="AD57" s="1"/>
      <c r="AE57" s="1"/>
      <c r="AF57" s="1"/>
      <c r="AG57" s="1"/>
      <c r="AH57" s="1"/>
      <c r="AI57" s="1"/>
      <c r="AJ57" s="1"/>
      <c r="AK57" s="1"/>
      <c r="AL57" s="1"/>
      <c r="AM57" s="1"/>
    </row>
    <row r="58" spans="1:39" ht="15.75" customHeight="1">
      <c r="A58" s="1"/>
      <c r="B58" s="1"/>
      <c r="C58" s="1"/>
      <c r="D58" s="1"/>
      <c r="E58" s="1"/>
      <c r="F58" s="1"/>
      <c r="G58" s="1"/>
      <c r="H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spans="1:39" ht="15.75" customHeight="1">
      <c r="A59" s="1"/>
      <c r="B59" s="1"/>
      <c r="C59" s="1"/>
      <c r="D59" s="1"/>
      <c r="E59" s="1"/>
      <c r="F59" s="1"/>
      <c r="G59" s="1"/>
      <c r="H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spans="1:39" ht="15.75" customHeight="1">
      <c r="A60" s="1"/>
      <c r="B60" s="1"/>
      <c r="C60" s="1"/>
      <c r="D60" s="1"/>
      <c r="E60" s="1"/>
      <c r="F60" s="1"/>
      <c r="G60" s="1"/>
      <c r="H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spans="1:39" ht="15.75" customHeight="1">
      <c r="A61" s="1"/>
      <c r="B61" s="1"/>
      <c r="C61" s="1"/>
      <c r="D61" s="1"/>
      <c r="E61" s="1"/>
      <c r="F61" s="1"/>
      <c r="G61" s="1"/>
      <c r="H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spans="1:39" ht="15.75" customHeight="1">
      <c r="A62" s="1"/>
      <c r="B62" s="1"/>
      <c r="C62" s="1"/>
      <c r="D62" s="1"/>
      <c r="E62" s="1"/>
      <c r="F62" s="1"/>
      <c r="G62" s="1"/>
      <c r="H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spans="1:39" ht="15.75" customHeight="1">
      <c r="A63" s="1"/>
      <c r="B63" s="1"/>
      <c r="C63" s="1"/>
      <c r="D63" s="1"/>
      <c r="E63" s="1"/>
      <c r="F63" s="1"/>
      <c r="G63" s="1"/>
      <c r="H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spans="1:39" ht="15.75" customHeight="1">
      <c r="A64" s="1"/>
      <c r="B64" s="1"/>
      <c r="C64" s="1"/>
      <c r="D64" s="1"/>
      <c r="E64" s="1"/>
      <c r="F64" s="1"/>
      <c r="G64" s="1"/>
      <c r="H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spans="1:41" ht="15.75" customHeight="1">
      <c r="A65" s="1"/>
      <c r="B65" s="1"/>
      <c r="C65" s="1"/>
      <c r="D65" s="1"/>
      <c r="E65" s="1"/>
      <c r="F65" s="1"/>
      <c r="G65" s="1"/>
      <c r="H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spans="1:41" ht="15.75" customHeight="1">
      <c r="A66" s="1"/>
      <c r="B66" s="1"/>
      <c r="C66" s="1"/>
      <c r="D66" s="1"/>
      <c r="E66" s="1"/>
      <c r="F66" s="1"/>
      <c r="G66" s="1"/>
      <c r="H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spans="1:41" ht="15.75" customHeight="1">
      <c r="A67" s="1"/>
      <c r="B67" s="1"/>
      <c r="C67" s="1"/>
      <c r="D67" s="1"/>
      <c r="E67" s="1"/>
      <c r="F67" s="1"/>
      <c r="G67" s="1"/>
      <c r="H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spans="1:41" ht="15.75" customHeight="1">
      <c r="A68" s="1"/>
      <c r="B68" s="1"/>
      <c r="C68" s="1"/>
      <c r="D68" s="1"/>
      <c r="E68" s="1"/>
      <c r="F68" s="1"/>
      <c r="G68" s="1"/>
      <c r="H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spans="1:41" ht="15.75" customHeight="1">
      <c r="A69" s="1"/>
      <c r="B69" s="1"/>
      <c r="C69" s="1"/>
      <c r="D69" s="1"/>
      <c r="E69" s="1"/>
      <c r="F69" s="1"/>
      <c r="G69" s="1"/>
      <c r="H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spans="1:41" ht="15.75" customHeight="1">
      <c r="A70" s="1"/>
      <c r="B70" s="1"/>
      <c r="C70" s="1"/>
      <c r="D70" s="1"/>
      <c r="E70" s="1"/>
      <c r="F70" s="1"/>
      <c r="G70" s="1"/>
      <c r="H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spans="1:41" ht="15.75" customHeight="1">
      <c r="A71" s="1"/>
      <c r="B71" s="1"/>
      <c r="C71" s="1"/>
      <c r="D71" s="1"/>
      <c r="E71" s="1"/>
      <c r="F71" s="1"/>
      <c r="G71" s="1"/>
      <c r="H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spans="1:41"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spans="1:41"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spans="1:41"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spans="1:41"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spans="1:41"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spans="1:41"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spans="1:41"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spans="1:41"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spans="1:41"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spans="1:4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spans="1:41"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spans="1:41"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spans="1:41"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spans="1:41"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1:41"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spans="1:41"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spans="1:41"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spans="1:41"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spans="1:41"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spans="1:4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spans="1:41"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spans="1:41"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spans="1:41"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spans="1:41"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spans="1:41"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spans="1:41"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spans="1:41"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spans="1:41"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spans="1:41"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spans="1:4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spans="1:41"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spans="1:41"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spans="1:41"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spans="1:41"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spans="1:41"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spans="1:41"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spans="1:41"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spans="1:41"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spans="1:41"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spans="1:4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spans="1:41"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spans="1:41"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spans="1:41"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spans="1:41"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spans="1:41"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spans="1:41"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spans="1:41"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spans="1:41"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spans="1:41"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spans="1:4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spans="1:41"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spans="1:41"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spans="1:41"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spans="1:41"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spans="1:41"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spans="1:41"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spans="1:41"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spans="1:41"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spans="1:41"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spans="1:4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spans="1:41"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spans="1:41"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spans="1:41"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spans="1:41"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spans="1:41"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spans="1:41"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spans="1:41"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spans="1:41"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spans="1:41"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spans="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spans="1:41"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spans="1:41"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spans="1:41"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spans="1:41"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spans="1:41"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spans="1:41"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spans="1:41"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spans="1:41"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spans="1:41"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spans="1:4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spans="1:41"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spans="1:41"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spans="1:41"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spans="1:41"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spans="1:41"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spans="1:41"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spans="1:41"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spans="1:41"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spans="1:41"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spans="1:4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spans="1:41"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spans="1:41"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spans="1:41"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spans="1:41"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spans="1:41"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spans="1:41"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spans="1:41"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spans="1:41"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spans="1:41"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spans="1:4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spans="1:41"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spans="1:41"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spans="1:41"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spans="1:41"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spans="1:41"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spans="1:41"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spans="1:41"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spans="1:41"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spans="1:41"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spans="1:4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spans="1:41"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spans="1:41"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spans="1:41"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spans="1:41"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spans="1:41"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spans="1:41"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spans="1:41"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spans="1:41"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spans="1:41"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spans="1:4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spans="1:41"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spans="1:41"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spans="1:41"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spans="1:41"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spans="1:41"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spans="1:41"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spans="1:41"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r="199" spans="1:41"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r="200" spans="1:41"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r="201" spans="1:4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r="202" spans="1:41"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r="203" spans="1:41"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r="204" spans="1:41"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r="205" spans="1:41"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r="206" spans="1:41"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r="207" spans="1:41"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r="208" spans="1:41"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r="209" spans="1:41"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r="210" spans="1:41"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r="211" spans="1:4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r="212" spans="1:41"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r="213" spans="1:41"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r="214" spans="1:41"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r="215" spans="1:41"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r="216" spans="1:41"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r="217" spans="1:41"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r="218" spans="1:41"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r="219" spans="1:41"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r="220" spans="1:41"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r="221" spans="1:4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r="222" spans="1:41"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r="223" spans="1:41"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r="224" spans="1:41"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r="225" spans="1:41"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r="226" spans="1:41"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r="227" spans="1:41"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r="228" spans="1:41"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r="229" spans="1:41"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r="230" spans="1:41"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r="231" spans="1:4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r="232" spans="1:41"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r="233" spans="1:41"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r="234" spans="1:41"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r="235" spans="1:41"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r="236" spans="1:41"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r="237" spans="1:41"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r="238" spans="1:41"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r="239" spans="1:41"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r="240" spans="1:41"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r="241" spans="1: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r="242" spans="1:41"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r="243" spans="1:41"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r="244" spans="1:41"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r="245" spans="1:41"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spans="1:41"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r="247" spans="1:41"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r="248" spans="1:41"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r="249" spans="1:41"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spans="1:41"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r="251" spans="1:4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r="252" spans="1:41"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r="253" spans="1:41"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r="254" spans="1:41"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r="255" spans="1:41"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r="256" spans="1:41"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r="257" spans="1:41"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r="258" spans="1:41"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r="259" spans="1:41"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r="260" spans="1:41"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r="261" spans="1:4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r="262" spans="1:41"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r="263" spans="1:41"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r="264" spans="1:41"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r="265" spans="1:41"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r="266" spans="1:41"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r="267" spans="1:41"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r="268" spans="1:41"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r="269" spans="1:41"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r="270" spans="1:41"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r="271" spans="1:4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r="272" spans="1:41"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r="273" spans="1:41"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r="274" spans="1:41"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r="275" spans="1:41"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r="276" spans="1:41"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r="277" spans="1:41"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r="278" spans="1:41"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r="279" spans="1:41"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r="280" spans="1:41"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r="281" spans="1:4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r="282" spans="1:41"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r="283" spans="1:41"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r="284" spans="1:41"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r="285" spans="1:41"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r="286" spans="1:41"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r="287" spans="1:41"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r="288" spans="1:41"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r="289" spans="1:41"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r="290" spans="1:41"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r="291" spans="1:4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r="292" spans="1:41"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r="293" spans="1:41"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r="294" spans="1:41"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r="295" spans="1:41"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r="296" spans="1:41"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r="297" spans="1:41"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r="298" spans="1:41"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r="299" spans="1:41"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r="300" spans="1:41"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r="301" spans="1:4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r="302" spans="1:41"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r="303" spans="1:41"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r="304" spans="1:41"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r="305" spans="1:41"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r="306" spans="1:41"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r="307" spans="1:41"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r="308" spans="1:41"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r="309" spans="1:41"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r="310" spans="1:41"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r="311" spans="1:4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r="312" spans="1:41"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r="313" spans="1:41"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r="314" spans="1:41"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spans="1:41"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r="316" spans="1:41"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r="317" spans="1:41"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r="318" spans="1:41"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r="319" spans="1:41"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spans="1:41"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r="321" spans="1:4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r="322" spans="1:41"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r="323" spans="1:41"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r="324" spans="1:41"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r="325" spans="1:41"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r="326" spans="1:41"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r="327" spans="1:41"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spans="1:41"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r="329" spans="1:41"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r="330" spans="1:41"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r="331" spans="1:4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r="332" spans="1:41"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r="333" spans="1:41"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r="334" spans="1:41"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r="335" spans="1:41"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r="336" spans="1:41"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r="337" spans="1:41"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r="338" spans="1:41"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r="339" spans="1:41"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r="340" spans="1:41"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r="341" spans="1: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r="342" spans="1:41"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r="343" spans="1:41"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r="344" spans="1:41"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r="345" spans="1:41"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r="346" spans="1:41"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r="347" spans="1:41"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r="348" spans="1:41"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r="349" spans="1:41"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r="350" spans="1:41"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r="351" spans="1:4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r="352" spans="1:41"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r="353" spans="1:41"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r="354" spans="1:41"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r="355" spans="1:41"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r="356" spans="1:41"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r="357" spans="1:41"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r="358" spans="1:41"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r="359" spans="1:41"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r="360" spans="1:41"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r="361" spans="1:4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r="362" spans="1:41"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r="363" spans="1:41"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r="364" spans="1:41"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r="365" spans="1:41"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r="366" spans="1:41"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r="367" spans="1:41"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r="368" spans="1:41"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r="369" spans="1:41"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r="370" spans="1:41"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r="371" spans="1:4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r="372" spans="1:41"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r="373" spans="1:41"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r="374" spans="1:41"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r="375" spans="1:41"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r="376" spans="1:41"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r="377" spans="1:41"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r="378" spans="1:41"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r="379" spans="1:41"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r="380" spans="1:41"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r="381" spans="1:4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r="382" spans="1:41"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r="383" spans="1:41"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r="384" spans="1:41"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r="385" spans="1:41"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r="386" spans="1:41"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spans="1:41"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r="388" spans="1:41"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r="389" spans="1:41"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r="390" spans="1:41"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r="391" spans="1:4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r="392" spans="1:41"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r="393" spans="1:41"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r="394" spans="1:41"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r="395" spans="1:41"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r="396" spans="1:41"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r="397" spans="1:41"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r="398" spans="1:41"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r="399" spans="1:41"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r="400" spans="1:41"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r="401" spans="1:4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r="402" spans="1:41"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r="403" spans="1:41"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r="404" spans="1:41"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r="405" spans="1:41"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r="406" spans="1:41"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r="407" spans="1:41"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r="408" spans="1:41"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r="409" spans="1:41"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r="410" spans="1:41"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r="411" spans="1:4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r="412" spans="1:41"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r="413" spans="1:41"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r="414" spans="1:41"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r="415" spans="1:41"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r="416" spans="1:41"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r="417" spans="1:41"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r="418" spans="1:41"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r="419" spans="1:41"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r="420" spans="1:41"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r="421" spans="1:4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r="422" spans="1:41"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r="423" spans="1:41"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r="424" spans="1:41"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r="425" spans="1:41"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r="426" spans="1:41"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r="427" spans="1:41"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r="428" spans="1:41"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r="429" spans="1:41"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r="430" spans="1:41"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r="431" spans="1:4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r="432" spans="1:41"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r="433" spans="1:41"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r="434" spans="1:41"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r="435" spans="1:41"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r="436" spans="1:41"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r="437" spans="1:41"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r="438" spans="1:41"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r="439" spans="1:41"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r="440" spans="1:41"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r="441" spans="1: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r="442" spans="1:41"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r="443" spans="1:41"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r="444" spans="1:41"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r="445" spans="1:41"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r="446" spans="1:41"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r="447" spans="1:41"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r="448" spans="1:41"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r="449" spans="1:41"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r="450" spans="1:41"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r="451" spans="1:4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r="452" spans="1:41"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r="453" spans="1:41"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r="454" spans="1:41"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r="455" spans="1:41"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r="456" spans="1:41"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r="457" spans="1:41"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r="458" spans="1:41"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r="459" spans="1:41"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r="460" spans="1:41"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r="461" spans="1:4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r="462" spans="1:41"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r="463" spans="1:41"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r="464" spans="1:41"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r="465" spans="1:41"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r="466" spans="1:41"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r="467" spans="1:41"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r="468" spans="1:41"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r="469" spans="1:41"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r="470" spans="1:41"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r="471" spans="1:4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r="472" spans="1:41"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r="473" spans="1:41"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r="474" spans="1:41"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r="475" spans="1:41"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spans="1:41"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r="477" spans="1:41"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r="478" spans="1:41"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r="479" spans="1:41"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r="480" spans="1:41"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r="481" spans="1:4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r="482" spans="1:41"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r="483" spans="1:41"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r="484" spans="1:41"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r="485" spans="1:41"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spans="1:41"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r="487" spans="1:41"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r="488" spans="1:41"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r="489" spans="1:41"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r="490" spans="1:41"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r="491" spans="1:4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r="492" spans="1:41"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r="493" spans="1:41"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r="494" spans="1:41"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r="495" spans="1:41"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r="496" spans="1:41"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r="497" spans="1:41"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r="498" spans="1:41"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r="499" spans="1:41"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r="500" spans="1:41"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r="501" spans="1:4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spans="1:41"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r="503" spans="1:41"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r="504" spans="1:41"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r="505" spans="1:41"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r="506" spans="1:41"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r="507" spans="1:41"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r="508" spans="1:41"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r="509" spans="1:41"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spans="1:41"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spans="1:4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r="512" spans="1:41"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r="513" spans="1:41"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r="514" spans="1:41"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r="515" spans="1:41"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r="516" spans="1:41"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r="517" spans="1:41"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r="518" spans="1:41"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r="519" spans="1:41"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r="520" spans="1:41"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r="521" spans="1:4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r="522" spans="1:41"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r="523" spans="1:41"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r="524" spans="1:41"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r="525" spans="1:41"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r="526" spans="1:41"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r="527" spans="1:41"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r="528" spans="1:41"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r="529" spans="1:41"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r="530" spans="1:41"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r="531" spans="1:4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r="532" spans="1:41"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r="533" spans="1:41"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r="534" spans="1:41"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r="535" spans="1:41"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r="536" spans="1:41"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r="537" spans="1:41"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r="538" spans="1:41"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r="539" spans="1:41"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r="540" spans="1:41"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r="541" spans="1: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r="542" spans="1:41"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r="543" spans="1:41"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r="544" spans="1:41"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r="545" spans="1:41"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r="546" spans="1:41"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r="547" spans="1:41"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r="548" spans="1:41"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r="549" spans="1:41"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r="550" spans="1:41"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r="551" spans="1:4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r="552" spans="1:41"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r="553" spans="1:41"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r="554" spans="1:41"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r="555" spans="1:41"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r="556" spans="1:41"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r="557" spans="1:41"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r="558" spans="1:41"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r="559" spans="1:41"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r="560" spans="1:41"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r="561" spans="1:4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r="562" spans="1:41"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r="563" spans="1:41"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r="564" spans="1:41"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r="565" spans="1:41"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r="566" spans="1:41"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r="567" spans="1:41"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r="568" spans="1:41"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r="569" spans="1:41"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r="570" spans="1:41"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r="571" spans="1:4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r="572" spans="1:41"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r="573" spans="1:41"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r="574" spans="1:41"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r="575" spans="1:41"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r="576" spans="1:41"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r="577" spans="1:41"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r="578" spans="1:41"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r="579" spans="1:41"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r="580" spans="1:41"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r="581" spans="1:4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r="582" spans="1:41"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r="583" spans="1:41"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r="584" spans="1:41"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r="585" spans="1:41"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r="586" spans="1:41"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r="587" spans="1:41"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r="588" spans="1:41"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r="589" spans="1:41"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r="590" spans="1:41"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r="591" spans="1:4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r="592" spans="1:41"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r="593" spans="1:41"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r="594" spans="1:41"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r="595" spans="1:41"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r="596" spans="1:41"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r="597" spans="1:41"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r="598" spans="1:41"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r="599" spans="1:41"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r="600" spans="1:41"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r="601" spans="1:4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r="602" spans="1:41"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r="603" spans="1:41"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r="604" spans="1:41"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r="605" spans="1:41"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r="606" spans="1:41"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r="607" spans="1:41"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r="608" spans="1:41"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r="609" spans="1:41"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r="610" spans="1:41"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r="611" spans="1:4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r="612" spans="1:41"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r="613" spans="1:41"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r="614" spans="1:41"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r="615" spans="1:41"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r="616" spans="1:41"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r="617" spans="1:41"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r="618" spans="1:41"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r="619" spans="1:41"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r="620" spans="1:41"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r="621" spans="1:4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r="622" spans="1:41"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r="623" spans="1:41"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r="624" spans="1:41"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r="625" spans="1:41"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r="626" spans="1:41"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r="627" spans="1:41"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r="628" spans="1:41"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r="629" spans="1:41"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r="630" spans="1:41"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r="631" spans="1:4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r="632" spans="1:41"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r="633" spans="1:41"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r="634" spans="1:41"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r="635" spans="1:41"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r="636" spans="1:41"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r="637" spans="1:41"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r="638" spans="1:41"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r="639" spans="1:41"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r="640" spans="1:41"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r="641" spans="1: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r="642" spans="1:41"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r="643" spans="1:41"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r="644" spans="1:41"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r="645" spans="1:41"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r="646" spans="1:41"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r="647" spans="1:41"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r="648" spans="1:41"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r="649" spans="1:41"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r="650" spans="1:41"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r="651" spans="1:4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r="652" spans="1:41"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r="653" spans="1:41"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r="654" spans="1:41"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r="655" spans="1:41"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r="656" spans="1:41"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r="657" spans="1:41"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r="658" spans="1:41"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r="659" spans="1:41"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r="660" spans="1:41"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r="661" spans="1:4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r="662" spans="1:41"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r="663" spans="1:41"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r="664" spans="1:41"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r="665" spans="1:41"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r="666" spans="1:41"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r="667" spans="1:41"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r="668" spans="1:41"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r="669" spans="1:41"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r="670" spans="1:41"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r="671" spans="1:4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r="672" spans="1:41"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r="673" spans="1:41"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r="674" spans="1:41"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r="675" spans="1:41"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r="676" spans="1:41"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r="677" spans="1:41"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r="678" spans="1:41"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r="679" spans="1:41"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r="680" spans="1:41"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r="681" spans="1:4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r="682" spans="1:41"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r="683" spans="1:41"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r="684" spans="1:41"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r="685" spans="1:41"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r="686" spans="1:41"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r="687" spans="1:41"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r="688" spans="1:41"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r="689" spans="1:41"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r="690" spans="1:41"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r="691" spans="1:4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r="692" spans="1:41"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r="693" spans="1:41"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r="694" spans="1:41"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r="695" spans="1:41"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r="696" spans="1:41"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r="697" spans="1:41"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r="698" spans="1:41"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r="699" spans="1:41"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r="700" spans="1:41"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r="701" spans="1:4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r="702" spans="1:41"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r="703" spans="1:41"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r="704" spans="1:41"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r="705" spans="1:41"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r="706" spans="1:41"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r="707" spans="1:41"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r="708" spans="1:41"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r="709" spans="1:41"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r="710" spans="1:41"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r="711" spans="1:4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r="712" spans="1:41"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r="713" spans="1:41"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r="714" spans="1:41"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r="715" spans="1:41"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r="716" spans="1:41"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r="717" spans="1:41"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r="718" spans="1:41"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r="719" spans="1:41"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r="720" spans="1:41"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r="721" spans="1:4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r="722" spans="1:41"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r="723" spans="1:41"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r="724" spans="1:41"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r="725" spans="1:41"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r="726" spans="1:41"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r="727" spans="1:41"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r="728" spans="1:41"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r="729" spans="1:41"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r="730" spans="1:41"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r="731" spans="1:4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r="732" spans="1:41"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r="733" spans="1:41"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r="734" spans="1:41"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r="735" spans="1:41"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r="736" spans="1:41"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r="737" spans="1:41"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r="738" spans="1:41"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r="739" spans="1:41"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r="740" spans="1:41"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r="741" spans="1: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r="742" spans="1:41"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r="743" spans="1:41"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r="744" spans="1:41"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r="745" spans="1:41"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r="746" spans="1:41"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r="747" spans="1:41"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r="748" spans="1:41"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r="749" spans="1:41"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r="750" spans="1:41"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r="751" spans="1:4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r="752" spans="1:41"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r="753" spans="1:41"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r="754" spans="1:41"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r="755" spans="1:41"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r="756" spans="1:41"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r="757" spans="1:41"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r="758" spans="1:41"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r="759" spans="1:41"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r="760" spans="1:41"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r="761" spans="1:4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r="762" spans="1:41"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r="763" spans="1:41"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r="764" spans="1:41"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r="765" spans="1:41"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r="766" spans="1:41"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r="767" spans="1:41"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r="768" spans="1:41"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r="769" spans="1:41"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r="770" spans="1:41"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r="771" spans="1:4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r="772" spans="1:41"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r="773" spans="1:41"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r="774" spans="1:41"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r="775" spans="1:41"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r="776" spans="1:41"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r="777" spans="1:41"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r="778" spans="1:41"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r="779" spans="1:41"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r="780" spans="1:41"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r="781" spans="1:4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r="782" spans="1:41"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r="783" spans="1:41"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r="784" spans="1:41"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r="785" spans="1:41"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r="786" spans="1:41"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r="787" spans="1:41"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r="788" spans="1:41"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r="789" spans="1:41"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r="790" spans="1:41"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r="791" spans="1:4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r="792" spans="1:41"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r="793" spans="1:41"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r="794" spans="1:41"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r="795" spans="1:41"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r="796" spans="1:41"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r="797" spans="1:41"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r="798" spans="1:41"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r="799" spans="1:41"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r="800" spans="1:41"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r="801" spans="1:4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r="802" spans="1:41"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r="803" spans="1:41"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r="804" spans="1:41"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r="805" spans="1:41"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r="806" spans="1:41"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r="807" spans="1:41"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r="808" spans="1:41"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r="809" spans="1:41"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r="810" spans="1:41"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r="811" spans="1:4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r="812" spans="1:41"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r="813" spans="1:41"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r="814" spans="1:41"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r="815" spans="1:41"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r="816" spans="1:41"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r="817" spans="1:41"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r="818" spans="1:41"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r="819" spans="1:41"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r="820" spans="1:41"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r="821" spans="1:4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r="822" spans="1:41"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r="823" spans="1:41"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r="824" spans="1:41"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r="825" spans="1:41"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r="826" spans="1:41"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r="827" spans="1:41"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r="828" spans="1:41"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r="829" spans="1:41"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r="830" spans="1:41"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spans="1:4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r="832" spans="1:41"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r="833" spans="1:41"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r="834" spans="1:41"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r="835" spans="1:41"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r="836" spans="1:41"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r="837" spans="1:41"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r="838" spans="1:41"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r="839" spans="1:41"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r="840" spans="1:41"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r="841" spans="1: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r="842" spans="1:41"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r="843" spans="1:41"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r="844" spans="1:41"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r="845" spans="1:41"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r="846" spans="1:41"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r="847" spans="1:41"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r="848" spans="1:41"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r="849" spans="1:41"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r="850" spans="1:41"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r="851" spans="1:4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r="852" spans="1:41"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r="853" spans="1:41"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r="854" spans="1:41"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r="855" spans="1:41"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r="856" spans="1:41"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r="857" spans="1:41"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r="858" spans="1:41"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r="859" spans="1:41"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r="860" spans="1:41"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r="861" spans="1:4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r="862" spans="1:41"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r="863" spans="1:41"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r="864" spans="1:41"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r="865" spans="1:41"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r="866" spans="1:41"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r="867" spans="1:41"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r="868" spans="1:41"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r="869" spans="1:41"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r="870" spans="1:41"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r="871" spans="1:4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r="872" spans="1:41"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r="873" spans="1:41"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r="874" spans="1:41"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r="875" spans="1:41"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r="876" spans="1:41"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r="877" spans="1:41"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r="878" spans="1:41"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sheetData>
  <mergeCells count="2">
    <mergeCell ref="B3:I3"/>
    <mergeCell ref="Q3:T3"/>
  </mergeCells>
  <conditionalFormatting sqref="N58:Z67 Q5:AB57 B5:H67">
    <cfRule type="cellIs" dxfId="0" priority="1" operator="equal">
      <formula>$AI$3</formula>
    </cfRule>
  </conditionalFormatting>
  <dataValidations disablePrompts="1" count="5">
    <dataValidation type="list" allowBlank="1" showErrorMessage="1" sqref="R5:R57" xr:uid="{00000000-0002-0000-0000-000000000000}">
      <formula1>$AI$3:$AK$3</formula1>
    </dataValidation>
    <dataValidation type="list" allowBlank="1" showErrorMessage="1" sqref="G5 G12:G57" xr:uid="{00000000-0002-0000-0000-000001000000}">
      <formula1>$AI$13:$AJ$13</formula1>
    </dataValidation>
    <dataValidation type="list" allowBlank="1" showErrorMessage="1" sqref="S5:S57" xr:uid="{00000000-0002-0000-0000-000002000000}">
      <formula1>$AI$6:$AM$6</formula1>
    </dataValidation>
    <dataValidation type="list" allowBlank="1" showErrorMessage="1" sqref="Q5:Q57" xr:uid="{00000000-0002-0000-0000-000003000000}">
      <formula1>$AI$4:$AJ$4</formula1>
    </dataValidation>
    <dataValidation type="list" allowBlank="1" showErrorMessage="1" sqref="H5:H57" xr:uid="{00000000-0002-0000-0000-000004000000}">
      <formula1>$AO$3:$AO$68</formula1>
    </dataValidation>
  </dataValidations>
  <pageMargins left="0.7" right="0.7" top="0.75" bottom="0.75" header="0" footer="0"/>
  <pageSetup scale="33"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1A51A-CEDF-4F8E-8F55-BB47AC46D3B1}">
  <dimension ref="A1:DA477"/>
  <sheetViews>
    <sheetView showGridLines="0" topLeftCell="N23" zoomScale="85" zoomScaleNormal="85" workbookViewId="0">
      <selection activeCell="N23" sqref="N23"/>
    </sheetView>
    <sheetView showGridLines="0" tabSelected="1" zoomScale="70" zoomScaleNormal="70" workbookViewId="1">
      <selection activeCell="D5" sqref="D5"/>
    </sheetView>
  </sheetViews>
  <sheetFormatPr defaultColWidth="9.08984375" defaultRowHeight="17" customHeight="1"/>
  <cols>
    <col min="1" max="1" width="2.6328125" style="30" customWidth="1"/>
    <col min="2" max="2" width="24.26953125" style="32" bestFit="1" customWidth="1"/>
    <col min="3" max="3" width="10.6328125" style="32" customWidth="1"/>
    <col min="4" max="4" width="11.6328125" style="32" customWidth="1"/>
    <col min="5" max="5" width="10.6328125" style="30" customWidth="1"/>
    <col min="6" max="6" width="22.7265625" style="30" customWidth="1"/>
    <col min="7" max="7" width="10.6328125" style="30" customWidth="1"/>
    <col min="8" max="8" width="12" style="30" bestFit="1" customWidth="1"/>
    <col min="9" max="10" width="10.6328125" style="30" customWidth="1"/>
    <col min="11" max="11" width="5.6328125" style="30" customWidth="1"/>
    <col min="12" max="12" width="12.6328125" style="30" customWidth="1"/>
    <col min="13" max="13" width="2.6328125" style="30" customWidth="1"/>
    <col min="14" max="15" width="12.6328125" style="30" customWidth="1"/>
    <col min="16" max="16" width="15.54296875" style="30" bestFit="1" customWidth="1"/>
    <col min="17" max="17" width="13.54296875" style="30" bestFit="1" customWidth="1"/>
    <col min="18" max="18" width="12.1796875" style="30" bestFit="1" customWidth="1"/>
    <col min="19" max="19" width="13" style="30" customWidth="1"/>
    <col min="20" max="20" width="5.6328125" style="30" customWidth="1"/>
    <col min="21" max="21" width="22.6328125" style="30" bestFit="1" customWidth="1"/>
    <col min="22" max="23" width="12.26953125" style="30" bestFit="1" customWidth="1"/>
    <col min="24" max="24" width="12.7265625" style="30" bestFit="1" customWidth="1"/>
    <col min="25" max="26" width="11.81640625" style="30" bestFit="1" customWidth="1"/>
    <col min="27" max="27" width="14.26953125" style="30" customWidth="1"/>
    <col min="28" max="28" width="19.36328125" style="30" bestFit="1" customWidth="1"/>
    <col min="29" max="29" width="11.1796875" style="30" bestFit="1" customWidth="1"/>
    <col min="30" max="30" width="11.453125" style="30" bestFit="1" customWidth="1"/>
    <col min="31" max="31" width="13.36328125" style="30" bestFit="1" customWidth="1"/>
    <col min="32" max="34" width="9.08984375" style="30"/>
    <col min="35" max="35" width="12.54296875" style="30" customWidth="1"/>
    <col min="36" max="38" width="9.08984375" style="30"/>
    <col min="39" max="39" width="12.26953125" style="30" customWidth="1"/>
    <col min="40" max="40" width="9.08984375" style="30"/>
    <col min="41" max="41" width="22.54296875" style="30" customWidth="1"/>
    <col min="42" max="42" width="11.1796875" style="30" customWidth="1"/>
    <col min="43" max="43" width="13.6328125" style="30" customWidth="1"/>
    <col min="44" max="46" width="9.08984375" style="30"/>
    <col min="47" max="47" width="13" style="30" customWidth="1"/>
    <col min="48" max="48" width="12.453125" style="30" customWidth="1"/>
    <col min="49" max="62" width="9.08984375" style="30"/>
    <col min="63" max="63" width="16.81640625" style="30" bestFit="1" customWidth="1"/>
    <col min="64" max="64" width="1.6328125" style="30" customWidth="1"/>
    <col min="65" max="65" width="9.1796875" style="30" bestFit="1" customWidth="1"/>
    <col min="66" max="66" width="1.6328125" style="30" customWidth="1"/>
    <col min="67" max="67" width="11.54296875" style="30" bestFit="1" customWidth="1"/>
    <col min="68" max="68" width="1.6328125" style="30" customWidth="1"/>
    <col min="69" max="69" width="14.7265625" style="30" bestFit="1" customWidth="1"/>
    <col min="70" max="70" width="9.08984375" style="30"/>
    <col min="71" max="71" width="9.81640625" style="30" bestFit="1" customWidth="1"/>
    <col min="72" max="72" width="9.08984375" style="30"/>
    <col min="73" max="73" width="1.6328125" style="30" customWidth="1"/>
    <col min="74" max="74" width="10.6328125" style="30" bestFit="1" customWidth="1"/>
    <col min="75" max="75" width="1.6328125" style="30" customWidth="1"/>
    <col min="76" max="16384" width="9.08984375" style="30"/>
  </cols>
  <sheetData>
    <row r="1" spans="2:105" ht="17" customHeight="1" thickBot="1">
      <c r="I1"/>
      <c r="J1"/>
    </row>
    <row r="2" spans="2:105" ht="17" customHeight="1">
      <c r="B2" s="28" t="s">
        <v>447</v>
      </c>
      <c r="C2" s="29"/>
      <c r="D2" s="29"/>
      <c r="E2" s="29"/>
      <c r="F2" s="29"/>
      <c r="G2" s="86"/>
      <c r="H2" s="86"/>
      <c r="I2"/>
      <c r="J2"/>
      <c r="L2" s="28" t="s">
        <v>446</v>
      </c>
      <c r="M2" s="29"/>
      <c r="N2" s="29"/>
      <c r="O2" s="29"/>
      <c r="P2" s="29"/>
      <c r="Q2" s="29"/>
      <c r="R2" s="29"/>
      <c r="S2" s="29"/>
      <c r="U2" s="28" t="s">
        <v>445</v>
      </c>
      <c r="V2" s="29"/>
      <c r="W2" s="29"/>
      <c r="X2" s="29"/>
      <c r="Y2" s="29"/>
      <c r="Z2" s="29"/>
      <c r="AA2" s="29"/>
      <c r="AB2" s="29"/>
      <c r="AC2" s="29"/>
      <c r="AD2" s="29"/>
      <c r="AE2" s="29"/>
      <c r="AF2" s="29"/>
      <c r="AI2" s="155" t="s">
        <v>510</v>
      </c>
      <c r="AJ2" s="156"/>
      <c r="AK2" s="156"/>
      <c r="AL2" s="157"/>
      <c r="AM2"/>
      <c r="AN2"/>
      <c r="AO2" s="158" t="s">
        <v>510</v>
      </c>
      <c r="AP2" s="158"/>
      <c r="AQ2" s="158"/>
      <c r="AR2"/>
      <c r="AS2" s="159" t="s">
        <v>511</v>
      </c>
      <c r="AT2" s="159"/>
      <c r="AU2" s="159"/>
      <c r="AV2" s="159"/>
      <c r="BK2" s="145" t="s">
        <v>444</v>
      </c>
      <c r="BL2"/>
      <c r="BM2" s="29" t="s">
        <v>506</v>
      </c>
      <c r="BN2"/>
      <c r="BO2" s="29" t="s">
        <v>505</v>
      </c>
      <c r="BP2"/>
      <c r="BQ2" s="29" t="s">
        <v>426</v>
      </c>
      <c r="BR2" s="29" t="s">
        <v>425</v>
      </c>
      <c r="BS2" s="29" t="s">
        <v>13</v>
      </c>
      <c r="BT2" s="144" t="s">
        <v>504</v>
      </c>
      <c r="BU2"/>
      <c r="BV2" s="29" t="s">
        <v>97</v>
      </c>
      <c r="BW2"/>
      <c r="BX2" s="29" t="s">
        <v>489</v>
      </c>
      <c r="BY2" s="29"/>
      <c r="BZ2" s="29"/>
    </row>
    <row r="3" spans="2:105" ht="17" customHeight="1">
      <c r="B3" s="251" t="s">
        <v>9</v>
      </c>
      <c r="C3" s="62"/>
      <c r="D3" s="124"/>
      <c r="E3" s="99"/>
      <c r="F3" s="289" t="s">
        <v>520</v>
      </c>
      <c r="G3" s="104"/>
      <c r="H3" s="252">
        <v>0.06</v>
      </c>
      <c r="I3"/>
      <c r="J3"/>
      <c r="L3" s="34" t="s">
        <v>384</v>
      </c>
      <c r="M3" s="34"/>
      <c r="N3" s="34"/>
      <c r="O3" s="34" t="s">
        <v>379</v>
      </c>
      <c r="P3" s="34" t="s">
        <v>378</v>
      </c>
      <c r="Q3" s="34" t="s">
        <v>383</v>
      </c>
      <c r="R3" s="35" t="s">
        <v>382</v>
      </c>
      <c r="S3" s="36" t="s">
        <v>367</v>
      </c>
      <c r="Z3"/>
      <c r="AA3" s="35"/>
      <c r="AI3" s="160" t="s">
        <v>512</v>
      </c>
      <c r="AJ3" s="161"/>
      <c r="AK3" s="161"/>
      <c r="AL3" s="162"/>
      <c r="AM3"/>
      <c r="AN3"/>
      <c r="AO3" s="158"/>
      <c r="AP3" s="158"/>
      <c r="AQ3" s="158"/>
      <c r="AR3"/>
      <c r="AS3" s="159"/>
      <c r="AT3" s="159"/>
      <c r="AU3" s="159"/>
      <c r="AV3" s="159"/>
      <c r="BK3" s="146" t="s">
        <v>439</v>
      </c>
      <c r="BM3" s="148" t="s">
        <v>437</v>
      </c>
      <c r="BO3" s="148" t="s">
        <v>353</v>
      </c>
      <c r="BQ3" s="149" t="s">
        <v>423</v>
      </c>
      <c r="BR3" s="42">
        <v>8</v>
      </c>
      <c r="BS3" s="92" t="s">
        <v>32</v>
      </c>
      <c r="BT3" s="150"/>
      <c r="BV3" s="151" t="s">
        <v>460</v>
      </c>
      <c r="BX3" s="153" t="s">
        <v>508</v>
      </c>
      <c r="BY3" s="153" t="s">
        <v>509</v>
      </c>
      <c r="BZ3" s="153" t="s">
        <v>488</v>
      </c>
    </row>
    <row r="4" spans="2:105" ht="17" customHeight="1">
      <c r="B4" s="37" t="s">
        <v>444</v>
      </c>
      <c r="C4" s="54"/>
      <c r="D4" s="124" t="s">
        <v>439</v>
      </c>
      <c r="E4" s="54"/>
      <c r="F4" s="54" t="s">
        <v>97</v>
      </c>
      <c r="G4" s="54"/>
      <c r="H4" s="124" t="s">
        <v>460</v>
      </c>
      <c r="I4"/>
      <c r="J4"/>
      <c r="L4" s="34"/>
      <c r="M4" s="34"/>
      <c r="N4" s="34"/>
      <c r="O4" s="34"/>
      <c r="P4" s="34" t="s">
        <v>379</v>
      </c>
      <c r="Q4" s="34" t="s">
        <v>378</v>
      </c>
      <c r="R4" s="35" t="s">
        <v>377</v>
      </c>
      <c r="S4" s="40"/>
      <c r="U4" s="89" t="s">
        <v>647</v>
      </c>
      <c r="V4" s="89"/>
      <c r="W4" s="89"/>
      <c r="X4" s="89"/>
      <c r="Y4" s="89"/>
      <c r="Z4" s="89"/>
      <c r="AB4" s="89" t="s">
        <v>440</v>
      </c>
      <c r="AC4" s="89"/>
      <c r="AD4" s="89"/>
      <c r="AE4" s="89"/>
      <c r="AF4" s="89"/>
      <c r="AI4" s="160"/>
      <c r="AJ4" s="161"/>
      <c r="AK4" s="161"/>
      <c r="AL4" s="162"/>
      <c r="AM4"/>
      <c r="AN4"/>
      <c r="AO4" s="163" t="s">
        <v>513</v>
      </c>
      <c r="AP4" s="163"/>
      <c r="AQ4" s="163"/>
      <c r="AR4"/>
      <c r="AS4" s="159"/>
      <c r="AT4" s="159"/>
      <c r="AU4" s="159"/>
      <c r="AV4" s="159"/>
      <c r="BK4" s="146" t="s">
        <v>436</v>
      </c>
      <c r="BM4" s="147" t="s">
        <v>363</v>
      </c>
      <c r="BO4" s="147" t="s">
        <v>387</v>
      </c>
      <c r="BQ4" s="149" t="s">
        <v>421</v>
      </c>
      <c r="BR4" s="42">
        <v>11</v>
      </c>
      <c r="BS4" s="92" t="s">
        <v>7</v>
      </c>
      <c r="BT4" s="150"/>
      <c r="BV4" s="152" t="s">
        <v>461</v>
      </c>
      <c r="BX4" s="153">
        <v>0</v>
      </c>
      <c r="BY4" s="153">
        <f>+BX4+90</f>
        <v>90</v>
      </c>
      <c r="BZ4" s="154">
        <v>0.1</v>
      </c>
    </row>
    <row r="5" spans="2:105" ht="17" customHeight="1">
      <c r="B5" s="37" t="s">
        <v>14</v>
      </c>
      <c r="C5" s="54"/>
      <c r="D5" s="97" t="str" cm="1">
        <f t="array" aca="1" ref="D5" ca="1">_xlfn.TEXTAFTER(CELL("filename",A1),"]")</f>
        <v>119488</v>
      </c>
      <c r="E5" s="54"/>
      <c r="F5" s="83" t="s">
        <v>10</v>
      </c>
      <c r="G5" s="54"/>
      <c r="H5" s="248">
        <f ca="1">TODAY()</f>
        <v>45453</v>
      </c>
      <c r="I5"/>
      <c r="J5"/>
      <c r="L5" s="137">
        <v>12</v>
      </c>
      <c r="M5" s="142" t="s">
        <v>503</v>
      </c>
      <c r="N5" s="137">
        <v>6</v>
      </c>
      <c r="O5" s="92">
        <f>(L5*N5)/144</f>
        <v>0.5</v>
      </c>
      <c r="P5" s="134">
        <v>6</v>
      </c>
      <c r="Q5" s="135">
        <f>+P5*O5</f>
        <v>3</v>
      </c>
      <c r="R5" s="247">
        <v>0</v>
      </c>
      <c r="S5" s="250">
        <f>+Q5*R5</f>
        <v>0</v>
      </c>
      <c r="AB5" s="61"/>
      <c r="AC5" s="104" t="s">
        <v>367</v>
      </c>
      <c r="AD5" s="104"/>
      <c r="AE5" s="104"/>
      <c r="AF5" s="105"/>
      <c r="AI5" s="160"/>
      <c r="AJ5" s="161"/>
      <c r="AK5" s="161"/>
      <c r="AL5" s="162"/>
      <c r="AM5"/>
      <c r="AN5"/>
      <c r="AO5" s="163" t="s">
        <v>514</v>
      </c>
      <c r="AP5" s="163"/>
      <c r="AQ5" s="163"/>
      <c r="AR5"/>
      <c r="AS5" s="163" t="s">
        <v>515</v>
      </c>
      <c r="AT5" s="163"/>
      <c r="AU5" s="163"/>
      <c r="AV5" s="163"/>
      <c r="BK5" s="146" t="s">
        <v>433</v>
      </c>
      <c r="BQ5" s="149" t="s">
        <v>420</v>
      </c>
      <c r="BR5" s="42">
        <v>10</v>
      </c>
      <c r="BS5" s="92" t="s">
        <v>32</v>
      </c>
      <c r="BT5" s="150"/>
      <c r="BV5" s="152" t="s">
        <v>462</v>
      </c>
      <c r="BX5" s="153">
        <f>+BY4</f>
        <v>90</v>
      </c>
      <c r="BY5" s="153">
        <f t="shared" ref="BY5:CJ8" si="0">+BX5+90</f>
        <v>180</v>
      </c>
      <c r="BZ5" s="154">
        <f>+BZ4-0.025</f>
        <v>7.5000000000000011E-2</v>
      </c>
      <c r="CD5" s="41"/>
      <c r="CE5" s="41"/>
      <c r="CF5" s="41"/>
      <c r="CG5" s="41"/>
      <c r="CH5" s="41"/>
      <c r="CI5" s="41"/>
      <c r="CJ5" s="41"/>
      <c r="CK5" s="41"/>
      <c r="CL5" s="41"/>
      <c r="CM5" s="41"/>
      <c r="CN5" s="41"/>
    </row>
    <row r="6" spans="2:105" ht="17" customHeight="1">
      <c r="B6" s="37" t="s">
        <v>15</v>
      </c>
      <c r="C6" s="54"/>
      <c r="D6" s="124" t="s">
        <v>365</v>
      </c>
      <c r="E6" s="54"/>
      <c r="F6" s="83" t="s">
        <v>11</v>
      </c>
      <c r="G6" s="54"/>
      <c r="H6" s="248">
        <f ca="1">+H5+180</f>
        <v>45633</v>
      </c>
      <c r="I6"/>
      <c r="J6"/>
      <c r="L6" s="137">
        <v>12</v>
      </c>
      <c r="M6" s="142" t="s">
        <v>503</v>
      </c>
      <c r="N6" s="137">
        <v>12</v>
      </c>
      <c r="O6" s="92">
        <f t="shared" ref="O6:O41" si="1">(L6*N6)/144</f>
        <v>1</v>
      </c>
      <c r="P6" s="134">
        <v>6</v>
      </c>
      <c r="Q6" s="135">
        <f t="shared" ref="Q6:Q41" si="2">+P6*O6</f>
        <v>6</v>
      </c>
      <c r="R6" s="247">
        <v>0</v>
      </c>
      <c r="S6" s="250">
        <f t="shared" ref="S6:S41" si="3">+Q6*R6</f>
        <v>0</v>
      </c>
      <c r="AB6" s="53" t="s">
        <v>16</v>
      </c>
      <c r="AC6" s="273">
        <f>+V63</f>
        <v>10179.730288356164</v>
      </c>
      <c r="AD6" s="255"/>
      <c r="AE6" s="273"/>
      <c r="AF6" s="33"/>
      <c r="AI6" s="160"/>
      <c r="AJ6" s="161"/>
      <c r="AK6" s="161"/>
      <c r="AL6" s="162"/>
      <c r="AM6"/>
      <c r="AN6"/>
      <c r="AO6" s="163" t="s">
        <v>516</v>
      </c>
      <c r="AP6" s="163"/>
      <c r="AQ6" s="163"/>
      <c r="AR6"/>
      <c r="AS6" s="163" t="s">
        <v>517</v>
      </c>
      <c r="AT6" s="163"/>
      <c r="AU6" s="163"/>
      <c r="AV6" s="163"/>
      <c r="BK6" s="146" t="s">
        <v>430</v>
      </c>
      <c r="BQ6" s="149" t="s">
        <v>417</v>
      </c>
      <c r="BR6" s="42">
        <v>11</v>
      </c>
      <c r="BS6" s="92" t="s">
        <v>7</v>
      </c>
      <c r="BT6" s="150"/>
      <c r="BV6" s="147" t="s">
        <v>507</v>
      </c>
      <c r="BX6" s="153">
        <f>+BY5</f>
        <v>180</v>
      </c>
      <c r="BY6" s="153">
        <f t="shared" si="0"/>
        <v>270</v>
      </c>
      <c r="BZ6" s="154">
        <f t="shared" ref="BZ6:BZ8" si="4">+BZ5-0.025</f>
        <v>5.000000000000001E-2</v>
      </c>
      <c r="CD6" s="41"/>
      <c r="CE6" s="41"/>
      <c r="CF6" s="41"/>
      <c r="CG6" s="41"/>
      <c r="CH6" s="41"/>
      <c r="CI6" s="41"/>
      <c r="CJ6" s="41"/>
      <c r="CK6" s="41"/>
      <c r="CL6" s="41"/>
      <c r="CM6" s="41"/>
      <c r="CN6" s="41"/>
    </row>
    <row r="7" spans="2:105" ht="17" customHeight="1" thickBot="1">
      <c r="B7" s="37" t="s">
        <v>425</v>
      </c>
      <c r="C7" s="54"/>
      <c r="D7" s="97">
        <f>_xlfn.XLOOKUP(D6,BQ3:BQ65,BR3:BR65)</f>
        <v>12</v>
      </c>
      <c r="E7" s="54"/>
      <c r="F7" s="83" t="s">
        <v>12</v>
      </c>
      <c r="G7" s="54"/>
      <c r="H7" s="97">
        <f ca="1">H6-H5</f>
        <v>180</v>
      </c>
      <c r="I7"/>
      <c r="J7"/>
      <c r="L7" s="42">
        <v>18</v>
      </c>
      <c r="M7" s="142" t="s">
        <v>503</v>
      </c>
      <c r="N7" s="137">
        <v>12</v>
      </c>
      <c r="O7" s="92">
        <f t="shared" si="1"/>
        <v>1.5</v>
      </c>
      <c r="P7" s="134">
        <v>6</v>
      </c>
      <c r="Q7" s="135">
        <f t="shared" si="2"/>
        <v>9</v>
      </c>
      <c r="R7" s="247">
        <v>0</v>
      </c>
      <c r="S7" s="250">
        <f t="shared" si="3"/>
        <v>0</v>
      </c>
      <c r="AB7" s="53" t="s">
        <v>646</v>
      </c>
      <c r="AC7" s="273">
        <f>+E88</f>
        <v>8300</v>
      </c>
      <c r="AD7" s="255"/>
      <c r="AE7" s="273"/>
      <c r="AF7" s="33"/>
      <c r="AI7" s="164"/>
      <c r="AJ7" s="165"/>
      <c r="AK7" s="165"/>
      <c r="AL7" s="166"/>
      <c r="AM7"/>
      <c r="AN7"/>
      <c r="AO7" s="163" t="s">
        <v>518</v>
      </c>
      <c r="AP7" s="163"/>
      <c r="AQ7" s="163"/>
      <c r="AR7"/>
      <c r="AS7" s="163" t="s">
        <v>519</v>
      </c>
      <c r="AT7" s="163"/>
      <c r="AU7" s="163"/>
      <c r="AV7" s="163"/>
      <c r="BK7" s="146" t="s">
        <v>429</v>
      </c>
      <c r="BQ7" s="149" t="s">
        <v>415</v>
      </c>
      <c r="BR7" s="42">
        <v>9</v>
      </c>
      <c r="BS7" s="92" t="s">
        <v>32</v>
      </c>
      <c r="BT7" s="150"/>
      <c r="BX7" s="153">
        <f t="shared" ref="BX7:CI8" si="5">+BY6</f>
        <v>270</v>
      </c>
      <c r="BY7" s="153">
        <f t="shared" si="0"/>
        <v>360</v>
      </c>
      <c r="BZ7" s="154">
        <f t="shared" si="4"/>
        <v>2.5000000000000008E-2</v>
      </c>
      <c r="CD7" s="41"/>
      <c r="CE7" s="41"/>
      <c r="CF7" s="41"/>
      <c r="CG7" s="41"/>
      <c r="CH7" s="41"/>
      <c r="CI7" s="41"/>
      <c r="CJ7" s="41"/>
      <c r="CK7" s="41"/>
      <c r="CL7" s="41"/>
      <c r="CM7" s="41"/>
      <c r="CN7" s="41"/>
    </row>
    <row r="8" spans="2:105" ht="17" customHeight="1">
      <c r="B8" s="37" t="s">
        <v>13</v>
      </c>
      <c r="C8" s="54"/>
      <c r="D8" s="97" t="str">
        <f>_xlfn.XLOOKUP(D6,BQ3:BQ65,BS3:BS65)</f>
        <v>Hatfield</v>
      </c>
      <c r="E8" s="54"/>
      <c r="F8" s="54" t="s">
        <v>438</v>
      </c>
      <c r="G8" s="54"/>
      <c r="H8" s="124" t="s">
        <v>363</v>
      </c>
      <c r="I8"/>
      <c r="J8"/>
      <c r="L8" s="42">
        <v>18</v>
      </c>
      <c r="M8" s="142" t="s">
        <v>503</v>
      </c>
      <c r="N8" s="42">
        <v>18</v>
      </c>
      <c r="O8" s="92">
        <f t="shared" si="1"/>
        <v>2.25</v>
      </c>
      <c r="P8" s="134">
        <v>6</v>
      </c>
      <c r="Q8" s="135">
        <f t="shared" si="2"/>
        <v>13.5</v>
      </c>
      <c r="R8" s="247">
        <v>0</v>
      </c>
      <c r="S8" s="250">
        <f t="shared" si="3"/>
        <v>0</v>
      </c>
      <c r="AB8" s="53" t="s">
        <v>633</v>
      </c>
      <c r="AC8" s="273">
        <f>+Z76</f>
        <v>0</v>
      </c>
      <c r="AD8" s="255"/>
      <c r="AE8" s="273"/>
      <c r="AF8" s="33"/>
      <c r="AI8"/>
      <c r="AJ8"/>
      <c r="AK8"/>
      <c r="AL8"/>
      <c r="AM8"/>
      <c r="AN8"/>
      <c r="AO8" s="167" t="s">
        <v>520</v>
      </c>
      <c r="AP8" s="167"/>
      <c r="AQ8" s="167"/>
      <c r="AR8"/>
      <c r="AS8" s="163" t="s">
        <v>521</v>
      </c>
      <c r="AT8" s="163"/>
      <c r="AU8" s="163"/>
      <c r="AV8" s="163"/>
      <c r="BK8" s="146"/>
      <c r="BQ8" s="149" t="s">
        <v>413</v>
      </c>
      <c r="BR8" s="42">
        <v>5</v>
      </c>
      <c r="BS8" s="92" t="s">
        <v>7</v>
      </c>
      <c r="BT8" s="150"/>
      <c r="BX8" s="153">
        <f t="shared" si="5"/>
        <v>360</v>
      </c>
      <c r="BY8" s="153">
        <f t="shared" si="0"/>
        <v>450</v>
      </c>
      <c r="BZ8" s="154">
        <f t="shared" si="4"/>
        <v>0</v>
      </c>
      <c r="CD8" s="41"/>
      <c r="CE8" s="41"/>
      <c r="CF8" s="41"/>
      <c r="CG8" s="41"/>
      <c r="CH8" s="41"/>
      <c r="CI8" s="41"/>
      <c r="CJ8" s="41"/>
      <c r="CK8" s="41"/>
      <c r="CL8" s="41"/>
      <c r="CM8" s="41"/>
      <c r="CN8" s="41"/>
    </row>
    <row r="9" spans="2:105" ht="17" customHeight="1">
      <c r="B9" s="55" t="str">
        <f>+AJ14</f>
        <v>S.R. / Route:</v>
      </c>
      <c r="C9" s="102"/>
      <c r="D9" s="124"/>
      <c r="E9" s="59"/>
      <c r="F9" s="59" t="s">
        <v>434</v>
      </c>
      <c r="G9" s="59"/>
      <c r="H9" s="96">
        <v>0.06</v>
      </c>
      <c r="I9"/>
      <c r="J9"/>
      <c r="L9" s="42">
        <v>21</v>
      </c>
      <c r="M9" s="142" t="s">
        <v>503</v>
      </c>
      <c r="N9" s="137">
        <v>15</v>
      </c>
      <c r="O9" s="92">
        <f t="shared" si="1"/>
        <v>2.1875</v>
      </c>
      <c r="P9" s="134">
        <v>6</v>
      </c>
      <c r="Q9" s="135">
        <f t="shared" si="2"/>
        <v>13.125</v>
      </c>
      <c r="R9" s="247">
        <v>0</v>
      </c>
      <c r="S9" s="250">
        <f t="shared" si="3"/>
        <v>0</v>
      </c>
      <c r="AB9" s="53" t="s">
        <v>632</v>
      </c>
      <c r="AC9" s="273"/>
      <c r="AD9" s="87"/>
      <c r="AE9" s="87"/>
      <c r="AF9" s="33"/>
      <c r="AI9"/>
      <c r="AJ9"/>
      <c r="AK9"/>
      <c r="AL9"/>
      <c r="AM9"/>
      <c r="AN9"/>
      <c r="AO9"/>
      <c r="AP9"/>
      <c r="AQ9"/>
      <c r="AR9"/>
      <c r="AS9"/>
      <c r="AT9"/>
      <c r="AU9"/>
      <c r="AV9"/>
      <c r="BK9" s="146"/>
      <c r="BQ9" s="149" t="s">
        <v>409</v>
      </c>
      <c r="BR9" s="42">
        <v>3</v>
      </c>
      <c r="BS9" s="92" t="s">
        <v>7</v>
      </c>
      <c r="BT9" s="150"/>
      <c r="BU9" s="41"/>
      <c r="BV9" s="41"/>
      <c r="BW9" s="41"/>
      <c r="BX9" s="41"/>
      <c r="BY9" s="41"/>
      <c r="BZ9" s="41"/>
      <c r="CA9" s="41"/>
      <c r="CB9" s="41"/>
      <c r="CC9" s="41"/>
      <c r="CD9" s="41"/>
      <c r="CE9" s="41"/>
      <c r="CF9" s="41"/>
      <c r="CG9" s="41"/>
      <c r="CH9" s="41"/>
      <c r="CI9" s="41"/>
      <c r="CJ9" s="41"/>
      <c r="CK9" s="41"/>
      <c r="CL9" s="41"/>
      <c r="CM9" s="41"/>
      <c r="CN9" s="41"/>
    </row>
    <row r="10" spans="2:105" ht="17" customHeight="1">
      <c r="B10" s="30"/>
      <c r="C10" s="30"/>
      <c r="I10"/>
      <c r="J10"/>
      <c r="L10" s="42">
        <v>24</v>
      </c>
      <c r="M10" s="142" t="s">
        <v>503</v>
      </c>
      <c r="N10" s="42">
        <v>12</v>
      </c>
      <c r="O10" s="92">
        <f t="shared" si="1"/>
        <v>2</v>
      </c>
      <c r="P10" s="134">
        <v>6</v>
      </c>
      <c r="Q10" s="135">
        <f t="shared" si="2"/>
        <v>12</v>
      </c>
      <c r="R10" s="247">
        <v>0</v>
      </c>
      <c r="S10" s="250">
        <f t="shared" si="3"/>
        <v>0</v>
      </c>
      <c r="AB10" s="53" t="s">
        <v>649</v>
      </c>
      <c r="AC10" s="292">
        <f>+Z63</f>
        <v>0.92487270825194823</v>
      </c>
      <c r="AD10" s="54"/>
      <c r="AE10" s="54"/>
      <c r="AF10" s="52"/>
      <c r="AI10" s="168"/>
      <c r="AJ10" s="169" t="s">
        <v>522</v>
      </c>
      <c r="AK10" s="169"/>
      <c r="AL10" s="170" t="s">
        <v>523</v>
      </c>
      <c r="AM10" s="170"/>
      <c r="AN10" s="170"/>
      <c r="AO10" s="168"/>
      <c r="AP10" s="169" t="s">
        <v>524</v>
      </c>
      <c r="AQ10" s="169"/>
      <c r="AR10" s="171">
        <v>45449</v>
      </c>
      <c r="AS10" s="170"/>
      <c r="AT10" s="170"/>
      <c r="AU10" s="168"/>
      <c r="AV10" s="168"/>
      <c r="BK10" s="146"/>
      <c r="BQ10" s="149" t="s">
        <v>408</v>
      </c>
      <c r="BR10" s="42">
        <v>6</v>
      </c>
      <c r="BS10" s="92" t="s">
        <v>32</v>
      </c>
      <c r="BT10" s="150"/>
      <c r="BU10" s="41"/>
      <c r="BV10" s="41"/>
      <c r="BW10" s="41"/>
      <c r="BX10" s="41"/>
      <c r="BY10" s="41"/>
      <c r="BZ10" s="41"/>
      <c r="CA10" s="41"/>
      <c r="CB10" s="41"/>
      <c r="CC10" s="41"/>
      <c r="CD10" s="41"/>
      <c r="CE10" s="41"/>
      <c r="CF10" s="41"/>
      <c r="CG10" s="41"/>
      <c r="CH10" s="41"/>
      <c r="CI10" s="41"/>
      <c r="CJ10" s="41"/>
      <c r="CK10" s="41"/>
      <c r="CL10" s="41"/>
      <c r="CM10" s="41"/>
      <c r="CN10" s="41"/>
      <c r="CQ10" s="45"/>
      <c r="CR10" s="45"/>
      <c r="CS10" s="45"/>
      <c r="CT10" s="45"/>
      <c r="CU10" s="45"/>
      <c r="CV10" s="45"/>
      <c r="CW10" s="45"/>
      <c r="CX10" s="45"/>
      <c r="CY10" s="45"/>
      <c r="CZ10" s="45"/>
      <c r="DA10" s="45"/>
    </row>
    <row r="11" spans="2:105" ht="17" customHeight="1">
      <c r="B11" s="28" t="s">
        <v>475</v>
      </c>
      <c r="C11" s="29"/>
      <c r="D11" s="29"/>
      <c r="E11" s="29"/>
      <c r="F11" s="29"/>
      <c r="G11" s="86"/>
      <c r="H11" s="86"/>
      <c r="I11"/>
      <c r="J11"/>
      <c r="L11" s="42">
        <v>24</v>
      </c>
      <c r="M11" s="142" t="s">
        <v>503</v>
      </c>
      <c r="N11" s="42">
        <v>18</v>
      </c>
      <c r="O11" s="92">
        <f t="shared" si="1"/>
        <v>3</v>
      </c>
      <c r="P11" s="134">
        <v>6</v>
      </c>
      <c r="Q11" s="135">
        <f t="shared" si="2"/>
        <v>18</v>
      </c>
      <c r="R11" s="247">
        <v>0</v>
      </c>
      <c r="S11" s="250">
        <f t="shared" si="3"/>
        <v>0</v>
      </c>
      <c r="AB11" s="53" t="s">
        <v>651</v>
      </c>
      <c r="AC11" s="294">
        <f>+O43+O87+O95</f>
        <v>1519</v>
      </c>
      <c r="AD11" s="54"/>
      <c r="AE11" s="54"/>
      <c r="AF11" s="52"/>
      <c r="AI11"/>
      <c r="AJ11"/>
      <c r="AK11"/>
      <c r="AL11"/>
      <c r="AM11"/>
      <c r="AN11"/>
      <c r="AO11"/>
      <c r="AP11"/>
      <c r="AQ11"/>
      <c r="AR11"/>
      <c r="AS11"/>
      <c r="AT11"/>
      <c r="AU11"/>
      <c r="AV11"/>
      <c r="BK11" s="146"/>
      <c r="BQ11" s="149" t="s">
        <v>406</v>
      </c>
      <c r="BR11" s="42">
        <v>10</v>
      </c>
      <c r="BS11" s="92" t="s">
        <v>7</v>
      </c>
      <c r="BT11" s="150"/>
      <c r="BU11" s="41"/>
      <c r="BV11" s="41"/>
      <c r="BW11" s="41"/>
      <c r="BX11" s="41"/>
      <c r="BY11" s="41"/>
      <c r="BZ11" s="41"/>
      <c r="CA11" s="41"/>
      <c r="CB11" s="41"/>
      <c r="CC11" s="41"/>
      <c r="CD11" s="41"/>
      <c r="CE11" s="41"/>
      <c r="CF11" s="41"/>
      <c r="CG11" s="41"/>
      <c r="CH11" s="41"/>
      <c r="CI11" s="41"/>
      <c r="CJ11" s="41"/>
      <c r="CK11" s="41"/>
      <c r="CL11" s="41"/>
      <c r="CM11" s="41"/>
      <c r="CN11" s="41"/>
    </row>
    <row r="12" spans="2:105" ht="17" customHeight="1">
      <c r="B12" s="61"/>
      <c r="C12" s="98" t="s">
        <v>410</v>
      </c>
      <c r="D12" s="99"/>
      <c r="E12" s="99"/>
      <c r="F12" s="99"/>
      <c r="G12" s="98" t="s">
        <v>410</v>
      </c>
      <c r="H12" s="63"/>
      <c r="I12"/>
      <c r="J12"/>
      <c r="L12" s="42">
        <v>24</v>
      </c>
      <c r="M12" s="142" t="s">
        <v>503</v>
      </c>
      <c r="N12" s="42">
        <v>24</v>
      </c>
      <c r="O12" s="92">
        <f t="shared" si="1"/>
        <v>4</v>
      </c>
      <c r="P12" s="134">
        <v>6</v>
      </c>
      <c r="Q12" s="135">
        <f t="shared" si="2"/>
        <v>24</v>
      </c>
      <c r="R12" s="247">
        <v>0</v>
      </c>
      <c r="S12" s="250">
        <f t="shared" si="3"/>
        <v>0</v>
      </c>
      <c r="AB12" s="53" t="s">
        <v>654</v>
      </c>
      <c r="AC12" s="54"/>
      <c r="AD12" s="54"/>
      <c r="AE12" s="54"/>
      <c r="AF12" s="52"/>
      <c r="AI12"/>
      <c r="AJ12" s="169" t="s">
        <v>525</v>
      </c>
      <c r="AK12" s="169"/>
      <c r="AL12" s="170" t="str">
        <f>D6</f>
        <v xml:space="preserve">Fayette </v>
      </c>
      <c r="AM12" s="170"/>
      <c r="AN12" s="170"/>
      <c r="AO12"/>
      <c r="AP12" s="169" t="s">
        <v>526</v>
      </c>
      <c r="AQ12" s="169"/>
      <c r="AR12" s="171">
        <f ca="1">H5</f>
        <v>45453</v>
      </c>
      <c r="AS12" s="170"/>
      <c r="AT12" s="170"/>
      <c r="AU12"/>
      <c r="AV12"/>
      <c r="BK12" s="146"/>
      <c r="BQ12" s="149" t="s">
        <v>404</v>
      </c>
      <c r="BR12" s="42">
        <v>9</v>
      </c>
      <c r="BS12" s="92" t="s">
        <v>32</v>
      </c>
      <c r="BT12" s="150"/>
      <c r="BU12" s="41"/>
      <c r="BV12" s="41"/>
      <c r="BW12" s="41"/>
      <c r="BX12" s="41"/>
      <c r="BY12" s="41"/>
      <c r="BZ12" s="41"/>
      <c r="CA12" s="41"/>
      <c r="CB12" s="41"/>
      <c r="CC12" s="41"/>
      <c r="CD12" s="41"/>
      <c r="CE12" s="41"/>
      <c r="CF12" s="41"/>
      <c r="CG12" s="41"/>
      <c r="CH12" s="41"/>
      <c r="CI12" s="41"/>
      <c r="CJ12" s="41"/>
      <c r="CK12" s="41"/>
      <c r="CL12" s="41"/>
      <c r="CM12" s="41"/>
      <c r="CN12" s="41"/>
    </row>
    <row r="13" spans="2:105" ht="17" customHeight="1">
      <c r="B13" s="37" t="s">
        <v>424</v>
      </c>
      <c r="C13" s="100" t="s">
        <v>472</v>
      </c>
      <c r="D13" s="246">
        <v>28.42</v>
      </c>
      <c r="E13" s="54"/>
      <c r="F13" s="54" t="s">
        <v>470</v>
      </c>
      <c r="G13" s="100" t="s">
        <v>471</v>
      </c>
      <c r="H13" s="247">
        <v>2</v>
      </c>
      <c r="I13"/>
      <c r="J13"/>
      <c r="L13" s="42" t="s">
        <v>414</v>
      </c>
      <c r="M13" s="142" t="s">
        <v>503</v>
      </c>
      <c r="N13" s="42"/>
      <c r="O13" s="92">
        <v>6.25</v>
      </c>
      <c r="P13" s="134">
        <v>6</v>
      </c>
      <c r="Q13" s="135">
        <f t="shared" si="2"/>
        <v>37.5</v>
      </c>
      <c r="R13" s="247">
        <v>0</v>
      </c>
      <c r="S13" s="250">
        <f t="shared" si="3"/>
        <v>0</v>
      </c>
      <c r="AB13" s="53"/>
      <c r="AC13" s="54"/>
      <c r="AD13" s="54"/>
      <c r="AE13" s="54"/>
      <c r="AF13" s="52"/>
      <c r="AI13"/>
      <c r="AJ13"/>
      <c r="AK13"/>
      <c r="AL13"/>
      <c r="AM13"/>
      <c r="AN13"/>
      <c r="AO13"/>
      <c r="AP13"/>
      <c r="AQ13"/>
      <c r="AR13"/>
      <c r="AS13"/>
      <c r="AT13"/>
      <c r="AU13"/>
      <c r="AV13"/>
      <c r="BK13" s="147"/>
      <c r="BQ13" s="149" t="s">
        <v>403</v>
      </c>
      <c r="BR13" s="42">
        <v>2</v>
      </c>
      <c r="BS13" s="92" t="s">
        <v>7</v>
      </c>
      <c r="BT13" s="150"/>
      <c r="BU13" s="41"/>
      <c r="BV13" s="41"/>
      <c r="BW13" s="41"/>
      <c r="BX13" s="41"/>
      <c r="BY13" s="41"/>
      <c r="BZ13" s="41"/>
      <c r="CA13" s="41"/>
      <c r="CB13" s="41"/>
      <c r="CC13" s="41"/>
      <c r="CD13" s="41"/>
      <c r="CE13" s="41"/>
      <c r="CF13" s="41"/>
      <c r="CG13" s="41"/>
      <c r="CH13" s="41"/>
      <c r="CI13" s="41"/>
      <c r="CJ13" s="41"/>
      <c r="CK13" s="41"/>
      <c r="CL13" s="41"/>
      <c r="CM13" s="41"/>
      <c r="CN13" s="41"/>
      <c r="CQ13" s="45"/>
      <c r="CR13" s="45"/>
      <c r="CS13" s="45"/>
      <c r="CT13" s="46"/>
      <c r="CU13" s="45"/>
      <c r="CV13" s="46"/>
      <c r="CW13" s="45"/>
      <c r="CX13" s="45"/>
      <c r="CY13" s="45"/>
      <c r="CZ13" s="45"/>
      <c r="DA13" s="45"/>
    </row>
    <row r="14" spans="2:105" ht="17" customHeight="1">
      <c r="B14" s="37" t="s">
        <v>422</v>
      </c>
      <c r="C14" s="100" t="s">
        <v>472</v>
      </c>
      <c r="D14" s="246">
        <v>18.989999999999998</v>
      </c>
      <c r="E14" s="54"/>
      <c r="F14" s="83" t="s">
        <v>407</v>
      </c>
      <c r="G14" s="100" t="s">
        <v>398</v>
      </c>
      <c r="H14" s="247">
        <v>1</v>
      </c>
      <c r="I14"/>
      <c r="J14"/>
      <c r="L14" s="137">
        <v>30</v>
      </c>
      <c r="M14" s="142" t="s">
        <v>503</v>
      </c>
      <c r="N14" s="137">
        <v>15</v>
      </c>
      <c r="O14" s="92">
        <f t="shared" si="1"/>
        <v>3.125</v>
      </c>
      <c r="P14" s="134">
        <v>6</v>
      </c>
      <c r="Q14" s="135">
        <f t="shared" si="2"/>
        <v>18.75</v>
      </c>
      <c r="R14" s="247">
        <v>60</v>
      </c>
      <c r="S14" s="250">
        <f t="shared" si="3"/>
        <v>1125</v>
      </c>
      <c r="AB14" s="53"/>
      <c r="AC14" s="54"/>
      <c r="AD14" s="54"/>
      <c r="AE14" s="54"/>
      <c r="AF14" s="52"/>
      <c r="AI14"/>
      <c r="AJ14" s="169" t="s">
        <v>527</v>
      </c>
      <c r="AK14" s="169"/>
      <c r="AL14" s="170">
        <f>D9</f>
        <v>0</v>
      </c>
      <c r="AM14" s="170"/>
      <c r="AN14" s="170"/>
      <c r="AO14"/>
      <c r="AP14" s="169" t="s">
        <v>528</v>
      </c>
      <c r="AQ14" s="169"/>
      <c r="AR14" s="171">
        <f ca="1">H6</f>
        <v>45633</v>
      </c>
      <c r="AS14" s="170"/>
      <c r="AT14" s="170"/>
      <c r="AU14"/>
      <c r="AV14"/>
      <c r="BQ14" s="149" t="s">
        <v>402</v>
      </c>
      <c r="BR14" s="42">
        <v>5</v>
      </c>
      <c r="BS14" s="92" t="s">
        <v>32</v>
      </c>
      <c r="BT14" s="150"/>
      <c r="BU14" s="41"/>
      <c r="BV14" s="41"/>
      <c r="BW14" s="41"/>
      <c r="BX14" s="41"/>
      <c r="BY14" s="41"/>
      <c r="BZ14" s="41"/>
      <c r="CA14" s="41"/>
      <c r="CB14" s="41"/>
      <c r="CC14" s="41"/>
      <c r="CD14" s="41"/>
      <c r="CE14" s="41"/>
      <c r="CF14" s="41"/>
      <c r="CG14" s="41"/>
      <c r="CH14" s="41"/>
      <c r="CI14" s="41"/>
      <c r="CJ14" s="41"/>
      <c r="CK14" s="41"/>
      <c r="CL14" s="41"/>
      <c r="CM14" s="41"/>
      <c r="CN14" s="41"/>
    </row>
    <row r="15" spans="2:105" ht="17" customHeight="1">
      <c r="B15" s="37" t="s">
        <v>480</v>
      </c>
      <c r="C15" s="100" t="s">
        <v>474</v>
      </c>
      <c r="D15" s="114">
        <f>SUM(D13:D14)</f>
        <v>47.41</v>
      </c>
      <c r="E15" s="54"/>
      <c r="F15" s="54" t="s">
        <v>405</v>
      </c>
      <c r="G15" s="100"/>
      <c r="H15" s="117">
        <f>H13*H14</f>
        <v>2</v>
      </c>
      <c r="I15"/>
      <c r="J15"/>
      <c r="L15" s="42">
        <v>30</v>
      </c>
      <c r="M15" s="142" t="s">
        <v>503</v>
      </c>
      <c r="N15" s="42">
        <v>18</v>
      </c>
      <c r="O15" s="92">
        <f t="shared" si="1"/>
        <v>3.75</v>
      </c>
      <c r="P15" s="134">
        <v>6</v>
      </c>
      <c r="Q15" s="135">
        <f t="shared" si="2"/>
        <v>22.5</v>
      </c>
      <c r="R15" s="247">
        <v>60</v>
      </c>
      <c r="S15" s="250">
        <f t="shared" si="3"/>
        <v>1350</v>
      </c>
      <c r="AB15" s="53"/>
      <c r="AC15" s="54"/>
      <c r="AD15" s="54"/>
      <c r="AE15" s="54"/>
      <c r="AF15" s="52"/>
      <c r="AI15"/>
      <c r="AJ15"/>
      <c r="AK15"/>
      <c r="AL15"/>
      <c r="AM15"/>
      <c r="AN15"/>
      <c r="AO15"/>
      <c r="AP15"/>
      <c r="AQ15"/>
      <c r="AR15"/>
      <c r="AS15"/>
      <c r="AT15"/>
      <c r="AU15"/>
      <c r="AV15"/>
      <c r="BQ15" s="149" t="s">
        <v>401</v>
      </c>
      <c r="BR15" s="42">
        <v>2</v>
      </c>
      <c r="BS15" s="92" t="s">
        <v>7</v>
      </c>
      <c r="BT15" s="150"/>
      <c r="BU15" s="41"/>
      <c r="BV15" s="41"/>
      <c r="BW15" s="41"/>
      <c r="BX15" s="41"/>
      <c r="BY15" s="41"/>
      <c r="BZ15" s="41"/>
      <c r="CA15" s="41"/>
      <c r="CB15" s="41"/>
      <c r="CC15" s="41"/>
      <c r="CD15" s="41"/>
      <c r="CE15" s="41"/>
      <c r="CF15" s="41"/>
      <c r="CG15" s="41"/>
      <c r="CH15" s="41"/>
      <c r="CI15" s="41"/>
      <c r="CJ15" s="41"/>
      <c r="CK15" s="41"/>
      <c r="CL15" s="41"/>
      <c r="CM15" s="41"/>
      <c r="CN15" s="41"/>
    </row>
    <row r="16" spans="2:105" ht="17" customHeight="1">
      <c r="B16" s="53" t="s">
        <v>419</v>
      </c>
      <c r="C16" s="100" t="s">
        <v>469</v>
      </c>
      <c r="D16" s="115">
        <v>0.8</v>
      </c>
      <c r="E16" s="54"/>
      <c r="F16" s="54" t="s">
        <v>400</v>
      </c>
      <c r="G16" s="100" t="s">
        <v>389</v>
      </c>
      <c r="H16" s="126">
        <v>6</v>
      </c>
      <c r="I16"/>
      <c r="J16"/>
      <c r="L16" s="42">
        <v>30</v>
      </c>
      <c r="M16" s="142" t="s">
        <v>503</v>
      </c>
      <c r="N16" s="42">
        <v>24</v>
      </c>
      <c r="O16" s="92">
        <f t="shared" si="1"/>
        <v>5</v>
      </c>
      <c r="P16" s="134">
        <v>6</v>
      </c>
      <c r="Q16" s="135">
        <f t="shared" si="2"/>
        <v>30</v>
      </c>
      <c r="R16" s="247">
        <v>0</v>
      </c>
      <c r="S16" s="250">
        <f t="shared" si="3"/>
        <v>0</v>
      </c>
      <c r="AB16" s="65"/>
      <c r="AC16" s="59"/>
      <c r="AD16" s="59"/>
      <c r="AE16" s="59"/>
      <c r="AF16" s="60"/>
      <c r="AI16"/>
      <c r="AJ16" s="169" t="s">
        <v>529</v>
      </c>
      <c r="AK16" s="169"/>
      <c r="AL16" s="170" t="str">
        <f ca="1">D5</f>
        <v>119488</v>
      </c>
      <c r="AM16" s="170"/>
      <c r="AN16" s="170"/>
      <c r="AO16"/>
      <c r="AP16" s="169" t="s">
        <v>530</v>
      </c>
      <c r="AQ16" s="169"/>
      <c r="AR16" s="170">
        <f ca="1">H7</f>
        <v>180</v>
      </c>
      <c r="AS16" s="170"/>
      <c r="AT16" s="170"/>
      <c r="AU16"/>
      <c r="AV16"/>
      <c r="BQ16" s="149" t="s">
        <v>397</v>
      </c>
      <c r="BR16" s="42">
        <v>6</v>
      </c>
      <c r="BS16" s="92" t="s">
        <v>32</v>
      </c>
      <c r="BT16" s="150"/>
      <c r="BU16" s="41"/>
      <c r="BV16" s="41"/>
      <c r="BW16" s="41"/>
      <c r="BX16" s="41"/>
      <c r="BY16" s="41"/>
      <c r="BZ16" s="41"/>
      <c r="CA16" s="41"/>
      <c r="CB16" s="41"/>
      <c r="CC16" s="41"/>
      <c r="CD16" s="41"/>
      <c r="CE16" s="41"/>
      <c r="CF16" s="41"/>
      <c r="CG16" s="41"/>
      <c r="CH16" s="41"/>
      <c r="CI16" s="41"/>
      <c r="CJ16" s="41"/>
      <c r="CK16" s="41"/>
      <c r="CL16" s="41"/>
      <c r="CM16" s="41"/>
      <c r="CN16" s="41"/>
    </row>
    <row r="17" spans="2:100" ht="17" customHeight="1">
      <c r="B17" s="37" t="s">
        <v>481</v>
      </c>
      <c r="C17" s="88"/>
      <c r="D17" s="114">
        <f>+D15*(1+D16)</f>
        <v>85.337999999999994</v>
      </c>
      <c r="E17" s="54"/>
      <c r="F17" s="54" t="s">
        <v>473</v>
      </c>
      <c r="G17" s="100" t="s">
        <v>471</v>
      </c>
      <c r="H17" s="126">
        <v>2</v>
      </c>
      <c r="I17"/>
      <c r="J17"/>
      <c r="L17" s="42">
        <v>30</v>
      </c>
      <c r="M17" s="142" t="s">
        <v>503</v>
      </c>
      <c r="N17" s="42">
        <v>30</v>
      </c>
      <c r="O17" s="92">
        <f t="shared" si="1"/>
        <v>6.25</v>
      </c>
      <c r="P17" s="134">
        <v>6</v>
      </c>
      <c r="Q17" s="135">
        <f t="shared" si="2"/>
        <v>37.5</v>
      </c>
      <c r="R17" s="247">
        <v>0</v>
      </c>
      <c r="S17" s="250">
        <f t="shared" si="3"/>
        <v>0</v>
      </c>
      <c r="AI17"/>
      <c r="AJ17"/>
      <c r="AK17"/>
      <c r="AL17"/>
      <c r="AM17"/>
      <c r="AN17"/>
      <c r="AO17"/>
      <c r="AP17"/>
      <c r="AQ17"/>
      <c r="AR17"/>
      <c r="AS17"/>
      <c r="AT17"/>
      <c r="AU17"/>
      <c r="AV17"/>
      <c r="BQ17" s="149" t="s">
        <v>395</v>
      </c>
      <c r="BR17" s="42">
        <v>10</v>
      </c>
      <c r="BS17" s="92" t="s">
        <v>7</v>
      </c>
      <c r="BT17" s="150"/>
      <c r="BU17" s="41"/>
      <c r="BV17" s="41"/>
      <c r="BW17" s="41"/>
      <c r="BX17" s="41"/>
      <c r="BY17" s="41"/>
      <c r="BZ17" s="41"/>
      <c r="CA17" s="41"/>
      <c r="CB17" s="41"/>
      <c r="CC17" s="41"/>
      <c r="CD17" s="41"/>
      <c r="CE17" s="41"/>
      <c r="CF17" s="41"/>
      <c r="CG17" s="41"/>
      <c r="CH17" s="41"/>
      <c r="CI17" s="41"/>
      <c r="CJ17" s="41"/>
      <c r="CK17" s="41"/>
      <c r="CL17" s="41"/>
      <c r="CM17" s="41"/>
      <c r="CN17" s="41"/>
      <c r="CS17" s="47"/>
      <c r="CT17" s="47"/>
    </row>
    <row r="18" spans="2:100" ht="17" customHeight="1">
      <c r="B18" s="53" t="s">
        <v>412</v>
      </c>
      <c r="C18" s="100" t="s">
        <v>472</v>
      </c>
      <c r="D18" s="114">
        <v>23</v>
      </c>
      <c r="E18" s="54"/>
      <c r="F18" s="54"/>
      <c r="G18" s="54"/>
      <c r="H18" s="52"/>
      <c r="I18"/>
      <c r="J18"/>
      <c r="L18" s="42" t="s">
        <v>418</v>
      </c>
      <c r="M18" s="142" t="s">
        <v>503</v>
      </c>
      <c r="N18" s="42"/>
      <c r="O18" s="92">
        <v>9</v>
      </c>
      <c r="P18" s="134">
        <v>6</v>
      </c>
      <c r="Q18" s="135">
        <f t="shared" si="2"/>
        <v>54</v>
      </c>
      <c r="R18" s="247">
        <v>0</v>
      </c>
      <c r="S18" s="250">
        <f t="shared" si="3"/>
        <v>0</v>
      </c>
      <c r="U18" s="89" t="s">
        <v>640</v>
      </c>
      <c r="V18" s="89"/>
      <c r="W18" s="89"/>
      <c r="X18" s="89"/>
      <c r="Y18" s="89"/>
      <c r="Z18" s="89"/>
      <c r="AA18" s="89"/>
      <c r="AB18" s="89"/>
      <c r="AC18" s="89"/>
      <c r="AD18" s="89"/>
      <c r="AE18" s="89"/>
      <c r="AF18" s="89"/>
      <c r="AI18" s="172" t="s">
        <v>531</v>
      </c>
      <c r="AJ18" s="173"/>
      <c r="AK18" s="173"/>
      <c r="AL18" s="173"/>
      <c r="AM18" s="173"/>
      <c r="AN18" s="173"/>
      <c r="AO18" s="173"/>
      <c r="AP18" s="173"/>
      <c r="AQ18" s="173"/>
      <c r="AR18" s="173"/>
      <c r="AS18" s="173"/>
      <c r="AT18" s="173"/>
      <c r="AU18" s="173"/>
      <c r="AV18" s="174"/>
      <c r="BQ18" s="149" t="s">
        <v>394</v>
      </c>
      <c r="BR18" s="42">
        <v>2</v>
      </c>
      <c r="BS18" s="92" t="s">
        <v>32</v>
      </c>
      <c r="BT18" s="150"/>
      <c r="BU18" s="41"/>
      <c r="BV18" s="41"/>
      <c r="BW18" s="41"/>
      <c r="BX18" s="41"/>
      <c r="BY18" s="41"/>
      <c r="BZ18" s="41"/>
      <c r="CA18" s="41"/>
      <c r="CB18" s="41"/>
      <c r="CC18" s="41"/>
      <c r="CD18" s="41"/>
      <c r="CE18" s="41"/>
      <c r="CF18" s="41"/>
      <c r="CG18" s="41"/>
      <c r="CH18" s="41"/>
      <c r="CI18" s="41"/>
      <c r="CJ18" s="41"/>
      <c r="CK18" s="41"/>
      <c r="CL18" s="41"/>
      <c r="CM18" s="41"/>
      <c r="CN18" s="41"/>
      <c r="CS18" s="47"/>
      <c r="CT18" s="47"/>
    </row>
    <row r="19" spans="2:100" ht="17" customHeight="1">
      <c r="B19" s="53" t="s">
        <v>411</v>
      </c>
      <c r="C19" s="100" t="s">
        <v>469</v>
      </c>
      <c r="D19" s="116">
        <v>0.42</v>
      </c>
      <c r="E19" s="54"/>
      <c r="F19" s="54"/>
      <c r="G19" s="54"/>
      <c r="H19" s="52"/>
      <c r="I19"/>
      <c r="J19"/>
      <c r="L19" s="42" t="s">
        <v>416</v>
      </c>
      <c r="M19" s="142" t="s">
        <v>503</v>
      </c>
      <c r="N19" s="42"/>
      <c r="O19" s="92">
        <v>7.5</v>
      </c>
      <c r="P19" s="134">
        <v>6</v>
      </c>
      <c r="Q19" s="135">
        <f t="shared" si="2"/>
        <v>45</v>
      </c>
      <c r="R19" s="247">
        <v>0</v>
      </c>
      <c r="S19" s="250">
        <f t="shared" si="3"/>
        <v>0</v>
      </c>
      <c r="AI19" s="175" t="s">
        <v>532</v>
      </c>
      <c r="AJ19" s="176"/>
      <c r="AK19" s="176"/>
      <c r="AL19" s="176"/>
      <c r="AM19" s="176"/>
      <c r="AN19" s="176"/>
      <c r="AO19" s="176"/>
      <c r="AP19" s="176"/>
      <c r="AQ19" s="176"/>
      <c r="AR19" s="176"/>
      <c r="AS19" s="176"/>
      <c r="AT19" s="176"/>
      <c r="AU19" s="176"/>
      <c r="AV19" s="177"/>
      <c r="BQ19" s="149" t="s">
        <v>381</v>
      </c>
      <c r="BR19" s="42">
        <v>1</v>
      </c>
      <c r="BS19" s="92" t="s">
        <v>7</v>
      </c>
      <c r="BT19" s="150"/>
      <c r="BU19" s="41"/>
      <c r="BV19" s="41"/>
      <c r="BW19" s="41"/>
      <c r="BX19" s="41"/>
      <c r="BY19" s="41"/>
      <c r="BZ19" s="41"/>
      <c r="CA19" s="41"/>
      <c r="CB19" s="41"/>
      <c r="CC19" s="41"/>
      <c r="CD19" s="41"/>
      <c r="CE19" s="41"/>
      <c r="CF19" s="41"/>
      <c r="CG19" s="41"/>
      <c r="CH19" s="41"/>
      <c r="CI19" s="41"/>
      <c r="CJ19" s="41"/>
      <c r="CK19" s="41"/>
      <c r="CL19" s="41"/>
      <c r="CM19" s="41"/>
      <c r="CN19" s="41"/>
    </row>
    <row r="20" spans="2:100" ht="17" customHeight="1">
      <c r="B20" s="55" t="s">
        <v>482</v>
      </c>
      <c r="C20" s="102"/>
      <c r="D20" s="114">
        <f>+D18*(1+D19)</f>
        <v>32.659999999999997</v>
      </c>
      <c r="E20" s="59"/>
      <c r="F20" s="59"/>
      <c r="G20" s="59"/>
      <c r="H20" s="52"/>
      <c r="I20"/>
      <c r="J20"/>
      <c r="K20" s="54"/>
      <c r="L20" s="42">
        <v>36</v>
      </c>
      <c r="M20" s="142" t="s">
        <v>503</v>
      </c>
      <c r="N20" s="42">
        <v>12</v>
      </c>
      <c r="O20" s="92">
        <f t="shared" si="1"/>
        <v>3</v>
      </c>
      <c r="P20" s="134">
        <v>6</v>
      </c>
      <c r="Q20" s="135">
        <f t="shared" si="2"/>
        <v>18</v>
      </c>
      <c r="R20" s="247">
        <v>0</v>
      </c>
      <c r="S20" s="250">
        <f t="shared" si="3"/>
        <v>0</v>
      </c>
      <c r="AI20" s="175"/>
      <c r="AJ20" s="176"/>
      <c r="AK20" s="176"/>
      <c r="AL20" s="176"/>
      <c r="AM20" s="176"/>
      <c r="AN20" s="176"/>
      <c r="AO20" s="176"/>
      <c r="AP20" s="176"/>
      <c r="AQ20" s="176"/>
      <c r="AR20" s="176"/>
      <c r="AS20" s="176"/>
      <c r="AT20" s="176"/>
      <c r="AU20" s="176"/>
      <c r="AV20" s="177"/>
      <c r="BQ20" s="149" t="s">
        <v>376</v>
      </c>
      <c r="BR20" s="42">
        <v>8</v>
      </c>
      <c r="BS20" s="92" t="s">
        <v>32</v>
      </c>
      <c r="BT20" s="150"/>
      <c r="BU20" s="41"/>
      <c r="BV20" s="41"/>
      <c r="BW20" s="41"/>
      <c r="BX20" s="41"/>
      <c r="BY20" s="41"/>
      <c r="BZ20" s="41"/>
      <c r="CA20" s="41"/>
      <c r="CB20" s="41"/>
      <c r="CC20" s="41"/>
      <c r="CD20" s="41"/>
      <c r="CE20" s="41"/>
      <c r="CF20" s="41"/>
      <c r="CG20" s="41"/>
      <c r="CH20" s="41"/>
      <c r="CI20" s="41"/>
      <c r="CJ20" s="41"/>
      <c r="CK20" s="41"/>
      <c r="CL20" s="41"/>
      <c r="CM20" s="41"/>
      <c r="CN20" s="41"/>
      <c r="CU20" s="47"/>
      <c r="CV20" s="47"/>
    </row>
    <row r="21" spans="2:100" ht="17" customHeight="1">
      <c r="B21" s="62"/>
      <c r="C21" s="62"/>
      <c r="D21" s="62"/>
      <c r="E21" s="99"/>
      <c r="F21" s="99"/>
      <c r="G21" s="99"/>
      <c r="H21" s="99"/>
      <c r="I21"/>
      <c r="J21"/>
      <c r="K21" s="54"/>
      <c r="L21" s="42">
        <v>36</v>
      </c>
      <c r="M21" s="142" t="s">
        <v>503</v>
      </c>
      <c r="N21" s="42">
        <v>18</v>
      </c>
      <c r="O21" s="92">
        <f t="shared" si="1"/>
        <v>4.5</v>
      </c>
      <c r="P21" s="134">
        <v>6</v>
      </c>
      <c r="Q21" s="135">
        <f t="shared" si="2"/>
        <v>27</v>
      </c>
      <c r="R21" s="247">
        <v>0</v>
      </c>
      <c r="S21" s="250">
        <f t="shared" si="3"/>
        <v>0</v>
      </c>
      <c r="AI21" s="175"/>
      <c r="AJ21" s="176"/>
      <c r="AK21" s="176"/>
      <c r="AL21" s="176"/>
      <c r="AM21" s="176"/>
      <c r="AN21" s="176"/>
      <c r="AO21" s="176"/>
      <c r="AP21" s="176"/>
      <c r="AQ21" s="176"/>
      <c r="AR21" s="176"/>
      <c r="AS21" s="176"/>
      <c r="AT21" s="176"/>
      <c r="AU21" s="176"/>
      <c r="AV21" s="177"/>
      <c r="BQ21" s="149" t="s">
        <v>374</v>
      </c>
      <c r="BR21" s="42">
        <v>8</v>
      </c>
      <c r="BS21" s="92" t="s">
        <v>7</v>
      </c>
      <c r="BT21" s="150"/>
      <c r="BU21" s="41"/>
      <c r="BV21" s="41"/>
      <c r="BW21" s="41"/>
      <c r="BX21" s="41"/>
      <c r="BY21" s="41"/>
      <c r="BZ21" s="41"/>
      <c r="CA21" s="41"/>
      <c r="CB21" s="41"/>
      <c r="CC21" s="41"/>
      <c r="CD21" s="41"/>
      <c r="CE21" s="41"/>
      <c r="CF21" s="41"/>
      <c r="CG21" s="41"/>
      <c r="CH21" s="41"/>
      <c r="CI21" s="41"/>
      <c r="CJ21" s="41"/>
      <c r="CK21" s="41"/>
      <c r="CL21" s="41"/>
      <c r="CM21" s="41"/>
      <c r="CN21" s="41"/>
    </row>
    <row r="22" spans="2:100" ht="17" customHeight="1">
      <c r="B22" s="28" t="s">
        <v>476</v>
      </c>
      <c r="C22" s="29"/>
      <c r="D22" s="29"/>
      <c r="E22" s="29"/>
      <c r="F22" s="29"/>
      <c r="G22" s="29"/>
      <c r="H22" s="106"/>
      <c r="I22"/>
      <c r="J22"/>
      <c r="L22" s="42">
        <v>36</v>
      </c>
      <c r="M22" s="142" t="s">
        <v>503</v>
      </c>
      <c r="N22" s="42">
        <v>24</v>
      </c>
      <c r="O22" s="92">
        <f t="shared" si="1"/>
        <v>6</v>
      </c>
      <c r="P22" s="134">
        <v>6</v>
      </c>
      <c r="Q22" s="135">
        <f t="shared" si="2"/>
        <v>36</v>
      </c>
      <c r="R22" s="247">
        <v>0</v>
      </c>
      <c r="S22" s="250">
        <f t="shared" si="3"/>
        <v>0</v>
      </c>
      <c r="AI22" s="178"/>
      <c r="AJ22" s="179"/>
      <c r="AK22" s="179"/>
      <c r="AL22" s="179"/>
      <c r="AM22" s="179"/>
      <c r="AN22" s="179"/>
      <c r="AO22" s="179"/>
      <c r="AP22" s="179"/>
      <c r="AQ22" s="179"/>
      <c r="AR22" s="179"/>
      <c r="AS22" s="179"/>
      <c r="AT22" s="179"/>
      <c r="AU22" s="179"/>
      <c r="AV22" s="180"/>
      <c r="BQ22" s="149" t="s">
        <v>372</v>
      </c>
      <c r="BR22" s="42">
        <v>6</v>
      </c>
      <c r="BS22" s="92" t="s">
        <v>32</v>
      </c>
      <c r="BT22" s="150"/>
      <c r="BU22" s="41"/>
      <c r="BV22" s="41"/>
      <c r="BW22" s="41"/>
      <c r="BX22" s="41"/>
      <c r="BY22" s="41"/>
      <c r="BZ22" s="41"/>
      <c r="CA22" s="41"/>
      <c r="CB22" s="41"/>
      <c r="CC22" s="41"/>
      <c r="CD22" s="41"/>
      <c r="CE22" s="41"/>
      <c r="CF22" s="41"/>
      <c r="CG22" s="41"/>
      <c r="CH22" s="41"/>
      <c r="CI22" s="41"/>
      <c r="CJ22" s="41"/>
      <c r="CK22" s="41"/>
      <c r="CL22" s="41"/>
      <c r="CM22" s="41"/>
      <c r="CN22" s="41"/>
    </row>
    <row r="23" spans="2:100" ht="17" customHeight="1">
      <c r="B23" s="48"/>
      <c r="C23" s="49"/>
      <c r="D23" s="49"/>
      <c r="E23" s="49"/>
      <c r="F23" s="49"/>
      <c r="G23" s="84"/>
      <c r="H23" s="85"/>
      <c r="I23"/>
      <c r="J23"/>
      <c r="L23" s="42">
        <v>36</v>
      </c>
      <c r="M23" s="142" t="s">
        <v>503</v>
      </c>
      <c r="N23" s="42">
        <v>30</v>
      </c>
      <c r="O23" s="92">
        <f t="shared" si="1"/>
        <v>7.5</v>
      </c>
      <c r="P23" s="134">
        <v>6</v>
      </c>
      <c r="Q23" s="135">
        <f t="shared" si="2"/>
        <v>45</v>
      </c>
      <c r="R23" s="247">
        <v>0</v>
      </c>
      <c r="S23" s="250">
        <f t="shared" si="3"/>
        <v>0</v>
      </c>
      <c r="AI23" s="181"/>
      <c r="AJ23" s="181"/>
      <c r="AK23" s="181"/>
      <c r="AL23" s="181"/>
      <c r="AM23" s="181"/>
      <c r="AN23" s="181"/>
      <c r="AO23" s="181"/>
      <c r="AP23" s="181"/>
      <c r="AQ23" s="181"/>
      <c r="AR23" s="181"/>
      <c r="AS23" s="181"/>
      <c r="AT23" s="181"/>
      <c r="AU23" s="181"/>
      <c r="AV23" s="181"/>
      <c r="BQ23" s="149" t="s">
        <v>369</v>
      </c>
      <c r="BR23" s="42">
        <v>2</v>
      </c>
      <c r="BS23" s="92" t="s">
        <v>7</v>
      </c>
      <c r="BT23" s="150"/>
      <c r="BU23" s="41"/>
      <c r="BV23" s="41"/>
      <c r="BW23" s="41"/>
      <c r="BX23" s="41"/>
      <c r="BY23" s="41"/>
      <c r="BZ23" s="41"/>
      <c r="CA23" s="41"/>
      <c r="CB23" s="41"/>
      <c r="CC23" s="41"/>
      <c r="CD23" s="41"/>
      <c r="CE23" s="41"/>
      <c r="CF23" s="41"/>
      <c r="CG23" s="41"/>
      <c r="CH23" s="41"/>
      <c r="CI23" s="41"/>
      <c r="CJ23" s="41"/>
      <c r="CK23" s="41"/>
      <c r="CL23" s="41"/>
      <c r="CM23" s="41"/>
      <c r="CN23" s="41"/>
    </row>
    <row r="24" spans="2:100" ht="17" customHeight="1">
      <c r="B24" s="50" t="s">
        <v>468</v>
      </c>
      <c r="C24" s="89"/>
      <c r="D24" s="89"/>
      <c r="E24" s="107"/>
      <c r="F24" s="89" t="s">
        <v>452</v>
      </c>
      <c r="G24" s="89"/>
      <c r="H24" s="51"/>
      <c r="I24"/>
      <c r="J24"/>
      <c r="L24" s="42">
        <v>36</v>
      </c>
      <c r="M24" s="142" t="s">
        <v>503</v>
      </c>
      <c r="N24" s="42">
        <v>36</v>
      </c>
      <c r="O24" s="92">
        <f t="shared" si="1"/>
        <v>9</v>
      </c>
      <c r="P24" s="134">
        <v>6</v>
      </c>
      <c r="Q24" s="135">
        <f t="shared" si="2"/>
        <v>54</v>
      </c>
      <c r="R24" s="247">
        <v>0</v>
      </c>
      <c r="S24" s="250">
        <f t="shared" si="3"/>
        <v>0</v>
      </c>
      <c r="AI24" s="182" t="s">
        <v>533</v>
      </c>
      <c r="AJ24" s="182"/>
      <c r="AK24" s="183" t="str">
        <f>D4</f>
        <v>Nelson</v>
      </c>
      <c r="AL24" s="183"/>
      <c r="AM24" s="183"/>
      <c r="AN24" s="183"/>
      <c r="AO24" s="184"/>
      <c r="AP24" s="185"/>
      <c r="AQ24" s="185"/>
      <c r="AR24" s="185"/>
      <c r="AS24" s="185"/>
      <c r="AT24" s="237" t="s">
        <v>624</v>
      </c>
      <c r="AU24" s="237"/>
      <c r="AV24" s="237"/>
      <c r="BQ24" s="149" t="s">
        <v>366</v>
      </c>
      <c r="BR24" s="42">
        <v>1</v>
      </c>
      <c r="BS24" s="92" t="s">
        <v>32</v>
      </c>
      <c r="BT24" s="150"/>
      <c r="BU24" s="41"/>
      <c r="BV24" s="41"/>
      <c r="BW24" s="41"/>
      <c r="BX24" s="41"/>
      <c r="BY24" s="41"/>
      <c r="BZ24" s="41"/>
      <c r="CA24" s="41"/>
      <c r="CB24" s="41"/>
      <c r="CC24" s="41"/>
      <c r="CD24" s="41"/>
      <c r="CE24" s="41"/>
      <c r="CF24" s="41"/>
      <c r="CG24" s="41"/>
      <c r="CH24" s="41"/>
      <c r="CI24" s="41"/>
      <c r="CJ24" s="41"/>
      <c r="CK24" s="41"/>
      <c r="CL24" s="41"/>
      <c r="CM24" s="41"/>
      <c r="CN24" s="41"/>
    </row>
    <row r="25" spans="2:100" ht="17" customHeight="1">
      <c r="B25" s="53" t="s">
        <v>400</v>
      </c>
      <c r="C25" s="108" t="s">
        <v>389</v>
      </c>
      <c r="D25" s="118">
        <f>+H16</f>
        <v>6</v>
      </c>
      <c r="E25" s="88"/>
      <c r="F25" s="54" t="s">
        <v>393</v>
      </c>
      <c r="G25" s="108" t="s">
        <v>389</v>
      </c>
      <c r="H25" s="126">
        <v>2</v>
      </c>
      <c r="I25"/>
      <c r="J25"/>
      <c r="L25" s="42" t="s">
        <v>428</v>
      </c>
      <c r="M25" s="142" t="s">
        <v>503</v>
      </c>
      <c r="N25" s="42"/>
      <c r="O25" s="92">
        <v>9</v>
      </c>
      <c r="P25" s="134">
        <v>6</v>
      </c>
      <c r="Q25" s="135">
        <f t="shared" si="2"/>
        <v>54</v>
      </c>
      <c r="R25" s="247">
        <v>0</v>
      </c>
      <c r="S25" s="250">
        <f t="shared" si="3"/>
        <v>0</v>
      </c>
      <c r="AI25"/>
      <c r="AJ25"/>
      <c r="AK25"/>
      <c r="AL25"/>
      <c r="AM25"/>
      <c r="AN25"/>
      <c r="AO25"/>
      <c r="AP25"/>
      <c r="AQ25"/>
      <c r="AR25"/>
      <c r="AS25"/>
      <c r="AT25" s="237"/>
      <c r="AU25" s="237"/>
      <c r="AV25" s="237"/>
      <c r="BQ25" s="149" t="s">
        <v>365</v>
      </c>
      <c r="BR25" s="42">
        <v>12</v>
      </c>
      <c r="BS25" s="92" t="s">
        <v>7</v>
      </c>
      <c r="BT25" s="150"/>
      <c r="BU25" s="41"/>
      <c r="BV25" s="41"/>
      <c r="BW25" s="41"/>
      <c r="BX25" s="41"/>
      <c r="BY25" s="41"/>
      <c r="BZ25" s="41"/>
      <c r="CA25" s="41"/>
      <c r="CB25" s="41"/>
      <c r="CC25" s="41"/>
      <c r="CD25" s="41"/>
      <c r="CE25" s="41"/>
      <c r="CF25" s="41"/>
      <c r="CG25" s="41"/>
      <c r="CH25" s="41"/>
      <c r="CI25" s="41"/>
      <c r="CJ25" s="41"/>
      <c r="CK25" s="41"/>
      <c r="CL25" s="41"/>
      <c r="CM25" s="41"/>
      <c r="CN25" s="41"/>
    </row>
    <row r="26" spans="2:100" ht="17" customHeight="1" thickBot="1">
      <c r="B26" s="53" t="s">
        <v>399</v>
      </c>
      <c r="C26" s="108" t="s">
        <v>398</v>
      </c>
      <c r="D26" s="119">
        <f>+H17</f>
        <v>2</v>
      </c>
      <c r="E26" s="88"/>
      <c r="F26" s="54" t="s">
        <v>388</v>
      </c>
      <c r="G26" s="126" t="s">
        <v>353</v>
      </c>
      <c r="H26" s="64">
        <f>IF(G26="rate",D17,D20)</f>
        <v>85.337999999999994</v>
      </c>
      <c r="I26"/>
      <c r="J26"/>
      <c r="L26" s="42" t="s">
        <v>427</v>
      </c>
      <c r="M26" s="142" t="s">
        <v>503</v>
      </c>
      <c r="N26" s="42"/>
      <c r="O26" s="92">
        <v>16</v>
      </c>
      <c r="P26" s="134">
        <v>6</v>
      </c>
      <c r="Q26" s="135">
        <f t="shared" si="2"/>
        <v>96</v>
      </c>
      <c r="R26" s="247">
        <v>0</v>
      </c>
      <c r="S26" s="250">
        <f t="shared" si="3"/>
        <v>0</v>
      </c>
      <c r="AI26" s="169" t="s">
        <v>534</v>
      </c>
      <c r="AJ26" s="169"/>
      <c r="AK26" s="186" t="s">
        <v>535</v>
      </c>
      <c r="AL26" s="186"/>
      <c r="AM26" s="186"/>
      <c r="AN26" s="186"/>
      <c r="AO26" s="187"/>
      <c r="AP26" s="188"/>
      <c r="AQ26" s="188"/>
      <c r="AR26" s="188"/>
      <c r="AS26" s="188"/>
      <c r="AT26" s="237"/>
      <c r="AU26" s="237"/>
      <c r="AV26" s="237"/>
      <c r="BQ26" s="149" t="s">
        <v>362</v>
      </c>
      <c r="BR26" s="42">
        <v>1</v>
      </c>
      <c r="BS26" s="92" t="s">
        <v>32</v>
      </c>
      <c r="BT26" s="150"/>
      <c r="BU26" s="41"/>
      <c r="BV26" s="41"/>
      <c r="BW26" s="41"/>
      <c r="BX26" s="41"/>
      <c r="BY26" s="41"/>
      <c r="BZ26" s="41"/>
      <c r="CA26" s="41"/>
      <c r="CB26" s="41"/>
      <c r="CC26" s="41"/>
      <c r="CD26" s="41"/>
      <c r="CE26" s="41"/>
      <c r="CF26" s="41"/>
      <c r="CG26" s="41"/>
      <c r="CH26" s="41"/>
      <c r="CI26" s="41"/>
      <c r="CJ26" s="41"/>
      <c r="CK26" s="41"/>
      <c r="CL26" s="41"/>
      <c r="CM26" s="41"/>
      <c r="CN26" s="41"/>
    </row>
    <row r="27" spans="2:100" ht="17" customHeight="1">
      <c r="B27" s="93" t="str">
        <f>"Total " &amp; B24&amp;""</f>
        <v>Total Crew Travel Cost</v>
      </c>
      <c r="C27" s="94"/>
      <c r="D27" s="95">
        <f>D25*D26*D18*H15</f>
        <v>552</v>
      </c>
      <c r="E27" s="88"/>
      <c r="F27" s="94" t="str">
        <f>"Total " &amp; F24&amp;""</f>
        <v>Total Job Set Up Cost</v>
      </c>
      <c r="G27" s="94"/>
      <c r="H27" s="109">
        <f>H25*H26*$H$15</f>
        <v>341.35199999999998</v>
      </c>
      <c r="I27"/>
      <c r="J27"/>
      <c r="L27" s="42">
        <v>48</v>
      </c>
      <c r="M27" s="142" t="s">
        <v>503</v>
      </c>
      <c r="N27" s="42">
        <v>18</v>
      </c>
      <c r="O27" s="92">
        <f t="shared" si="1"/>
        <v>6</v>
      </c>
      <c r="P27" s="134">
        <v>6</v>
      </c>
      <c r="Q27" s="135">
        <f t="shared" si="2"/>
        <v>36</v>
      </c>
      <c r="R27" s="247">
        <v>0</v>
      </c>
      <c r="S27" s="250">
        <f t="shared" si="3"/>
        <v>0</v>
      </c>
      <c r="AI27"/>
      <c r="AJ27"/>
      <c r="AK27"/>
      <c r="AL27"/>
      <c r="AM27"/>
      <c r="AN27"/>
      <c r="AO27"/>
      <c r="AP27"/>
      <c r="AQ27"/>
      <c r="AR27"/>
      <c r="AS27"/>
      <c r="AT27" s="237"/>
      <c r="AU27" s="237"/>
      <c r="AV27" s="237"/>
      <c r="BQ27" s="149" t="s">
        <v>359</v>
      </c>
      <c r="BR27" s="42">
        <v>8</v>
      </c>
      <c r="BS27" s="92" t="s">
        <v>7</v>
      </c>
      <c r="BT27" s="150"/>
      <c r="BU27" s="41"/>
      <c r="BV27" s="41"/>
      <c r="BW27" s="41"/>
      <c r="BX27" s="41"/>
      <c r="BY27" s="41"/>
      <c r="BZ27" s="41"/>
      <c r="CA27" s="41"/>
      <c r="CB27" s="41"/>
      <c r="CC27" s="41"/>
      <c r="CD27" s="41"/>
      <c r="CE27" s="41"/>
      <c r="CF27" s="41"/>
      <c r="CG27" s="41"/>
      <c r="CH27" s="41"/>
      <c r="CI27" s="41"/>
      <c r="CJ27" s="41"/>
      <c r="CK27" s="41"/>
      <c r="CL27" s="41"/>
      <c r="CM27" s="41"/>
      <c r="CN27" s="41"/>
    </row>
    <row r="28" spans="2:100" ht="17" customHeight="1">
      <c r="B28" s="53"/>
      <c r="C28" s="54"/>
      <c r="D28" s="54"/>
      <c r="E28" s="88"/>
      <c r="F28" s="54"/>
      <c r="G28" s="54"/>
      <c r="H28" s="52"/>
      <c r="I28"/>
      <c r="J28"/>
      <c r="L28" s="42">
        <v>48</v>
      </c>
      <c r="M28" s="142" t="s">
        <v>503</v>
      </c>
      <c r="N28" s="42">
        <v>24</v>
      </c>
      <c r="O28" s="92">
        <f t="shared" si="1"/>
        <v>8</v>
      </c>
      <c r="P28" s="134">
        <v>6</v>
      </c>
      <c r="Q28" s="135">
        <f t="shared" si="2"/>
        <v>48</v>
      </c>
      <c r="R28" s="247">
        <v>0</v>
      </c>
      <c r="S28" s="250">
        <f t="shared" si="3"/>
        <v>0</v>
      </c>
      <c r="AI28" s="169" t="s">
        <v>536</v>
      </c>
      <c r="AJ28" s="169"/>
      <c r="AK28" s="170" t="s">
        <v>537</v>
      </c>
      <c r="AL28" s="170"/>
      <c r="AM28" s="170"/>
      <c r="AN28" s="170"/>
      <c r="AO28"/>
      <c r="AP28" s="189"/>
      <c r="AQ28" s="189"/>
      <c r="AR28" s="189"/>
      <c r="AS28" s="189"/>
      <c r="AT28" s="237"/>
      <c r="AU28" s="237"/>
      <c r="AV28" s="237"/>
      <c r="BQ28" s="149" t="s">
        <v>357</v>
      </c>
      <c r="BR28" s="42">
        <v>9</v>
      </c>
      <c r="BS28" s="92" t="s">
        <v>32</v>
      </c>
      <c r="BT28" s="150"/>
      <c r="BU28" s="41"/>
      <c r="BV28" s="41"/>
      <c r="BW28" s="41"/>
      <c r="BX28" s="41"/>
      <c r="BY28" s="41"/>
      <c r="BZ28" s="41"/>
      <c r="CA28" s="41"/>
      <c r="CB28" s="41"/>
      <c r="CC28" s="41"/>
      <c r="CD28" s="41"/>
      <c r="CE28" s="41"/>
      <c r="CF28" s="41"/>
      <c r="CG28" s="41"/>
      <c r="CH28" s="41"/>
      <c r="CI28" s="41"/>
      <c r="CJ28" s="41"/>
      <c r="CK28" s="41"/>
      <c r="CL28" s="41"/>
      <c r="CM28" s="41"/>
      <c r="CN28" s="41"/>
    </row>
    <row r="29" spans="2:100" ht="17" customHeight="1">
      <c r="B29" s="50" t="s">
        <v>453</v>
      </c>
      <c r="C29" s="89"/>
      <c r="D29" s="89"/>
      <c r="E29" s="107"/>
      <c r="F29" s="89" t="s">
        <v>454</v>
      </c>
      <c r="G29" s="89"/>
      <c r="H29" s="51"/>
      <c r="I29"/>
      <c r="J29"/>
      <c r="L29" s="42">
        <v>48</v>
      </c>
      <c r="M29" s="142" t="s">
        <v>503</v>
      </c>
      <c r="N29" s="42">
        <v>30</v>
      </c>
      <c r="O29" s="92">
        <f t="shared" si="1"/>
        <v>10</v>
      </c>
      <c r="P29" s="134">
        <v>6</v>
      </c>
      <c r="Q29" s="135">
        <f t="shared" si="2"/>
        <v>60</v>
      </c>
      <c r="R29" s="247">
        <v>4</v>
      </c>
      <c r="S29" s="250">
        <f t="shared" si="3"/>
        <v>240</v>
      </c>
      <c r="AI29"/>
      <c r="AJ29"/>
      <c r="AK29"/>
      <c r="AL29"/>
      <c r="AM29"/>
      <c r="AN29"/>
      <c r="AO29"/>
      <c r="AP29"/>
      <c r="AQ29"/>
      <c r="AR29"/>
      <c r="AS29"/>
      <c r="AT29"/>
      <c r="AU29"/>
      <c r="AV29"/>
      <c r="BQ29" s="149" t="s">
        <v>356</v>
      </c>
      <c r="BR29" s="42">
        <v>12</v>
      </c>
      <c r="BS29" s="92" t="s">
        <v>7</v>
      </c>
      <c r="BT29" s="150"/>
      <c r="BU29" s="41"/>
      <c r="BV29" s="41"/>
      <c r="BW29" s="41"/>
      <c r="BX29" s="41"/>
      <c r="BY29" s="41"/>
      <c r="BZ29" s="41"/>
      <c r="CA29" s="41"/>
      <c r="CB29" s="41"/>
      <c r="CC29" s="41"/>
      <c r="CD29" s="41"/>
      <c r="CE29" s="41"/>
      <c r="CF29" s="41"/>
      <c r="CG29" s="41"/>
      <c r="CH29" s="41"/>
      <c r="CI29" s="41"/>
      <c r="CJ29" s="41"/>
      <c r="CK29" s="41"/>
      <c r="CL29" s="41"/>
      <c r="CM29" s="41"/>
      <c r="CN29" s="41"/>
    </row>
    <row r="30" spans="2:100" ht="17" customHeight="1">
      <c r="B30" s="53" t="s">
        <v>393</v>
      </c>
      <c r="C30" s="108" t="s">
        <v>389</v>
      </c>
      <c r="D30" s="126">
        <v>2</v>
      </c>
      <c r="E30" s="88"/>
      <c r="F30" s="54" t="s">
        <v>392</v>
      </c>
      <c r="G30" s="108" t="s">
        <v>389</v>
      </c>
      <c r="H30" s="126">
        <v>2</v>
      </c>
      <c r="I30"/>
      <c r="J30"/>
      <c r="L30" s="42">
        <v>48</v>
      </c>
      <c r="M30" s="142" t="s">
        <v>503</v>
      </c>
      <c r="N30" s="42">
        <v>36</v>
      </c>
      <c r="O30" s="92">
        <f t="shared" si="1"/>
        <v>12</v>
      </c>
      <c r="P30" s="134">
        <v>6</v>
      </c>
      <c r="Q30" s="135">
        <f t="shared" si="2"/>
        <v>72</v>
      </c>
      <c r="R30" s="247">
        <v>0</v>
      </c>
      <c r="S30" s="250">
        <f t="shared" si="3"/>
        <v>0</v>
      </c>
      <c r="AI30"/>
      <c r="AJ30" s="190" t="s">
        <v>538</v>
      </c>
      <c r="AK30" s="190"/>
      <c r="AL30" s="190"/>
      <c r="AM30" s="190"/>
      <c r="AN30" s="190"/>
      <c r="AO30"/>
      <c r="AP30"/>
      <c r="AQ30"/>
      <c r="AR30"/>
      <c r="AS30"/>
      <c r="AT30"/>
      <c r="AU30"/>
      <c r="AV30"/>
      <c r="BQ30" s="149" t="s">
        <v>355</v>
      </c>
      <c r="BR30" s="42">
        <v>9</v>
      </c>
      <c r="BS30" s="92" t="s">
        <v>7</v>
      </c>
      <c r="BT30" s="150"/>
      <c r="BU30" s="41"/>
      <c r="BV30" s="41"/>
      <c r="BW30" s="41"/>
      <c r="BX30" s="41"/>
      <c r="BY30" s="41"/>
      <c r="BZ30" s="41"/>
      <c r="CA30" s="41"/>
      <c r="CB30" s="41"/>
      <c r="CC30" s="41"/>
      <c r="CD30" s="41"/>
      <c r="CE30" s="41"/>
      <c r="CF30" s="41"/>
      <c r="CG30" s="41"/>
      <c r="CH30" s="41"/>
      <c r="CI30" s="41"/>
      <c r="CJ30" s="41"/>
      <c r="CK30" s="41"/>
      <c r="CL30" s="41"/>
      <c r="CM30" s="41"/>
      <c r="CN30" s="41"/>
    </row>
    <row r="31" spans="2:100" ht="17" customHeight="1" thickBot="1">
      <c r="B31" s="53" t="s">
        <v>388</v>
      </c>
      <c r="C31" s="126" t="s">
        <v>353</v>
      </c>
      <c r="D31" s="91">
        <f>IF(C31="rate",D15,D18)</f>
        <v>47.41</v>
      </c>
      <c r="E31" s="88"/>
      <c r="F31" s="54" t="s">
        <v>388</v>
      </c>
      <c r="G31" s="126" t="s">
        <v>353</v>
      </c>
      <c r="H31" s="91">
        <f>IF(G31="rate",D15,D18)</f>
        <v>47.41</v>
      </c>
      <c r="I31"/>
      <c r="J31"/>
      <c r="L31" s="42">
        <v>48</v>
      </c>
      <c r="M31" s="142" t="s">
        <v>503</v>
      </c>
      <c r="N31" s="42">
        <v>48</v>
      </c>
      <c r="O31" s="92">
        <f t="shared" si="1"/>
        <v>16</v>
      </c>
      <c r="P31" s="134">
        <v>6</v>
      </c>
      <c r="Q31" s="135">
        <f t="shared" si="2"/>
        <v>96</v>
      </c>
      <c r="R31" s="247">
        <v>0</v>
      </c>
      <c r="S31" s="250">
        <f t="shared" si="3"/>
        <v>0</v>
      </c>
      <c r="AI31"/>
      <c r="AJ31"/>
      <c r="AK31"/>
      <c r="AL31"/>
      <c r="AM31"/>
      <c r="AN31"/>
      <c r="AO31"/>
      <c r="AP31"/>
      <c r="AQ31"/>
      <c r="AR31"/>
      <c r="AS31"/>
      <c r="AT31"/>
      <c r="AU31"/>
      <c r="AV31"/>
      <c r="BQ31" s="149" t="s">
        <v>351</v>
      </c>
      <c r="BR31" s="42">
        <v>10</v>
      </c>
      <c r="BS31" s="92" t="s">
        <v>32</v>
      </c>
      <c r="BT31" s="150"/>
      <c r="BU31" s="41"/>
      <c r="BV31" s="41"/>
      <c r="BW31" s="41"/>
      <c r="BX31" s="41"/>
      <c r="BY31" s="41"/>
      <c r="BZ31" s="41"/>
      <c r="CA31" s="41"/>
      <c r="CB31" s="41"/>
      <c r="CC31" s="41"/>
      <c r="CD31" s="41"/>
      <c r="CE31" s="41"/>
      <c r="CF31" s="41"/>
      <c r="CG31" s="41"/>
      <c r="CH31" s="41"/>
      <c r="CI31" s="41"/>
      <c r="CJ31" s="41"/>
      <c r="CK31" s="41"/>
      <c r="CL31" s="41"/>
      <c r="CM31" s="41"/>
      <c r="CN31" s="41"/>
    </row>
    <row r="32" spans="2:100" ht="17" customHeight="1" thickBot="1">
      <c r="B32" s="93" t="str">
        <f>"Total " &amp; B29&amp;""</f>
        <v>Total Job Pick Up Cost</v>
      </c>
      <c r="C32" s="94"/>
      <c r="D32" s="95">
        <f>D30*D31*$H$15</f>
        <v>189.64</v>
      </c>
      <c r="E32" s="88"/>
      <c r="F32" s="94" t="str">
        <f>"Total " &amp; F29&amp;""</f>
        <v>Total Job Service Cost</v>
      </c>
      <c r="G32" s="94"/>
      <c r="H32" s="109">
        <f>H30*H31*$H$15</f>
        <v>189.64</v>
      </c>
      <c r="I32"/>
      <c r="J32"/>
      <c r="L32" s="42">
        <v>54</v>
      </c>
      <c r="M32" s="142" t="s">
        <v>503</v>
      </c>
      <c r="N32" s="42">
        <v>36</v>
      </c>
      <c r="O32" s="92">
        <f t="shared" si="1"/>
        <v>13.5</v>
      </c>
      <c r="P32" s="134">
        <v>6</v>
      </c>
      <c r="Q32" s="135">
        <f t="shared" si="2"/>
        <v>81</v>
      </c>
      <c r="R32" s="247">
        <v>0</v>
      </c>
      <c r="S32" s="250">
        <f t="shared" si="3"/>
        <v>0</v>
      </c>
      <c r="AI32" s="191" t="s">
        <v>539</v>
      </c>
      <c r="AJ32" s="192"/>
      <c r="AK32" s="191" t="s">
        <v>540</v>
      </c>
      <c r="AL32" s="193"/>
      <c r="AM32" s="193"/>
      <c r="AN32" s="193"/>
      <c r="AO32" s="193"/>
      <c r="AP32" s="192"/>
      <c r="AQ32" s="194" t="s">
        <v>541</v>
      </c>
      <c r="AR32" s="194" t="s">
        <v>542</v>
      </c>
      <c r="AS32" s="191" t="s">
        <v>543</v>
      </c>
      <c r="AT32" s="192"/>
      <c r="AU32" s="191" t="s">
        <v>544</v>
      </c>
      <c r="AV32" s="192"/>
      <c r="BQ32" s="149" t="s">
        <v>349</v>
      </c>
      <c r="BR32" s="42">
        <v>10</v>
      </c>
      <c r="BS32" s="92" t="s">
        <v>7</v>
      </c>
      <c r="BT32" s="150"/>
      <c r="BU32" s="41"/>
      <c r="BV32" s="41"/>
      <c r="BW32" s="41"/>
      <c r="BX32" s="41"/>
      <c r="BY32" s="41"/>
      <c r="BZ32" s="41"/>
      <c r="CA32" s="41"/>
      <c r="CB32" s="41"/>
      <c r="CC32" s="41"/>
      <c r="CD32" s="41"/>
      <c r="CE32" s="41"/>
      <c r="CF32" s="41"/>
      <c r="CG32" s="41"/>
      <c r="CH32" s="41"/>
      <c r="CI32" s="41"/>
      <c r="CJ32" s="41"/>
      <c r="CK32" s="41"/>
      <c r="CL32" s="41"/>
      <c r="CM32" s="41"/>
      <c r="CN32" s="41"/>
    </row>
    <row r="33" spans="1:92" ht="17" customHeight="1">
      <c r="B33" s="53"/>
      <c r="C33" s="54"/>
      <c r="D33" s="54"/>
      <c r="E33" s="88"/>
      <c r="F33" s="54"/>
      <c r="G33" s="54"/>
      <c r="H33" s="52"/>
      <c r="I33"/>
      <c r="J33"/>
      <c r="L33" s="42">
        <v>60</v>
      </c>
      <c r="M33" s="142" t="s">
        <v>503</v>
      </c>
      <c r="N33" s="42">
        <v>24</v>
      </c>
      <c r="O33" s="92">
        <f t="shared" si="1"/>
        <v>10</v>
      </c>
      <c r="P33" s="134">
        <v>6</v>
      </c>
      <c r="Q33" s="135">
        <f t="shared" si="2"/>
        <v>60</v>
      </c>
      <c r="R33" s="247">
        <v>0</v>
      </c>
      <c r="S33" s="250">
        <f t="shared" si="3"/>
        <v>0</v>
      </c>
      <c r="U33" s="262" t="s">
        <v>648</v>
      </c>
      <c r="V33" s="263"/>
      <c r="W33" s="263"/>
      <c r="X33" s="263"/>
      <c r="Y33" s="263"/>
      <c r="Z33" s="264"/>
      <c r="AB33" s="89" t="s">
        <v>639</v>
      </c>
      <c r="AC33" s="89"/>
      <c r="AI33" s="195" t="s">
        <v>545</v>
      </c>
      <c r="AJ33" s="196"/>
      <c r="AK33" s="197" t="s">
        <v>546</v>
      </c>
      <c r="AL33" s="198"/>
      <c r="AM33" s="198"/>
      <c r="AN33" s="198"/>
      <c r="AO33" s="198"/>
      <c r="AP33" s="199"/>
      <c r="AQ33" s="200">
        <v>1</v>
      </c>
      <c r="AR33" s="200" t="s">
        <v>547</v>
      </c>
      <c r="AS33" s="201">
        <v>1015</v>
      </c>
      <c r="AT33" s="201"/>
      <c r="AU33" s="202">
        <f>SUM(AS33)*AQ33</f>
        <v>1015</v>
      </c>
      <c r="AV33" s="203"/>
      <c r="BQ33" s="149" t="s">
        <v>347</v>
      </c>
      <c r="BR33" s="42">
        <v>2</v>
      </c>
      <c r="BS33" s="92" t="s">
        <v>32</v>
      </c>
      <c r="BT33" s="150"/>
      <c r="BU33" s="41"/>
      <c r="BV33" s="41"/>
      <c r="BW33" s="41"/>
      <c r="BX33" s="41"/>
      <c r="BY33" s="41"/>
      <c r="BZ33" s="41"/>
      <c r="CA33" s="41"/>
      <c r="CB33" s="41"/>
      <c r="CC33" s="41"/>
      <c r="CD33" s="41"/>
      <c r="CE33" s="41"/>
      <c r="CF33" s="41"/>
      <c r="CG33" s="41"/>
      <c r="CH33" s="41"/>
      <c r="CI33" s="41"/>
      <c r="CJ33" s="41"/>
      <c r="CK33" s="41"/>
      <c r="CL33" s="41"/>
      <c r="CM33" s="41"/>
      <c r="CN33" s="41"/>
    </row>
    <row r="34" spans="1:92" ht="17" customHeight="1">
      <c r="B34" s="50" t="s">
        <v>391</v>
      </c>
      <c r="C34" s="89"/>
      <c r="D34" s="89"/>
      <c r="E34" s="88"/>
      <c r="F34" s="89" t="str">
        <f>"TOTAL " &amp; B22&amp;""</f>
        <v>TOTAL LABOR COST SUMMARY</v>
      </c>
      <c r="G34" s="89"/>
      <c r="H34" s="51"/>
      <c r="I34" s="132"/>
      <c r="J34" s="132"/>
      <c r="L34" s="42">
        <v>60</v>
      </c>
      <c r="M34" s="142" t="s">
        <v>503</v>
      </c>
      <c r="N34" s="42">
        <v>30</v>
      </c>
      <c r="O34" s="92">
        <f t="shared" si="1"/>
        <v>12.5</v>
      </c>
      <c r="P34" s="134">
        <v>6</v>
      </c>
      <c r="Q34" s="135">
        <f t="shared" si="2"/>
        <v>75</v>
      </c>
      <c r="R34" s="247">
        <v>0</v>
      </c>
      <c r="S34" s="250">
        <f t="shared" si="3"/>
        <v>0</v>
      </c>
      <c r="U34" s="53"/>
      <c r="V34" s="54" t="s">
        <v>443</v>
      </c>
      <c r="W34" s="54" t="s">
        <v>442</v>
      </c>
      <c r="X34" s="54" t="s">
        <v>441</v>
      </c>
      <c r="Y34" s="54" t="s">
        <v>449</v>
      </c>
      <c r="Z34" s="52" t="s">
        <v>450</v>
      </c>
      <c r="AC34" s="239" t="s">
        <v>367</v>
      </c>
      <c r="AI34" s="204" t="s">
        <v>548</v>
      </c>
      <c r="AJ34" s="205"/>
      <c r="AK34" s="206" t="s">
        <v>549</v>
      </c>
      <c r="AL34" s="207"/>
      <c r="AM34" s="207"/>
      <c r="AN34" s="207"/>
      <c r="AO34" s="207"/>
      <c r="AP34" s="208"/>
      <c r="AQ34" s="209">
        <v>1</v>
      </c>
      <c r="AR34" s="209" t="s">
        <v>547</v>
      </c>
      <c r="AS34" s="210">
        <v>1885</v>
      </c>
      <c r="AT34" s="211"/>
      <c r="AU34" s="210">
        <f t="shared" ref="AU34:AU38" si="6">SUM(AS34)*AQ34</f>
        <v>1885</v>
      </c>
      <c r="AV34" s="212"/>
      <c r="BQ34" s="149" t="s">
        <v>346</v>
      </c>
      <c r="BR34" s="42">
        <v>4</v>
      </c>
      <c r="BS34" s="92" t="s">
        <v>7</v>
      </c>
      <c r="BT34" s="150"/>
      <c r="BU34" s="41"/>
      <c r="BV34" s="41"/>
      <c r="BW34" s="41"/>
      <c r="BX34" s="41"/>
      <c r="BY34" s="41"/>
      <c r="BZ34" s="41"/>
      <c r="CA34" s="41"/>
      <c r="CB34" s="41"/>
      <c r="CC34" s="41"/>
      <c r="CD34" s="41"/>
      <c r="CE34" s="41"/>
      <c r="CF34" s="41"/>
      <c r="CG34" s="41"/>
      <c r="CH34" s="41"/>
      <c r="CI34" s="41"/>
      <c r="CJ34" s="41"/>
      <c r="CK34" s="41"/>
      <c r="CL34" s="41"/>
      <c r="CM34" s="41"/>
      <c r="CN34" s="41"/>
    </row>
    <row r="35" spans="1:92" ht="17" customHeight="1">
      <c r="B35" s="53" t="s">
        <v>390</v>
      </c>
      <c r="C35" s="108" t="s">
        <v>389</v>
      </c>
      <c r="D35" s="126">
        <v>2</v>
      </c>
      <c r="E35" s="88"/>
      <c r="F35" s="120" t="s">
        <v>455</v>
      </c>
      <c r="G35" s="121">
        <f>+D30+D35+H25+H30</f>
        <v>8</v>
      </c>
      <c r="H35" s="139">
        <f>+H27+D32+H32+D37</f>
        <v>910.27199999999993</v>
      </c>
      <c r="I35" s="132"/>
      <c r="J35" s="132"/>
      <c r="L35" s="42">
        <v>60</v>
      </c>
      <c r="M35" s="142" t="s">
        <v>503</v>
      </c>
      <c r="N35" s="42">
        <v>48</v>
      </c>
      <c r="O35" s="92">
        <f t="shared" si="1"/>
        <v>20</v>
      </c>
      <c r="P35" s="134">
        <v>6</v>
      </c>
      <c r="Q35" s="135">
        <f t="shared" si="2"/>
        <v>120</v>
      </c>
      <c r="R35" s="247">
        <v>0</v>
      </c>
      <c r="S35" s="250">
        <f t="shared" si="3"/>
        <v>0</v>
      </c>
      <c r="U35" s="53" t="s">
        <v>479</v>
      </c>
      <c r="V35" s="254">
        <f>+W35*(1+D16)</f>
        <v>1638.4895999999999</v>
      </c>
      <c r="W35" s="254">
        <f>+H35</f>
        <v>910.27199999999993</v>
      </c>
      <c r="X35" s="254">
        <f>+V35-W35</f>
        <v>728.21759999999995</v>
      </c>
      <c r="Y35" s="255">
        <f>IFERROR(X35/V35,"-")</f>
        <v>0.44444444444444442</v>
      </c>
      <c r="Z35" s="110"/>
      <c r="AB35" s="30" t="s">
        <v>650</v>
      </c>
      <c r="AC35" s="117">
        <f>+C54+C55</f>
        <v>25</v>
      </c>
      <c r="AI35" s="204" t="s">
        <v>550</v>
      </c>
      <c r="AJ35" s="205"/>
      <c r="AK35" s="206" t="s">
        <v>551</v>
      </c>
      <c r="AL35" s="207"/>
      <c r="AM35" s="207"/>
      <c r="AN35" s="207"/>
      <c r="AO35" s="207"/>
      <c r="AP35" s="208"/>
      <c r="AQ35" s="209">
        <v>25</v>
      </c>
      <c r="AR35" s="209" t="s">
        <v>552</v>
      </c>
      <c r="AS35" s="210">
        <v>50.4</v>
      </c>
      <c r="AT35" s="211"/>
      <c r="AU35" s="210">
        <f t="shared" si="6"/>
        <v>1260</v>
      </c>
      <c r="AV35" s="212"/>
      <c r="BQ35" s="149" t="s">
        <v>345</v>
      </c>
      <c r="BR35" s="42">
        <v>11</v>
      </c>
      <c r="BS35" s="92" t="s">
        <v>7</v>
      </c>
      <c r="BT35" s="150"/>
      <c r="BU35" s="41"/>
      <c r="BV35" s="41"/>
      <c r="BW35" s="41"/>
      <c r="BX35" s="41"/>
      <c r="BY35" s="41"/>
      <c r="BZ35" s="41"/>
      <c r="CA35" s="41"/>
      <c r="CB35" s="41"/>
      <c r="CC35" s="41"/>
      <c r="CD35" s="41"/>
      <c r="CE35" s="41"/>
      <c r="CF35" s="41"/>
      <c r="CG35" s="41"/>
      <c r="CH35" s="41"/>
      <c r="CI35" s="41"/>
      <c r="CJ35" s="41"/>
      <c r="CK35" s="41"/>
      <c r="CL35" s="41"/>
      <c r="CM35" s="41"/>
      <c r="CN35" s="41"/>
    </row>
    <row r="36" spans="1:92" ht="17" customHeight="1" thickBot="1">
      <c r="B36" s="53" t="s">
        <v>388</v>
      </c>
      <c r="C36" s="126" t="s">
        <v>353</v>
      </c>
      <c r="D36" s="91">
        <f>IF(C36="rate",D15,D18)</f>
        <v>47.41</v>
      </c>
      <c r="E36" s="88"/>
      <c r="F36" s="120" t="s">
        <v>456</v>
      </c>
      <c r="G36" s="123">
        <f>+D25</f>
        <v>6</v>
      </c>
      <c r="H36" s="139">
        <f>+D27</f>
        <v>552</v>
      </c>
      <c r="I36" s="132"/>
      <c r="J36" s="132"/>
      <c r="L36" s="42">
        <v>60</v>
      </c>
      <c r="M36" s="142" t="s">
        <v>503</v>
      </c>
      <c r="N36" s="42">
        <v>60</v>
      </c>
      <c r="O36" s="92">
        <f t="shared" si="1"/>
        <v>25</v>
      </c>
      <c r="P36" s="134">
        <v>6</v>
      </c>
      <c r="Q36" s="135">
        <f t="shared" si="2"/>
        <v>150</v>
      </c>
      <c r="R36" s="247">
        <v>0</v>
      </c>
      <c r="S36" s="250">
        <f t="shared" si="3"/>
        <v>0</v>
      </c>
      <c r="U36" s="53" t="s">
        <v>625</v>
      </c>
      <c r="V36" s="254">
        <f>+W36*(1+D19)</f>
        <v>783.83999999999992</v>
      </c>
      <c r="W36" s="254">
        <f>+H36</f>
        <v>552</v>
      </c>
      <c r="X36" s="254">
        <f>+V36-W36</f>
        <v>231.83999999999992</v>
      </c>
      <c r="Y36" s="255">
        <f>IFERROR(X36/V36,"-")</f>
        <v>0.29577464788732388</v>
      </c>
      <c r="Z36" s="110"/>
      <c r="AB36" s="30" t="s">
        <v>336</v>
      </c>
      <c r="AC36" s="117">
        <f>+C56+C57</f>
        <v>5</v>
      </c>
      <c r="AI36" s="204" t="s">
        <v>553</v>
      </c>
      <c r="AJ36" s="205"/>
      <c r="AK36" s="206" t="s">
        <v>554</v>
      </c>
      <c r="AL36" s="207"/>
      <c r="AM36" s="207"/>
      <c r="AN36" s="207"/>
      <c r="AO36" s="207"/>
      <c r="AP36" s="208"/>
      <c r="AQ36" s="209">
        <v>6</v>
      </c>
      <c r="AR36" s="209" t="s">
        <v>552</v>
      </c>
      <c r="AS36" s="210">
        <v>26</v>
      </c>
      <c r="AT36" s="211"/>
      <c r="AU36" s="210">
        <f t="shared" si="6"/>
        <v>156</v>
      </c>
      <c r="AV36" s="212"/>
      <c r="BQ36" s="149" t="s">
        <v>344</v>
      </c>
      <c r="BR36" s="42">
        <v>8</v>
      </c>
      <c r="BS36" s="92" t="s">
        <v>32</v>
      </c>
      <c r="BT36" s="150"/>
      <c r="BU36" s="41"/>
      <c r="BV36" s="41"/>
      <c r="BW36" s="41"/>
      <c r="BX36" s="41"/>
      <c r="BY36" s="41"/>
      <c r="BZ36" s="41"/>
      <c r="CA36" s="41"/>
      <c r="CB36" s="41"/>
      <c r="CC36" s="41"/>
      <c r="CD36" s="41"/>
      <c r="CE36" s="41"/>
      <c r="CF36" s="41"/>
      <c r="CG36" s="41"/>
      <c r="CH36" s="41"/>
      <c r="CI36" s="41"/>
      <c r="CJ36" s="41"/>
      <c r="CK36" s="41"/>
      <c r="CL36" s="41"/>
      <c r="CM36" s="41"/>
      <c r="CN36" s="41"/>
    </row>
    <row r="37" spans="1:92" ht="17" customHeight="1" thickBot="1">
      <c r="B37" s="93" t="str">
        <f>"Total " &amp; B34&amp;""</f>
        <v>Total Other Job Cost</v>
      </c>
      <c r="C37" s="94"/>
      <c r="D37" s="95">
        <f>D35*D36*$H$15</f>
        <v>189.64</v>
      </c>
      <c r="E37" s="102"/>
      <c r="F37" s="111" t="str">
        <f>" " &amp; F34&amp;""</f>
        <v xml:space="preserve"> TOTAL LABOR COST SUMMARY</v>
      </c>
      <c r="G37" s="112">
        <f>SUM(G35:G36)</f>
        <v>14</v>
      </c>
      <c r="H37" s="138">
        <f>SUM(H35:H36)</f>
        <v>1462.2719999999999</v>
      </c>
      <c r="I37" s="132"/>
      <c r="J37" s="132"/>
      <c r="L37" s="42">
        <v>72</v>
      </c>
      <c r="M37" s="142" t="s">
        <v>503</v>
      </c>
      <c r="N37" s="42">
        <v>36</v>
      </c>
      <c r="O37" s="92">
        <f t="shared" si="1"/>
        <v>18</v>
      </c>
      <c r="P37" s="134">
        <v>6</v>
      </c>
      <c r="Q37" s="135">
        <f t="shared" si="2"/>
        <v>108</v>
      </c>
      <c r="R37" s="247">
        <v>0</v>
      </c>
      <c r="S37" s="250">
        <f t="shared" si="3"/>
        <v>0</v>
      </c>
      <c r="U37" s="53" t="s">
        <v>626</v>
      </c>
      <c r="V37" s="254">
        <f>+(H48*D95)+H44</f>
        <v>150</v>
      </c>
      <c r="W37" s="254">
        <f>+H48</f>
        <v>128.79</v>
      </c>
      <c r="X37" s="254">
        <f>+V37-W37</f>
        <v>21.210000000000008</v>
      </c>
      <c r="Y37" s="255">
        <f>IFERROR(X37/V37,"-")</f>
        <v>0.14140000000000005</v>
      </c>
      <c r="Z37" s="110"/>
      <c r="AB37" s="30" t="str">
        <f>+B58</f>
        <v>H Stands</v>
      </c>
      <c r="AC37" s="117">
        <f>+C58</f>
        <v>3</v>
      </c>
      <c r="AI37" s="204" t="s">
        <v>555</v>
      </c>
      <c r="AJ37" s="205"/>
      <c r="AK37" s="206" t="s">
        <v>556</v>
      </c>
      <c r="AL37" s="207"/>
      <c r="AM37" s="207"/>
      <c r="AN37" s="207"/>
      <c r="AO37" s="207"/>
      <c r="AP37" s="208"/>
      <c r="AQ37" s="209">
        <v>11</v>
      </c>
      <c r="AR37" s="209" t="s">
        <v>557</v>
      </c>
      <c r="AS37" s="210">
        <v>239</v>
      </c>
      <c r="AT37" s="211"/>
      <c r="AU37" s="210">
        <f t="shared" si="6"/>
        <v>2629</v>
      </c>
      <c r="AV37" s="212"/>
      <c r="BQ37" s="149" t="s">
        <v>343</v>
      </c>
      <c r="BR37" s="42">
        <v>5</v>
      </c>
      <c r="BS37" s="92" t="s">
        <v>7</v>
      </c>
      <c r="BT37" s="150"/>
      <c r="BU37" s="41"/>
      <c r="BV37" s="41"/>
      <c r="BW37" s="41"/>
      <c r="BX37" s="41"/>
      <c r="BY37" s="41"/>
      <c r="BZ37" s="41"/>
      <c r="CA37" s="41"/>
      <c r="CB37" s="41"/>
      <c r="CC37" s="41"/>
      <c r="CD37" s="41"/>
      <c r="CE37" s="41"/>
      <c r="CF37" s="41"/>
      <c r="CG37" s="41"/>
      <c r="CH37" s="41"/>
      <c r="CI37" s="41"/>
      <c r="CJ37" s="41"/>
      <c r="CK37" s="41"/>
      <c r="CL37" s="41"/>
      <c r="CM37" s="41"/>
      <c r="CN37" s="41"/>
    </row>
    <row r="38" spans="1:92" ht="17" customHeight="1" thickBot="1">
      <c r="I38"/>
      <c r="J38"/>
      <c r="L38" s="42">
        <v>72</v>
      </c>
      <c r="M38" s="142" t="s">
        <v>503</v>
      </c>
      <c r="N38" s="42">
        <v>48</v>
      </c>
      <c r="O38" s="92">
        <f t="shared" si="1"/>
        <v>24</v>
      </c>
      <c r="P38" s="134">
        <v>6</v>
      </c>
      <c r="Q38" s="135">
        <f t="shared" si="2"/>
        <v>144</v>
      </c>
      <c r="R38" s="247">
        <v>0</v>
      </c>
      <c r="S38" s="250">
        <f t="shared" si="3"/>
        <v>0</v>
      </c>
      <c r="U38" s="53" t="str">
        <f>+B54</f>
        <v>4' Type III | 10' ft Post</v>
      </c>
      <c r="V38" s="254">
        <f>+(1-Z38)*E54</f>
        <v>254.53750000000022</v>
      </c>
      <c r="W38" s="254">
        <f ca="1">+C54*D54/F54*$H$7</f>
        <v>358.64383561643837</v>
      </c>
      <c r="X38" s="254">
        <f t="shared" ref="X38:X46" ca="1" si="7">+V38-W38</f>
        <v>-104.10633561643814</v>
      </c>
      <c r="Y38" s="255">
        <f ca="1">IFERROR(X38/V38,"-")</f>
        <v>-0.40900195694716124</v>
      </c>
      <c r="Z38" s="253">
        <v>0.95</v>
      </c>
      <c r="AB38" s="30" t="str">
        <f>+B59</f>
        <v>Sandbags</v>
      </c>
      <c r="AC38" s="117">
        <f>+C59</f>
        <v>330</v>
      </c>
      <c r="AI38" s="213" t="s">
        <v>558</v>
      </c>
      <c r="AJ38" s="214"/>
      <c r="AK38" s="215" t="s">
        <v>559</v>
      </c>
      <c r="AL38" s="216"/>
      <c r="AM38" s="216"/>
      <c r="AN38" s="216"/>
      <c r="AO38" s="216"/>
      <c r="AP38" s="217"/>
      <c r="AQ38" s="218">
        <v>2</v>
      </c>
      <c r="AR38" s="218" t="s">
        <v>557</v>
      </c>
      <c r="AS38" s="219">
        <v>85</v>
      </c>
      <c r="AT38" s="220"/>
      <c r="AU38" s="219">
        <f t="shared" si="6"/>
        <v>170</v>
      </c>
      <c r="AV38" s="221"/>
      <c r="BQ38" s="149" t="s">
        <v>342</v>
      </c>
      <c r="BR38" s="42">
        <v>4</v>
      </c>
      <c r="BS38" s="92" t="s">
        <v>32</v>
      </c>
      <c r="BT38" s="150"/>
      <c r="BU38" s="41"/>
      <c r="BV38" s="41"/>
      <c r="BW38" s="41"/>
      <c r="BX38" s="41"/>
      <c r="BY38" s="41"/>
      <c r="BZ38" s="41"/>
      <c r="CA38" s="41"/>
      <c r="CB38" s="41"/>
      <c r="CC38" s="41"/>
      <c r="CD38" s="41"/>
      <c r="CE38" s="41"/>
      <c r="CF38" s="41"/>
      <c r="CG38" s="41"/>
      <c r="CH38" s="41"/>
      <c r="CI38" s="41"/>
      <c r="CJ38" s="41"/>
      <c r="CK38" s="41"/>
      <c r="CL38" s="41"/>
      <c r="CM38" s="41"/>
      <c r="CN38" s="41"/>
    </row>
    <row r="39" spans="1:92" ht="17" customHeight="1">
      <c r="A39"/>
      <c r="B39" s="28" t="s">
        <v>483</v>
      </c>
      <c r="C39" s="29"/>
      <c r="D39" s="29"/>
      <c r="E39" s="29"/>
      <c r="F39" s="29"/>
      <c r="G39" s="86"/>
      <c r="H39" s="86"/>
      <c r="I39"/>
      <c r="J39"/>
      <c r="K39"/>
      <c r="L39" s="42">
        <v>72</v>
      </c>
      <c r="M39" s="142" t="s">
        <v>503</v>
      </c>
      <c r="N39" s="42">
        <v>60</v>
      </c>
      <c r="O39" s="92">
        <f t="shared" si="1"/>
        <v>30</v>
      </c>
      <c r="P39" s="134">
        <v>6</v>
      </c>
      <c r="Q39" s="135">
        <f t="shared" si="2"/>
        <v>180</v>
      </c>
      <c r="R39" s="247">
        <v>0</v>
      </c>
      <c r="S39" s="250">
        <f t="shared" si="3"/>
        <v>0</v>
      </c>
      <c r="U39" s="53" t="str">
        <f>+B55</f>
        <v>4' Type III | 12' ft Post</v>
      </c>
      <c r="V39" s="254">
        <f>+(1-Z39)*E55</f>
        <v>0</v>
      </c>
      <c r="W39" s="254">
        <f ca="1">+C55*D55/F55*$H$7</f>
        <v>0</v>
      </c>
      <c r="X39" s="254">
        <f t="shared" ca="1" si="7"/>
        <v>0</v>
      </c>
      <c r="Y39" s="255" t="str">
        <f ca="1">IFERROR(X39/V39,"-")</f>
        <v>-</v>
      </c>
      <c r="Z39" s="253">
        <f>+$Z$38</f>
        <v>0.95</v>
      </c>
      <c r="AB39" s="30" t="str">
        <f>+B60</f>
        <v>Covers</v>
      </c>
      <c r="AC39" s="117">
        <f>+C60</f>
        <v>72</v>
      </c>
      <c r="AI39" s="158" t="s">
        <v>560</v>
      </c>
      <c r="AJ39" s="158"/>
      <c r="AK39" s="158"/>
      <c r="AL39" s="158"/>
      <c r="AM39" s="158"/>
      <c r="AN39" s="158"/>
      <c r="AO39" s="158"/>
      <c r="AP39" s="158"/>
      <c r="AQ39" s="158"/>
      <c r="AR39" s="158"/>
      <c r="AS39" s="158"/>
      <c r="AT39" s="158"/>
      <c r="AU39" s="158"/>
      <c r="AV39" s="158"/>
      <c r="BQ39" s="149" t="s">
        <v>341</v>
      </c>
      <c r="BR39" s="42">
        <v>3</v>
      </c>
      <c r="BS39" s="92" t="s">
        <v>7</v>
      </c>
      <c r="BT39" s="150"/>
      <c r="BU39" s="41"/>
      <c r="BV39" s="41"/>
      <c r="BW39" s="41"/>
      <c r="BX39" s="41"/>
      <c r="BY39" s="41"/>
      <c r="BZ39" s="41"/>
      <c r="CA39" s="41"/>
      <c r="CB39" s="41"/>
      <c r="CC39" s="41"/>
      <c r="CD39" s="41"/>
      <c r="CE39" s="41"/>
      <c r="CF39" s="41"/>
      <c r="CG39" s="41"/>
      <c r="CH39" s="41"/>
      <c r="CI39" s="41"/>
      <c r="CJ39" s="41"/>
      <c r="CK39" s="41"/>
      <c r="CL39" s="41"/>
      <c r="CM39" s="41"/>
      <c r="CN39" s="41"/>
    </row>
    <row r="40" spans="1:92" ht="17" customHeight="1">
      <c r="A40"/>
      <c r="B40" s="103"/>
      <c r="C40" s="98" t="s">
        <v>410</v>
      </c>
      <c r="D40" s="62"/>
      <c r="E40" s="99"/>
      <c r="F40" s="99"/>
      <c r="G40" s="98" t="s">
        <v>410</v>
      </c>
      <c r="H40" s="63"/>
      <c r="I40"/>
      <c r="J40"/>
      <c r="K40"/>
      <c r="L40" s="42">
        <v>96</v>
      </c>
      <c r="M40" s="142" t="s">
        <v>503</v>
      </c>
      <c r="N40" s="42">
        <v>48</v>
      </c>
      <c r="O40" s="92">
        <f t="shared" si="1"/>
        <v>32</v>
      </c>
      <c r="P40" s="134">
        <v>6</v>
      </c>
      <c r="Q40" s="135">
        <f t="shared" si="2"/>
        <v>192</v>
      </c>
      <c r="R40" s="247">
        <v>0</v>
      </c>
      <c r="S40" s="250">
        <f t="shared" si="3"/>
        <v>0</v>
      </c>
      <c r="U40" s="53" t="str">
        <f>+B56</f>
        <v>6' Type III | 10' ft Post</v>
      </c>
      <c r="V40" s="254">
        <f>+(1-Z40)*E56</f>
        <v>54.440000000000047</v>
      </c>
      <c r="W40" s="254">
        <f ca="1">+C56*D56/F56*$H$7</f>
        <v>76.706066536203522</v>
      </c>
      <c r="X40" s="254">
        <f t="shared" ca="1" si="7"/>
        <v>-22.266066536203475</v>
      </c>
      <c r="Y40" s="255">
        <f ca="1">IFERROR(X40/V40,"-")</f>
        <v>-0.40900195694716118</v>
      </c>
      <c r="Z40" s="253">
        <f>+$Z$38</f>
        <v>0.95</v>
      </c>
      <c r="AB40" s="30" t="str">
        <f>+B61</f>
        <v>Spring Loaded Metal Stands</v>
      </c>
      <c r="AC40" s="117">
        <f>+C61</f>
        <v>0</v>
      </c>
      <c r="AI40"/>
      <c r="AJ40"/>
      <c r="AK40"/>
      <c r="AL40"/>
      <c r="AM40"/>
      <c r="AN40"/>
      <c r="AO40"/>
      <c r="AP40"/>
      <c r="AQ40"/>
      <c r="AR40"/>
      <c r="AS40"/>
      <c r="AT40"/>
      <c r="AU40"/>
      <c r="AV40"/>
      <c r="BQ40" s="149" t="s">
        <v>338</v>
      </c>
      <c r="BR40" s="42">
        <v>2</v>
      </c>
      <c r="BS40" s="92" t="s">
        <v>7</v>
      </c>
      <c r="BT40" s="150"/>
      <c r="BU40" s="41"/>
      <c r="BV40" s="41"/>
      <c r="BW40" s="41"/>
      <c r="BX40" s="41"/>
      <c r="BY40" s="41"/>
      <c r="BZ40" s="41"/>
      <c r="CA40" s="41"/>
      <c r="CB40" s="41"/>
      <c r="CC40" s="41"/>
      <c r="CD40" s="41"/>
      <c r="CE40" s="41"/>
      <c r="CF40" s="41"/>
      <c r="CG40" s="41"/>
      <c r="CH40" s="41"/>
      <c r="CI40" s="41"/>
      <c r="CJ40" s="41"/>
      <c r="CK40" s="41"/>
      <c r="CL40" s="41"/>
      <c r="CM40" s="41"/>
      <c r="CN40" s="41"/>
    </row>
    <row r="41" spans="1:92" ht="17" customHeight="1">
      <c r="A41"/>
      <c r="B41" s="89" t="s">
        <v>501</v>
      </c>
      <c r="C41" s="89"/>
      <c r="D41" s="51"/>
      <c r="E41" s="129"/>
      <c r="F41" s="89" t="s">
        <v>502</v>
      </c>
      <c r="G41" s="89"/>
      <c r="H41" s="51"/>
      <c r="I41"/>
      <c r="J41"/>
      <c r="K41"/>
      <c r="L41" s="42">
        <v>45</v>
      </c>
      <c r="M41" s="142"/>
      <c r="N41" s="42">
        <v>36</v>
      </c>
      <c r="O41" s="92">
        <f t="shared" si="1"/>
        <v>11.25</v>
      </c>
      <c r="P41" s="134">
        <v>6</v>
      </c>
      <c r="Q41" s="135">
        <f t="shared" si="2"/>
        <v>67.5</v>
      </c>
      <c r="R41" s="247">
        <v>60</v>
      </c>
      <c r="S41" s="250">
        <f t="shared" si="3"/>
        <v>4050</v>
      </c>
      <c r="U41" s="53" t="str">
        <f>+B57</f>
        <v>6' Type III | 12' ft Post</v>
      </c>
      <c r="V41" s="254">
        <f>+(1-Z41)*E57</f>
        <v>0</v>
      </c>
      <c r="W41" s="254">
        <f ca="1">+C57*D57/F57*$H$7</f>
        <v>0</v>
      </c>
      <c r="X41" s="254">
        <f t="shared" ca="1" si="7"/>
        <v>0</v>
      </c>
      <c r="Y41" s="255" t="str">
        <f ca="1">IFERROR(X41/V41,"-")</f>
        <v>-</v>
      </c>
      <c r="Z41" s="253">
        <f>+$Z$38</f>
        <v>0.95</v>
      </c>
      <c r="AB41" s="30" t="str">
        <f>+B62</f>
        <v>Posts</v>
      </c>
      <c r="AC41" s="117">
        <f>+C62</f>
        <v>0</v>
      </c>
      <c r="AI41" s="222"/>
      <c r="AJ41" s="222"/>
      <c r="AK41" s="222"/>
      <c r="AL41" s="222"/>
      <c r="AM41" s="222"/>
      <c r="AN41" s="222"/>
      <c r="AO41" s="222"/>
      <c r="AP41" s="222"/>
      <c r="AQ41" s="222"/>
      <c r="AR41" s="222"/>
      <c r="AS41" s="222"/>
      <c r="AT41" s="222"/>
      <c r="AU41" s="222"/>
      <c r="AV41" s="222"/>
      <c r="BQ41" s="149" t="s">
        <v>337</v>
      </c>
      <c r="BR41" s="42">
        <v>1</v>
      </c>
      <c r="BS41" s="92" t="s">
        <v>7</v>
      </c>
      <c r="BT41" s="150"/>
      <c r="BU41" s="41"/>
      <c r="BV41" s="41"/>
      <c r="BW41" s="41"/>
      <c r="BX41" s="41"/>
      <c r="BY41" s="41"/>
      <c r="BZ41" s="41"/>
      <c r="CA41" s="41"/>
      <c r="CB41" s="41"/>
      <c r="CC41" s="41"/>
      <c r="CD41" s="41"/>
      <c r="CE41" s="41"/>
      <c r="CF41" s="41"/>
      <c r="CG41" s="41"/>
      <c r="CH41" s="41"/>
      <c r="CI41" s="41"/>
      <c r="CJ41" s="41"/>
      <c r="CK41" s="41"/>
      <c r="CL41" s="41"/>
      <c r="CM41" s="41"/>
      <c r="CN41" s="41"/>
    </row>
    <row r="42" spans="1:92" ht="17" customHeight="1" thickBot="1">
      <c r="A42"/>
      <c r="B42" s="37" t="s">
        <v>385</v>
      </c>
      <c r="C42" s="100" t="s">
        <v>398</v>
      </c>
      <c r="D42" s="118">
        <f>H14</f>
        <v>1</v>
      </c>
      <c r="E42" s="88"/>
      <c r="F42" s="54" t="s">
        <v>364</v>
      </c>
      <c r="G42" s="54"/>
      <c r="H42" s="244" t="s">
        <v>437</v>
      </c>
      <c r="I42" s="132"/>
      <c r="J42" s="132"/>
      <c r="K42"/>
      <c r="L42" s="42"/>
      <c r="M42" s="142"/>
      <c r="N42" s="42"/>
      <c r="O42" s="92"/>
      <c r="P42" s="134"/>
      <c r="Q42" s="135"/>
      <c r="R42" s="247"/>
      <c r="S42" s="136"/>
      <c r="U42" s="53" t="str">
        <f>+B58</f>
        <v>H Stands</v>
      </c>
      <c r="V42" s="254">
        <f>+(1-Z42)*E58</f>
        <v>9.2010000000000094</v>
      </c>
      <c r="W42" s="254">
        <f ca="1">+C58*D58/F58*$H$7</f>
        <v>12.964227005870841</v>
      </c>
      <c r="X42" s="254">
        <f t="shared" ca="1" si="7"/>
        <v>-3.7632270058708315</v>
      </c>
      <c r="Y42" s="255">
        <f ca="1">IFERROR(X42/V42,"-")</f>
        <v>-0.40900195694716091</v>
      </c>
      <c r="Z42" s="253">
        <f>+$Z$38</f>
        <v>0.95</v>
      </c>
      <c r="AB42" s="30" t="str">
        <f>+B71</f>
        <v>A/C-Lites</v>
      </c>
      <c r="AC42" s="117">
        <f>+D71</f>
        <v>50</v>
      </c>
      <c r="AI42" s="222"/>
      <c r="AJ42" s="222"/>
      <c r="AK42" s="222"/>
      <c r="AL42" s="222"/>
      <c r="AM42" s="222"/>
      <c r="AN42" s="222"/>
      <c r="AO42" s="222"/>
      <c r="AP42" s="222"/>
      <c r="AQ42" s="222"/>
      <c r="AR42" s="222"/>
      <c r="AS42" s="222"/>
      <c r="AT42" s="222"/>
      <c r="AU42" s="222"/>
      <c r="AV42" s="222"/>
      <c r="BQ42" s="149" t="s">
        <v>335</v>
      </c>
      <c r="BR42" s="42">
        <v>2</v>
      </c>
      <c r="BS42" s="92" t="s">
        <v>32</v>
      </c>
      <c r="BT42" s="150"/>
      <c r="BU42" s="41"/>
      <c r="BV42" s="41"/>
      <c r="BW42" s="41"/>
      <c r="BX42" s="41"/>
      <c r="BY42" s="41"/>
      <c r="BZ42" s="41"/>
      <c r="CA42" s="41"/>
      <c r="CB42" s="41"/>
      <c r="CC42" s="41"/>
      <c r="CD42" s="41"/>
      <c r="CE42" s="41"/>
      <c r="CF42" s="41"/>
      <c r="CG42" s="41"/>
      <c r="CH42" s="41"/>
      <c r="CI42" s="41"/>
      <c r="CJ42" s="41"/>
      <c r="CK42" s="41"/>
      <c r="CL42" s="41"/>
      <c r="CM42" s="41"/>
      <c r="CN42" s="41"/>
    </row>
    <row r="43" spans="1:92" ht="17" customHeight="1" thickBot="1">
      <c r="A43"/>
      <c r="B43" s="37" t="s">
        <v>380</v>
      </c>
      <c r="C43" s="100" t="s">
        <v>477</v>
      </c>
      <c r="D43" s="126">
        <v>150</v>
      </c>
      <c r="E43" s="54"/>
      <c r="F43" s="54" t="s">
        <v>361</v>
      </c>
      <c r="G43" s="108" t="s">
        <v>360</v>
      </c>
      <c r="H43" s="245">
        <v>75</v>
      </c>
      <c r="I43" s="132"/>
      <c r="J43" s="132"/>
      <c r="K43"/>
      <c r="L43" s="111" t="s">
        <v>367</v>
      </c>
      <c r="M43" s="112"/>
      <c r="N43" s="130"/>
      <c r="O43" s="131">
        <f>SUMPRODUCT(O5:O42,R5:R42)</f>
        <v>1127.5</v>
      </c>
      <c r="P43" s="112"/>
      <c r="Q43" s="130"/>
      <c r="R43" s="143">
        <f>SUM(R5:R42)</f>
        <v>184</v>
      </c>
      <c r="S43" s="241">
        <f>SUM(S5:S42)</f>
        <v>6765</v>
      </c>
      <c r="U43" s="53" t="str">
        <f>+B59</f>
        <v>Sandbags</v>
      </c>
      <c r="V43" s="254">
        <f>+(1-Z43)*E59</f>
        <v>569.25</v>
      </c>
      <c r="W43" s="254">
        <f ca="1">+C59*D59/F59*$H$7</f>
        <v>280.72602739726028</v>
      </c>
      <c r="X43" s="254">
        <f t="shared" ca="1" si="7"/>
        <v>288.52397260273972</v>
      </c>
      <c r="Y43" s="255">
        <f ca="1">IFERROR(X43/V43,"-")</f>
        <v>0.50684931506849318</v>
      </c>
      <c r="Z43" s="253">
        <v>0.5</v>
      </c>
      <c r="AA43" s="132"/>
      <c r="AB43" s="30" t="str">
        <f>+B72</f>
        <v>B-Lites</v>
      </c>
      <c r="AC43" s="117">
        <f>+D72</f>
        <v>50</v>
      </c>
      <c r="AI43" s="222"/>
      <c r="AJ43" s="222"/>
      <c r="AK43" s="222"/>
      <c r="AL43" s="222"/>
      <c r="AM43" s="222"/>
      <c r="AN43" s="222"/>
      <c r="AO43" s="222"/>
      <c r="AP43" s="222"/>
      <c r="AQ43" s="222"/>
      <c r="AR43" s="222"/>
      <c r="AS43" s="222"/>
      <c r="AT43" s="222"/>
      <c r="AU43" s="222"/>
      <c r="AV43" s="222"/>
      <c r="BQ43" s="149" t="s">
        <v>333</v>
      </c>
      <c r="BR43" s="42">
        <v>5</v>
      </c>
      <c r="BS43" s="92" t="s">
        <v>7</v>
      </c>
      <c r="BT43" s="150"/>
      <c r="BU43" s="41"/>
      <c r="BV43" s="41"/>
      <c r="BW43" s="41"/>
      <c r="BX43" s="41"/>
      <c r="BY43" s="41"/>
      <c r="BZ43" s="41"/>
      <c r="CA43" s="41"/>
      <c r="CB43" s="41"/>
      <c r="CC43" s="41"/>
      <c r="CD43" s="41"/>
      <c r="CE43" s="41"/>
      <c r="CF43" s="41"/>
      <c r="CG43" s="41"/>
      <c r="CH43" s="41"/>
      <c r="CI43" s="41"/>
      <c r="CJ43" s="41"/>
      <c r="CK43" s="41"/>
      <c r="CL43" s="41"/>
      <c r="CM43" s="41"/>
      <c r="CN43" s="41"/>
    </row>
    <row r="44" spans="1:92" ht="17" customHeight="1">
      <c r="A44"/>
      <c r="B44" s="37" t="s">
        <v>375</v>
      </c>
      <c r="C44" s="100" t="s">
        <v>398</v>
      </c>
      <c r="D44" s="118">
        <f>+H17</f>
        <v>2</v>
      </c>
      <c r="E44" s="88"/>
      <c r="F44" s="93" t="s">
        <v>358</v>
      </c>
      <c r="G44" s="94"/>
      <c r="H44" s="109">
        <f>IF(H42="Yes",H43*D44,0)</f>
        <v>150</v>
      </c>
      <c r="I44"/>
      <c r="J44"/>
      <c r="K44"/>
      <c r="U44" s="53" t="str">
        <f>+B60</f>
        <v>Covers</v>
      </c>
      <c r="V44" s="254">
        <f>+(1-Z44)*E60</f>
        <v>172.80000000000015</v>
      </c>
      <c r="W44" s="254">
        <f ca="1">+C60*D60/F60*$H$7</f>
        <v>568.10958904109589</v>
      </c>
      <c r="X44" s="254">
        <f t="shared" ca="1" si="7"/>
        <v>-395.30958904109571</v>
      </c>
      <c r="Y44" s="255">
        <f ca="1">IFERROR(X44/V44,"-")</f>
        <v>-2.287671232876709</v>
      </c>
      <c r="Z44" s="253">
        <f>+$Z$38</f>
        <v>0.95</v>
      </c>
      <c r="AA44" s="132"/>
      <c r="AB44" s="30" t="s">
        <v>652</v>
      </c>
      <c r="AC44" s="117">
        <f>+D73</f>
        <v>50</v>
      </c>
      <c r="AI44" s="222"/>
      <c r="AJ44" s="222"/>
      <c r="AK44" s="222"/>
      <c r="AL44" s="222"/>
      <c r="AM44" s="222"/>
      <c r="AN44" s="222"/>
      <c r="AO44" s="222"/>
      <c r="AP44" s="222"/>
      <c r="AQ44" s="222"/>
      <c r="AR44" s="222"/>
      <c r="AS44" s="222"/>
      <c r="AT44" s="222"/>
      <c r="AU44" s="222"/>
      <c r="AV44" s="222"/>
      <c r="BQ44" s="149" t="s">
        <v>331</v>
      </c>
      <c r="BR44" s="42">
        <v>6</v>
      </c>
      <c r="BS44" s="92" t="s">
        <v>32</v>
      </c>
      <c r="BT44" s="150"/>
      <c r="BU44" s="41"/>
      <c r="BV44" s="41"/>
      <c r="BW44" s="41"/>
      <c r="BX44" s="41"/>
      <c r="BY44" s="41"/>
      <c r="BZ44" s="41"/>
      <c r="CA44" s="41"/>
      <c r="CB44" s="41"/>
      <c r="CC44" s="41"/>
      <c r="CD44" s="41"/>
      <c r="CE44" s="41"/>
      <c r="CF44" s="41"/>
      <c r="CG44" s="41"/>
      <c r="CH44" s="41"/>
      <c r="CI44" s="41"/>
      <c r="CJ44" s="41"/>
      <c r="CK44" s="41"/>
      <c r="CL44" s="41"/>
      <c r="CM44" s="41"/>
      <c r="CN44" s="41"/>
    </row>
    <row r="45" spans="1:92" ht="17" customHeight="1">
      <c r="A45"/>
      <c r="B45" s="93" t="s">
        <v>484</v>
      </c>
      <c r="C45" s="94"/>
      <c r="D45" s="127">
        <f>+D42*D43*D44</f>
        <v>300</v>
      </c>
      <c r="E45" s="88"/>
      <c r="F45" s="88"/>
      <c r="G45" s="88"/>
      <c r="H45" s="57"/>
      <c r="I45"/>
      <c r="J45"/>
      <c r="K45"/>
      <c r="L45" s="29" t="s">
        <v>396</v>
      </c>
      <c r="M45" s="29"/>
      <c r="N45" s="29"/>
      <c r="O45" s="29"/>
      <c r="P45" s="29"/>
      <c r="Q45" s="29"/>
      <c r="R45" s="29"/>
      <c r="S45" s="29"/>
      <c r="U45" s="53" t="str">
        <f>+B61</f>
        <v>Spring Loaded Metal Stands</v>
      </c>
      <c r="V45" s="254">
        <f>+(1-Z45)*E61</f>
        <v>0</v>
      </c>
      <c r="W45" s="254">
        <f ca="1">+C61*D61/F61*$H$7</f>
        <v>0</v>
      </c>
      <c r="X45" s="254">
        <f t="shared" ca="1" si="7"/>
        <v>0</v>
      </c>
      <c r="Y45" s="255" t="str">
        <f ca="1">IFERROR(X45/V45,"-")</f>
        <v>-</v>
      </c>
      <c r="Z45" s="253">
        <f>+$Z$38</f>
        <v>0.95</v>
      </c>
      <c r="AA45" s="132"/>
      <c r="AB45" s="30" t="str">
        <f>+U70</f>
        <v>TMA</v>
      </c>
      <c r="AC45" s="117">
        <f>+W70</f>
        <v>0</v>
      </c>
      <c r="AI45" s="222"/>
      <c r="AJ45" s="222"/>
      <c r="AK45" s="222"/>
      <c r="AL45" s="222"/>
      <c r="AM45" s="222"/>
      <c r="AN45" s="222"/>
      <c r="AO45" s="222"/>
      <c r="AP45" s="222"/>
      <c r="AQ45" s="222"/>
      <c r="AR45" s="222"/>
      <c r="AS45" s="222"/>
      <c r="AT45" s="222"/>
      <c r="AU45" s="222"/>
      <c r="AV45" s="222"/>
      <c r="BQ45" s="149" t="s">
        <v>329</v>
      </c>
      <c r="BR45" s="42">
        <v>5</v>
      </c>
      <c r="BS45" s="92" t="s">
        <v>7</v>
      </c>
      <c r="BT45" s="150"/>
      <c r="BU45" s="41"/>
      <c r="BV45" s="41"/>
      <c r="BW45" s="41"/>
      <c r="BX45" s="41"/>
      <c r="BY45" s="41"/>
      <c r="BZ45" s="41"/>
      <c r="CA45" s="41"/>
      <c r="CB45" s="41"/>
      <c r="CC45" s="41"/>
      <c r="CD45" s="41"/>
      <c r="CE45" s="41"/>
      <c r="CF45" s="41"/>
      <c r="CG45" s="41"/>
      <c r="CH45" s="41"/>
      <c r="CI45" s="41"/>
      <c r="CJ45" s="41"/>
      <c r="CK45" s="41"/>
      <c r="CL45" s="41"/>
      <c r="CM45" s="41"/>
      <c r="CN45" s="41"/>
    </row>
    <row r="46" spans="1:92" ht="17" customHeight="1" thickBot="1">
      <c r="A46"/>
      <c r="B46" s="88"/>
      <c r="C46" s="88"/>
      <c r="D46" s="88"/>
      <c r="E46" s="88"/>
      <c r="F46" s="88"/>
      <c r="G46" s="88"/>
      <c r="H46" s="57"/>
      <c r="I46"/>
      <c r="J46"/>
      <c r="K46"/>
      <c r="L46" s="34" t="s">
        <v>384</v>
      </c>
      <c r="M46" s="34"/>
      <c r="N46" s="34"/>
      <c r="O46" s="34" t="s">
        <v>379</v>
      </c>
      <c r="P46" s="34" t="s">
        <v>378</v>
      </c>
      <c r="Q46" s="34" t="s">
        <v>383</v>
      </c>
      <c r="R46" s="35" t="s">
        <v>382</v>
      </c>
      <c r="S46" s="36" t="s">
        <v>367</v>
      </c>
      <c r="U46" s="53" t="str">
        <f>+B62</f>
        <v>Posts</v>
      </c>
      <c r="V46" s="254">
        <f>+(1-Z46)*E62</f>
        <v>0</v>
      </c>
      <c r="W46" s="254">
        <f ca="1">+C62*D62/F62*$H$7</f>
        <v>0</v>
      </c>
      <c r="X46" s="254">
        <f t="shared" ca="1" si="7"/>
        <v>0</v>
      </c>
      <c r="Y46" s="255" t="str">
        <f ca="1">IFERROR(X46/V46,"-")</f>
        <v>-</v>
      </c>
      <c r="Z46" s="253">
        <f>+$Z$38</f>
        <v>0.95</v>
      </c>
      <c r="AB46" s="30" t="str">
        <f>+U71</f>
        <v>Message Board</v>
      </c>
      <c r="AC46" s="117">
        <f>+W71</f>
        <v>0</v>
      </c>
      <c r="AI46" s="222"/>
      <c r="AJ46" s="222"/>
      <c r="AK46" s="222"/>
      <c r="AL46" s="222"/>
      <c r="AM46" s="222"/>
      <c r="AN46" s="222"/>
      <c r="AO46" s="222"/>
      <c r="AP46" s="222"/>
      <c r="AQ46" s="222"/>
      <c r="AR46" s="222"/>
      <c r="AS46" s="222"/>
      <c r="AT46" s="222"/>
      <c r="AU46" s="222"/>
      <c r="AV46" s="222"/>
      <c r="BQ46" s="149" t="s">
        <v>326</v>
      </c>
      <c r="BR46" s="42">
        <v>5</v>
      </c>
      <c r="BS46" s="92" t="s">
        <v>32</v>
      </c>
      <c r="BT46" s="150"/>
      <c r="BU46" s="41"/>
      <c r="BV46" s="41"/>
      <c r="BW46" s="41"/>
      <c r="BX46" s="41"/>
      <c r="BY46" s="41"/>
      <c r="BZ46" s="41"/>
      <c r="CA46" s="41"/>
      <c r="CB46" s="41"/>
      <c r="CC46" s="41"/>
      <c r="CD46" s="41"/>
      <c r="CE46" s="41"/>
      <c r="CF46" s="41"/>
      <c r="CG46" s="41"/>
      <c r="CH46" s="41"/>
      <c r="CI46" s="41"/>
      <c r="CJ46" s="41"/>
      <c r="CK46" s="41"/>
      <c r="CL46" s="41"/>
      <c r="CM46" s="41"/>
      <c r="CN46" s="41"/>
    </row>
    <row r="47" spans="1:92" ht="17" customHeight="1">
      <c r="A47"/>
      <c r="B47" s="89" t="s">
        <v>500</v>
      </c>
      <c r="C47" s="89"/>
      <c r="D47" s="51"/>
      <c r="E47" s="129"/>
      <c r="F47" s="89" t="str">
        <f>"Total " &amp; B39&amp;""</f>
        <v>Total TRUCK AND FUEL COSTS SUMMARY</v>
      </c>
      <c r="G47" s="89"/>
      <c r="H47" s="51"/>
      <c r="I47"/>
      <c r="J47"/>
      <c r="K47"/>
      <c r="L47" s="34"/>
      <c r="M47" s="34"/>
      <c r="N47" s="34"/>
      <c r="O47" s="34"/>
      <c r="P47" s="34" t="s">
        <v>379</v>
      </c>
      <c r="Q47" s="34" t="s">
        <v>378</v>
      </c>
      <c r="R47" s="35" t="s">
        <v>377</v>
      </c>
      <c r="S47" s="40"/>
      <c r="U47" s="276" t="s">
        <v>628</v>
      </c>
      <c r="V47" s="277">
        <f>SUM(V35:V46)</f>
        <v>3632.5581000000006</v>
      </c>
      <c r="W47" s="278">
        <f ca="1">SUM(W35:W46)</f>
        <v>2888.2117455968692</v>
      </c>
      <c r="X47" s="277">
        <f ca="1">SUM(X35:X46)</f>
        <v>744.3463544031315</v>
      </c>
      <c r="Y47" s="279">
        <f ca="1">IFERROR(X47/V47,"-")</f>
        <v>0.20490969006197901</v>
      </c>
      <c r="Z47" s="280">
        <f>1-SUM(V38:V46)/$E$66</f>
        <v>0.90324678524594204</v>
      </c>
      <c r="AB47" s="30" t="str">
        <f>+U72</f>
        <v>Arrow Panel</v>
      </c>
      <c r="AC47" s="117">
        <f>+W72</f>
        <v>0</v>
      </c>
      <c r="AI47" s="222"/>
      <c r="AJ47" s="222"/>
      <c r="AK47" s="222"/>
      <c r="AL47" s="222"/>
      <c r="AM47" s="222"/>
      <c r="AN47" s="222"/>
      <c r="AO47" s="222"/>
      <c r="AP47" s="222"/>
      <c r="AQ47" s="222"/>
      <c r="AR47" s="222"/>
      <c r="AS47" s="222"/>
      <c r="AT47" s="222"/>
      <c r="AU47" s="222"/>
      <c r="AV47" s="222"/>
      <c r="BQ47" s="149" t="s">
        <v>325</v>
      </c>
      <c r="BR47" s="42">
        <v>3</v>
      </c>
      <c r="BS47" s="92" t="s">
        <v>7</v>
      </c>
      <c r="BT47" s="150"/>
      <c r="BU47" s="41"/>
      <c r="BV47" s="41"/>
      <c r="BW47" s="41"/>
      <c r="BX47" s="41"/>
      <c r="BY47" s="41"/>
      <c r="BZ47" s="41"/>
      <c r="CA47" s="41"/>
      <c r="CB47" s="41"/>
      <c r="CC47" s="41"/>
      <c r="CD47" s="41"/>
      <c r="CE47" s="41"/>
      <c r="CF47" s="41"/>
      <c r="CG47" s="41"/>
      <c r="CH47" s="41"/>
      <c r="CI47" s="41"/>
      <c r="CJ47" s="41"/>
      <c r="CK47" s="41"/>
      <c r="CL47" s="41"/>
      <c r="CM47" s="41"/>
      <c r="CN47" s="41"/>
    </row>
    <row r="48" spans="1:92" ht="17" customHeight="1">
      <c r="A48"/>
      <c r="B48" s="37" t="s">
        <v>478</v>
      </c>
      <c r="C48" s="108" t="s">
        <v>373</v>
      </c>
      <c r="D48" s="118">
        <v>10</v>
      </c>
      <c r="E48" s="88"/>
      <c r="F48" s="120" t="str">
        <f>+B50</f>
        <v>Total Fuel Cost</v>
      </c>
      <c r="G48" s="121"/>
      <c r="H48" s="122">
        <f>+D50</f>
        <v>128.79</v>
      </c>
      <c r="I48"/>
      <c r="J48"/>
      <c r="K48"/>
      <c r="L48" s="137">
        <v>12</v>
      </c>
      <c r="M48" s="142" t="s">
        <v>503</v>
      </c>
      <c r="N48" s="137">
        <v>6</v>
      </c>
      <c r="O48" s="92">
        <f>(L48*N48)/144</f>
        <v>0.5</v>
      </c>
      <c r="P48" s="134">
        <v>6.81</v>
      </c>
      <c r="Q48" s="135">
        <f>+P48*O48</f>
        <v>3.4049999999999998</v>
      </c>
      <c r="R48" s="247">
        <v>0</v>
      </c>
      <c r="S48" s="275">
        <f>+Q48*R48</f>
        <v>0</v>
      </c>
      <c r="T48" s="54"/>
      <c r="U48" s="61"/>
      <c r="V48" s="99"/>
      <c r="W48" s="99"/>
      <c r="X48" s="99"/>
      <c r="Y48" s="99"/>
      <c r="Z48" s="286"/>
      <c r="AB48" s="30" t="str">
        <f>+U73</f>
        <v>Speed Display</v>
      </c>
      <c r="AC48" s="117">
        <f>+W73</f>
        <v>0</v>
      </c>
      <c r="AI48" s="222"/>
      <c r="AJ48" s="222"/>
      <c r="AK48" s="222"/>
      <c r="AL48" s="222"/>
      <c r="AM48" s="222"/>
      <c r="AN48" s="222"/>
      <c r="AO48" s="222"/>
      <c r="AP48" s="222"/>
      <c r="AQ48" s="222"/>
      <c r="AR48" s="222"/>
      <c r="AS48" s="222"/>
      <c r="AT48" s="222"/>
      <c r="AU48" s="222"/>
      <c r="AV48" s="222"/>
      <c r="BQ48" s="149" t="s">
        <v>324</v>
      </c>
      <c r="BR48" s="42">
        <v>8</v>
      </c>
      <c r="BS48" s="92" t="s">
        <v>32</v>
      </c>
      <c r="BT48" s="150"/>
      <c r="BU48" s="41"/>
      <c r="BV48" s="41"/>
      <c r="BW48" s="41"/>
      <c r="BX48" s="41"/>
      <c r="BY48" s="41"/>
      <c r="BZ48" s="41"/>
      <c r="CA48" s="41"/>
      <c r="CB48" s="41"/>
      <c r="CC48" s="41"/>
      <c r="CD48" s="41"/>
      <c r="CE48" s="41"/>
      <c r="CF48" s="41"/>
      <c r="CG48" s="41"/>
      <c r="CH48" s="41"/>
      <c r="CI48" s="41"/>
      <c r="CJ48" s="41"/>
      <c r="CK48" s="41"/>
      <c r="CL48" s="41"/>
      <c r="CM48" s="41"/>
      <c r="CN48" s="41"/>
    </row>
    <row r="49" spans="1:92" ht="17" customHeight="1" thickBot="1">
      <c r="A49"/>
      <c r="B49" s="53" t="s">
        <v>371</v>
      </c>
      <c r="C49" s="108" t="s">
        <v>370</v>
      </c>
      <c r="D49" s="125">
        <v>4.2930000000000001</v>
      </c>
      <c r="E49" s="54"/>
      <c r="F49" s="120" t="str">
        <f>+F44</f>
        <v>Total Dispatch Fee</v>
      </c>
      <c r="G49" s="123"/>
      <c r="H49" s="122">
        <f>+H44</f>
        <v>150</v>
      </c>
      <c r="I49"/>
      <c r="J49"/>
      <c r="K49"/>
      <c r="L49" s="137">
        <v>12</v>
      </c>
      <c r="M49" s="142" t="s">
        <v>503</v>
      </c>
      <c r="N49" s="137">
        <v>12</v>
      </c>
      <c r="O49" s="92">
        <f>(L49*N49)/144</f>
        <v>1</v>
      </c>
      <c r="P49" s="134">
        <v>6.81</v>
      </c>
      <c r="Q49" s="135">
        <f>+P49*O49</f>
        <v>6.81</v>
      </c>
      <c r="R49" s="247">
        <v>0</v>
      </c>
      <c r="S49" s="250">
        <f>+Q49*R49</f>
        <v>0</v>
      </c>
      <c r="U49" s="53" t="str">
        <f>+B71</f>
        <v>A/C-Lites</v>
      </c>
      <c r="V49" s="259">
        <f>+I71</f>
        <v>1656.986301369863</v>
      </c>
      <c r="W49" s="259">
        <f ca="1">+C74*D74/J74*$H$7</f>
        <v>394.52054794520546</v>
      </c>
      <c r="X49" s="259">
        <f t="shared" ref="X49:X55" ca="1" si="8">+V49-W49</f>
        <v>1262.4657534246576</v>
      </c>
      <c r="Y49" s="255">
        <f ca="1">IFERROR(X49/V49,"-")</f>
        <v>0.76190476190476197</v>
      </c>
      <c r="Z49" s="258"/>
      <c r="AI49" s="223" t="s">
        <v>561</v>
      </c>
      <c r="AJ49" s="223"/>
      <c r="AK49" s="223"/>
      <c r="AL49" s="223"/>
      <c r="AM49" s="223"/>
      <c r="AN49" s="223"/>
      <c r="AO49" s="223"/>
      <c r="AP49" s="223"/>
      <c r="AQ49" s="223"/>
      <c r="AR49" s="223"/>
      <c r="AS49" s="223"/>
      <c r="AT49" s="223"/>
      <c r="AU49" s="223"/>
      <c r="AV49" s="223"/>
      <c r="BQ49" s="149" t="s">
        <v>322</v>
      </c>
      <c r="BR49" s="42">
        <v>6</v>
      </c>
      <c r="BS49" s="92" t="s">
        <v>7</v>
      </c>
      <c r="BT49" s="150"/>
      <c r="BU49" s="41"/>
      <c r="BV49" s="41"/>
      <c r="BW49" s="41"/>
      <c r="BX49" s="41"/>
      <c r="BY49" s="41"/>
      <c r="BZ49" s="41"/>
      <c r="CA49" s="41"/>
      <c r="CB49" s="41"/>
      <c r="CC49" s="41"/>
      <c r="CD49" s="41"/>
      <c r="CE49" s="41"/>
      <c r="CF49" s="41"/>
      <c r="CG49" s="41"/>
      <c r="CH49" s="41"/>
      <c r="CI49" s="41"/>
      <c r="CJ49" s="41"/>
      <c r="CK49" s="41"/>
      <c r="CL49" s="41"/>
      <c r="CM49" s="41"/>
      <c r="CN49" s="41"/>
    </row>
    <row r="50" spans="1:92" ht="17" customHeight="1" thickBot="1">
      <c r="A50"/>
      <c r="B50" s="93" t="s">
        <v>368</v>
      </c>
      <c r="C50" s="94"/>
      <c r="D50" s="95">
        <f>D45/D48*D49</f>
        <v>128.79</v>
      </c>
      <c r="E50" s="59"/>
      <c r="F50" s="111" t="str">
        <f>"" &amp; F47&amp;""</f>
        <v>Total TRUCK AND FUEL COSTS SUMMARY</v>
      </c>
      <c r="G50" s="112"/>
      <c r="H50" s="113">
        <f>SUM(H48:H49)</f>
        <v>278.78999999999996</v>
      </c>
      <c r="I50"/>
      <c r="J50"/>
      <c r="K50"/>
      <c r="L50" s="42">
        <v>18</v>
      </c>
      <c r="M50" s="142" t="s">
        <v>503</v>
      </c>
      <c r="N50" s="137">
        <v>12</v>
      </c>
      <c r="O50" s="92">
        <f>(L50*N50)/144</f>
        <v>1.5</v>
      </c>
      <c r="P50" s="134">
        <v>6.81</v>
      </c>
      <c r="Q50" s="135">
        <f>+P50*O50</f>
        <v>10.215</v>
      </c>
      <c r="R50" s="247">
        <v>0</v>
      </c>
      <c r="S50" s="250">
        <f>+Q50*R50</f>
        <v>0</v>
      </c>
      <c r="U50" s="53" t="str">
        <f>+B72</f>
        <v>B-Lites</v>
      </c>
      <c r="V50" s="259">
        <f>+$I$72</f>
        <v>1518.9041095890411</v>
      </c>
      <c r="W50" s="259">
        <f ca="1">+$C$72*$D$72/$J$72*$H$7</f>
        <v>904.10958904109589</v>
      </c>
      <c r="X50" s="259">
        <f t="shared" ca="1" si="8"/>
        <v>614.79452054794524</v>
      </c>
      <c r="Y50" s="255">
        <f t="shared" ref="Y50:Y55" ca="1" si="9">IFERROR(X50/V50,"-")</f>
        <v>0.40476190476190477</v>
      </c>
      <c r="Z50" s="260"/>
      <c r="AA50"/>
      <c r="AI50" s="223"/>
      <c r="AJ50" s="223"/>
      <c r="AK50" s="223"/>
      <c r="AL50" s="223"/>
      <c r="AM50" s="223"/>
      <c r="AN50" s="223"/>
      <c r="AO50" s="223"/>
      <c r="AP50" s="223"/>
      <c r="AQ50" s="223"/>
      <c r="AR50" s="223"/>
      <c r="AS50" s="223"/>
      <c r="AT50" s="223"/>
      <c r="AU50" s="223"/>
      <c r="AV50" s="223"/>
      <c r="BQ50" s="149" t="s">
        <v>321</v>
      </c>
      <c r="BR50" s="42">
        <v>4</v>
      </c>
      <c r="BS50" s="92" t="s">
        <v>32</v>
      </c>
      <c r="BT50" s="150"/>
      <c r="BU50" s="41"/>
      <c r="BV50" s="41"/>
      <c r="BW50" s="41"/>
      <c r="BX50" s="41"/>
      <c r="BY50" s="41"/>
      <c r="BZ50" s="41"/>
      <c r="CA50" s="41"/>
      <c r="CB50" s="41"/>
      <c r="CC50" s="41"/>
      <c r="CD50" s="41"/>
      <c r="CE50" s="41"/>
      <c r="CF50" s="41"/>
      <c r="CG50" s="41"/>
      <c r="CH50" s="41"/>
      <c r="CI50" s="41"/>
      <c r="CJ50" s="41"/>
      <c r="CK50" s="41"/>
      <c r="CL50" s="41"/>
      <c r="CM50" s="41"/>
      <c r="CN50" s="41"/>
    </row>
    <row r="51" spans="1:92" ht="17" customHeight="1">
      <c r="F51" s="90"/>
      <c r="G51" s="90"/>
      <c r="H51" s="90"/>
      <c r="I51" s="90"/>
      <c r="J51" s="90"/>
      <c r="L51" s="42">
        <v>18</v>
      </c>
      <c r="M51" s="142" t="s">
        <v>503</v>
      </c>
      <c r="N51" s="42">
        <v>18</v>
      </c>
      <c r="O51" s="92">
        <f>(L51*N51)/144</f>
        <v>2.25</v>
      </c>
      <c r="P51" s="134">
        <v>6.81</v>
      </c>
      <c r="Q51" s="135">
        <f>+P51*O51</f>
        <v>15.3225</v>
      </c>
      <c r="R51" s="247">
        <v>0</v>
      </c>
      <c r="S51" s="250">
        <f>+Q51*R51</f>
        <v>0</v>
      </c>
      <c r="U51" s="53" t="str">
        <f>+B73</f>
        <v>Vertical Panels (Type 11)</v>
      </c>
      <c r="V51" s="259">
        <f>+I73</f>
        <v>1353.2054794520548</v>
      </c>
      <c r="W51" s="259">
        <f ca="1">+C73*D73/J73*$H$7</f>
        <v>345.20547945205476</v>
      </c>
      <c r="X51" s="259">
        <f t="shared" ca="1" si="8"/>
        <v>1008</v>
      </c>
      <c r="Y51" s="255">
        <f t="shared" ca="1" si="9"/>
        <v>0.74489795918367352</v>
      </c>
      <c r="Z51" s="260"/>
      <c r="AA51"/>
      <c r="AI51" s="224"/>
      <c r="AJ51" s="224"/>
      <c r="AK51" s="224"/>
      <c r="AL51" s="224"/>
      <c r="AM51" s="224"/>
      <c r="AN51" s="224"/>
      <c r="AO51" s="224"/>
      <c r="AP51" s="224"/>
      <c r="AQ51" s="224"/>
      <c r="AR51" s="224"/>
      <c r="AS51" s="224"/>
      <c r="AT51" s="224"/>
      <c r="AU51" s="224"/>
      <c r="AV51" s="224"/>
      <c r="BQ51" s="149" t="s">
        <v>320</v>
      </c>
      <c r="BR51" s="42">
        <v>2</v>
      </c>
      <c r="BS51" s="92" t="s">
        <v>7</v>
      </c>
      <c r="BT51" s="150"/>
      <c r="BU51" s="41"/>
      <c r="BV51" s="41"/>
      <c r="BW51" s="41"/>
      <c r="BX51" s="41"/>
      <c r="BY51" s="41"/>
      <c r="BZ51" s="41"/>
      <c r="CA51" s="41"/>
      <c r="CB51" s="41"/>
      <c r="CC51" s="41"/>
      <c r="CD51" s="41"/>
      <c r="CE51" s="41"/>
      <c r="CF51" s="41"/>
      <c r="CG51" s="41"/>
      <c r="CH51" s="41"/>
      <c r="CI51" s="41"/>
      <c r="CJ51" s="41"/>
      <c r="CK51" s="41"/>
      <c r="CL51" s="41"/>
      <c r="CM51" s="41"/>
      <c r="CN51" s="41"/>
    </row>
    <row r="52" spans="1:92" ht="17" customHeight="1">
      <c r="B52" s="28" t="s">
        <v>499</v>
      </c>
      <c r="C52" s="29"/>
      <c r="D52" s="29"/>
      <c r="E52" s="29"/>
      <c r="F52" s="29"/>
      <c r="G52" s="106"/>
      <c r="I52"/>
      <c r="J52"/>
      <c r="L52" s="42">
        <v>21</v>
      </c>
      <c r="M52" s="142" t="s">
        <v>503</v>
      </c>
      <c r="N52" s="137">
        <v>15</v>
      </c>
      <c r="O52" s="92">
        <f>(L52*N52)/144</f>
        <v>2.1875</v>
      </c>
      <c r="P52" s="134">
        <v>6.81</v>
      </c>
      <c r="Q52" s="135">
        <f>+P52*O52</f>
        <v>14.896875</v>
      </c>
      <c r="R52" s="247">
        <v>0</v>
      </c>
      <c r="S52" s="250">
        <f>+Q52*R52</f>
        <v>0</v>
      </c>
      <c r="U52" s="53" t="str">
        <f>+B74</f>
        <v>Vertical Panels (whats the other type called?)</v>
      </c>
      <c r="V52" s="259">
        <f>+I74</f>
        <v>1546.5205479452056</v>
      </c>
      <c r="W52" s="259">
        <f ca="1">+C74*D74/J74*$H$7</f>
        <v>394.52054794520546</v>
      </c>
      <c r="X52" s="259">
        <f t="shared" ca="1" si="8"/>
        <v>1152.0000000000002</v>
      </c>
      <c r="Y52" s="255">
        <f t="shared" ca="1" si="9"/>
        <v>0.74489795918367352</v>
      </c>
      <c r="Z52" s="260"/>
      <c r="AA52"/>
      <c r="AI52" s="224"/>
      <c r="AJ52" s="224"/>
      <c r="AK52" s="224"/>
      <c r="AL52" s="224"/>
      <c r="AM52" s="224"/>
      <c r="AN52" s="224"/>
      <c r="AO52" s="224"/>
      <c r="AP52" s="224"/>
      <c r="AQ52" s="224"/>
      <c r="AR52" s="224"/>
      <c r="AS52" s="224"/>
      <c r="AT52" s="224"/>
      <c r="AU52" s="224"/>
      <c r="AV52" s="224"/>
      <c r="BQ52" s="149" t="s">
        <v>319</v>
      </c>
      <c r="BR52" s="42">
        <v>5</v>
      </c>
      <c r="BS52" s="92" t="s">
        <v>7</v>
      </c>
      <c r="BT52" s="150"/>
      <c r="BU52" s="41"/>
      <c r="BV52" s="41"/>
      <c r="BW52" s="41"/>
      <c r="BX52" s="41"/>
      <c r="BY52" s="41"/>
      <c r="BZ52" s="41"/>
      <c r="CA52" s="41"/>
      <c r="CB52" s="41"/>
      <c r="CC52" s="41"/>
      <c r="CD52" s="41"/>
      <c r="CE52" s="41"/>
      <c r="CF52" s="41"/>
      <c r="CG52" s="41"/>
      <c r="CH52" s="41"/>
      <c r="CI52" s="41"/>
      <c r="CJ52" s="41"/>
      <c r="CK52" s="41"/>
      <c r="CL52" s="41"/>
      <c r="CM52" s="41"/>
      <c r="CN52" s="41"/>
    </row>
    <row r="53" spans="1:92" ht="17" customHeight="1">
      <c r="B53" s="61"/>
      <c r="C53" s="62" t="s">
        <v>340</v>
      </c>
      <c r="D53" s="62" t="s">
        <v>487</v>
      </c>
      <c r="E53" s="62" t="s">
        <v>339</v>
      </c>
      <c r="F53" s="99" t="s">
        <v>629</v>
      </c>
      <c r="G53" s="63"/>
      <c r="I53" s="54"/>
      <c r="J53" s="54"/>
      <c r="L53" s="42">
        <v>24</v>
      </c>
      <c r="M53" s="142" t="s">
        <v>503</v>
      </c>
      <c r="N53" s="42">
        <v>12</v>
      </c>
      <c r="O53" s="92">
        <f>(L53*N53)/144</f>
        <v>2</v>
      </c>
      <c r="P53" s="134">
        <v>6.81</v>
      </c>
      <c r="Q53" s="135">
        <f>+P53*O53</f>
        <v>13.62</v>
      </c>
      <c r="R53" s="247">
        <v>0</v>
      </c>
      <c r="S53" s="250">
        <f>+Q53*R53</f>
        <v>0</v>
      </c>
      <c r="U53" s="274">
        <f t="shared" ref="U53:U55" si="10">+B75</f>
        <v>0</v>
      </c>
      <c r="V53" s="259">
        <f t="shared" ref="V53:V55" si="11">+I75</f>
        <v>0</v>
      </c>
      <c r="W53" s="259">
        <f t="shared" ref="W53:W55" ca="1" si="12">+C75*D75/J75*$H$7</f>
        <v>0</v>
      </c>
      <c r="X53" s="259">
        <f t="shared" ca="1" si="8"/>
        <v>0</v>
      </c>
      <c r="Y53" s="255" t="str">
        <f t="shared" ca="1" si="9"/>
        <v>-</v>
      </c>
      <c r="Z53" s="52"/>
      <c r="AA53"/>
      <c r="AI53"/>
      <c r="AJ53"/>
      <c r="AK53"/>
      <c r="AL53"/>
      <c r="AM53"/>
      <c r="AN53"/>
      <c r="AO53"/>
      <c r="AP53"/>
      <c r="AQ53"/>
      <c r="AR53"/>
      <c r="AS53" s="225"/>
      <c r="AT53"/>
      <c r="AU53"/>
      <c r="AV53"/>
      <c r="BQ53" s="149" t="s">
        <v>318</v>
      </c>
      <c r="BR53" s="42">
        <v>3</v>
      </c>
      <c r="BS53" s="92" t="s">
        <v>32</v>
      </c>
      <c r="BT53" s="150"/>
      <c r="BU53" s="41"/>
      <c r="BV53" s="41"/>
      <c r="BW53" s="41"/>
      <c r="BX53" s="41"/>
      <c r="BY53" s="41"/>
      <c r="BZ53" s="41"/>
      <c r="CA53" s="41"/>
      <c r="CB53" s="41"/>
      <c r="CC53" s="41"/>
      <c r="CD53" s="41"/>
      <c r="CE53" s="41"/>
      <c r="CF53" s="41"/>
      <c r="CG53" s="41"/>
      <c r="CH53" s="41"/>
      <c r="CI53" s="41"/>
      <c r="CJ53" s="41"/>
      <c r="CK53" s="41"/>
      <c r="CL53" s="41"/>
      <c r="CM53" s="41"/>
      <c r="CN53" s="41"/>
    </row>
    <row r="54" spans="1:92" ht="17" customHeight="1">
      <c r="B54" s="37" t="s">
        <v>495</v>
      </c>
      <c r="C54" s="126">
        <v>25</v>
      </c>
      <c r="D54" s="141">
        <f>G141</f>
        <v>203.63</v>
      </c>
      <c r="E54" s="270">
        <f>C54*D54</f>
        <v>5090.75</v>
      </c>
      <c r="F54" s="242">
        <f>7*365</f>
        <v>2555</v>
      </c>
      <c r="G54" s="52"/>
      <c r="I54" s="54"/>
      <c r="J54" s="54"/>
      <c r="L54" s="42">
        <v>24</v>
      </c>
      <c r="M54" s="142" t="s">
        <v>503</v>
      </c>
      <c r="N54" s="42">
        <v>18</v>
      </c>
      <c r="O54" s="92">
        <f>(L54*N54)/144</f>
        <v>3</v>
      </c>
      <c r="P54" s="134">
        <v>6.81</v>
      </c>
      <c r="Q54" s="135">
        <f>+P54*O54</f>
        <v>20.43</v>
      </c>
      <c r="R54" s="247">
        <v>4</v>
      </c>
      <c r="S54" s="250">
        <f>+Q54*R54</f>
        <v>81.72</v>
      </c>
      <c r="U54" s="274">
        <f t="shared" si="10"/>
        <v>0</v>
      </c>
      <c r="V54" s="259">
        <f t="shared" si="11"/>
        <v>0</v>
      </c>
      <c r="W54" s="259">
        <f t="shared" ca="1" si="12"/>
        <v>0</v>
      </c>
      <c r="X54" s="259">
        <f t="shared" ca="1" si="8"/>
        <v>0</v>
      </c>
      <c r="Y54" s="255" t="str">
        <f t="shared" ca="1" si="9"/>
        <v>-</v>
      </c>
      <c r="Z54" s="52"/>
      <c r="AA54"/>
      <c r="AI54" s="226" t="s">
        <v>562</v>
      </c>
      <c r="AJ54" s="226"/>
      <c r="AK54" s="227"/>
      <c r="AL54" s="227"/>
      <c r="AM54" s="227"/>
      <c r="AN54" s="227"/>
      <c r="AO54" s="227"/>
      <c r="AP54" s="227"/>
      <c r="AQ54" s="227"/>
      <c r="AR54" s="227"/>
      <c r="AS54" s="228" t="s">
        <v>563</v>
      </c>
      <c r="AT54" s="227"/>
      <c r="AU54" s="227"/>
      <c r="AV54" s="227"/>
      <c r="BQ54" s="149" t="s">
        <v>317</v>
      </c>
      <c r="BR54" s="42">
        <v>9</v>
      </c>
      <c r="BS54" s="92" t="s">
        <v>7</v>
      </c>
      <c r="BT54" s="150"/>
      <c r="BU54" s="41"/>
      <c r="BV54" s="41"/>
      <c r="BW54" s="41"/>
      <c r="BX54" s="41"/>
      <c r="BY54" s="41"/>
      <c r="BZ54" s="41"/>
      <c r="CA54" s="41"/>
      <c r="CB54" s="41"/>
      <c r="CC54" s="41"/>
      <c r="CD54" s="41"/>
      <c r="CE54" s="41"/>
      <c r="CF54" s="41"/>
      <c r="CG54" s="41"/>
      <c r="CH54" s="41"/>
      <c r="CI54" s="41"/>
      <c r="CJ54" s="41"/>
      <c r="CK54" s="41"/>
      <c r="CL54" s="41"/>
      <c r="CM54" s="41"/>
      <c r="CN54" s="41"/>
    </row>
    <row r="55" spans="1:92" ht="17" customHeight="1" thickBot="1">
      <c r="B55" s="37" t="s">
        <v>497</v>
      </c>
      <c r="C55" s="126">
        <v>0</v>
      </c>
      <c r="D55" s="141">
        <f>G151</f>
        <v>215.55</v>
      </c>
      <c r="E55" s="270">
        <f t="shared" ref="E55" si="13">C55*D55</f>
        <v>0</v>
      </c>
      <c r="F55" s="242">
        <f>7*365</f>
        <v>2555</v>
      </c>
      <c r="G55" s="52"/>
      <c r="I55" s="54"/>
      <c r="J55" s="54"/>
      <c r="L55" s="42">
        <v>24</v>
      </c>
      <c r="M55" s="142" t="s">
        <v>503</v>
      </c>
      <c r="N55" s="42">
        <v>24</v>
      </c>
      <c r="O55" s="92">
        <f>(L55*N55)/144</f>
        <v>4</v>
      </c>
      <c r="P55" s="134">
        <v>6.81</v>
      </c>
      <c r="Q55" s="135">
        <f>+P55*O55</f>
        <v>27.24</v>
      </c>
      <c r="R55" s="247">
        <v>0</v>
      </c>
      <c r="S55" s="250">
        <f>+Q55*R55</f>
        <v>0</v>
      </c>
      <c r="U55" s="274">
        <f t="shared" si="10"/>
        <v>0</v>
      </c>
      <c r="V55" s="259">
        <f t="shared" si="11"/>
        <v>0</v>
      </c>
      <c r="W55" s="259">
        <f t="shared" ca="1" si="12"/>
        <v>0</v>
      </c>
      <c r="X55" s="259">
        <f t="shared" ca="1" si="8"/>
        <v>0</v>
      </c>
      <c r="Y55" s="255" t="str">
        <f t="shared" ca="1" si="9"/>
        <v>-</v>
      </c>
      <c r="Z55" s="52"/>
      <c r="AA55"/>
      <c r="AI55"/>
      <c r="AJ55"/>
      <c r="AK55"/>
      <c r="AL55"/>
      <c r="AM55"/>
      <c r="AN55"/>
      <c r="AO55"/>
      <c r="AP55"/>
      <c r="AQ55"/>
      <c r="AR55"/>
      <c r="AS55"/>
      <c r="AT55"/>
      <c r="AU55"/>
      <c r="AV55"/>
      <c r="BQ55" s="149" t="s">
        <v>316</v>
      </c>
      <c r="BR55" s="42">
        <v>3</v>
      </c>
      <c r="BS55" s="92" t="s">
        <v>7</v>
      </c>
      <c r="BT55" s="150"/>
      <c r="BU55" s="41"/>
      <c r="BV55" s="41"/>
      <c r="BW55" s="41"/>
      <c r="BX55" s="41"/>
      <c r="BY55" s="41"/>
      <c r="BZ55" s="41"/>
      <c r="CA55" s="41"/>
      <c r="CB55" s="41"/>
      <c r="CC55" s="41"/>
      <c r="CD55" s="41"/>
      <c r="CE55" s="41"/>
      <c r="CF55" s="41"/>
      <c r="CG55" s="41"/>
      <c r="CH55" s="41"/>
      <c r="CI55" s="41"/>
      <c r="CJ55" s="41"/>
      <c r="CK55" s="41"/>
      <c r="CL55" s="41"/>
      <c r="CM55" s="41"/>
      <c r="CN55" s="41"/>
    </row>
    <row r="56" spans="1:92" ht="17" customHeight="1" thickBot="1">
      <c r="B56" s="37" t="s">
        <v>496</v>
      </c>
      <c r="C56" s="126">
        <v>5</v>
      </c>
      <c r="D56" s="141">
        <f>+G161</f>
        <v>217.76</v>
      </c>
      <c r="E56" s="270">
        <f>C56*D56</f>
        <v>1088.8</v>
      </c>
      <c r="F56" s="242">
        <f t="shared" ref="F56:F58" si="14">7*365</f>
        <v>2555</v>
      </c>
      <c r="G56" s="52"/>
      <c r="I56" s="54"/>
      <c r="J56" s="54"/>
      <c r="L56" s="42" t="s">
        <v>414</v>
      </c>
      <c r="M56" s="142" t="s">
        <v>503</v>
      </c>
      <c r="N56" s="42"/>
      <c r="O56" s="92">
        <v>6.25</v>
      </c>
      <c r="P56" s="134">
        <v>6.81</v>
      </c>
      <c r="Q56" s="135">
        <f>+P56*O56</f>
        <v>42.5625</v>
      </c>
      <c r="R56" s="247">
        <v>0</v>
      </c>
      <c r="S56" s="250">
        <f>+Q56*R56</f>
        <v>0</v>
      </c>
      <c r="U56" s="256" t="str">
        <f>+B78</f>
        <v>Total LIGHT AND DRUM RENTAL</v>
      </c>
      <c r="V56" s="241">
        <f>SUM(V49:V55)</f>
        <v>6075.6164383561645</v>
      </c>
      <c r="W56" s="241">
        <f t="shared" ref="W56:X56" ca="1" si="15">SUM(W49:W55)</f>
        <v>2038.3561643835615</v>
      </c>
      <c r="X56" s="241">
        <f t="shared" ca="1" si="15"/>
        <v>4037.2602739726026</v>
      </c>
      <c r="Y56" s="240">
        <f ca="1">IFERROR(X56/V56,"-")</f>
        <v>0.66450216450216448</v>
      </c>
      <c r="Z56" s="260"/>
      <c r="AA56"/>
      <c r="AI56"/>
      <c r="AJ56"/>
      <c r="AK56"/>
      <c r="AL56"/>
      <c r="AM56"/>
      <c r="AN56"/>
      <c r="AO56"/>
      <c r="AP56"/>
      <c r="AQ56"/>
      <c r="AR56"/>
      <c r="AS56"/>
      <c r="AT56"/>
      <c r="AU56"/>
      <c r="AV56"/>
      <c r="BQ56" s="149" t="s">
        <v>315</v>
      </c>
      <c r="BR56" s="42">
        <v>4</v>
      </c>
      <c r="BS56" s="92" t="s">
        <v>7</v>
      </c>
      <c r="BT56" s="150"/>
      <c r="BU56" s="41"/>
      <c r="BV56" s="41"/>
      <c r="BW56" s="41"/>
      <c r="BX56" s="41"/>
      <c r="BY56" s="41"/>
      <c r="BZ56" s="41"/>
      <c r="CA56" s="41"/>
      <c r="CB56" s="41"/>
      <c r="CC56" s="41"/>
      <c r="CD56" s="41"/>
      <c r="CE56" s="41"/>
      <c r="CF56" s="41"/>
      <c r="CG56" s="41"/>
      <c r="CH56" s="41"/>
      <c r="CI56" s="41"/>
      <c r="CJ56" s="41"/>
      <c r="CK56" s="41"/>
      <c r="CL56" s="41"/>
      <c r="CM56" s="41"/>
      <c r="CN56" s="41"/>
    </row>
    <row r="57" spans="1:92" ht="17" customHeight="1">
      <c r="B57" s="37" t="s">
        <v>498</v>
      </c>
      <c r="C57" s="126">
        <v>0</v>
      </c>
      <c r="D57" s="141">
        <f>+G170</f>
        <v>229.68</v>
      </c>
      <c r="E57" s="270">
        <f t="shared" ref="E57" si="16">C57*D57</f>
        <v>0</v>
      </c>
      <c r="F57" s="242">
        <f t="shared" si="14"/>
        <v>2555</v>
      </c>
      <c r="G57" s="52"/>
      <c r="I57" s="54"/>
      <c r="J57" s="54"/>
      <c r="L57" s="137">
        <v>30</v>
      </c>
      <c r="M57" s="142" t="s">
        <v>503</v>
      </c>
      <c r="N57" s="137">
        <v>15</v>
      </c>
      <c r="O57" s="92">
        <f>(L57*N57)/144</f>
        <v>3.125</v>
      </c>
      <c r="P57" s="134">
        <v>6.81</v>
      </c>
      <c r="Q57" s="135">
        <f>+P57*O57</f>
        <v>21.28125</v>
      </c>
      <c r="R57" s="247">
        <v>60</v>
      </c>
      <c r="S57" s="250">
        <f>+Q57*R57</f>
        <v>1276.875</v>
      </c>
      <c r="U57" s="261"/>
      <c r="V57" s="107"/>
      <c r="W57" s="107"/>
      <c r="X57" s="107"/>
      <c r="Y57" s="107"/>
      <c r="Z57" s="260"/>
      <c r="AA57"/>
      <c r="AI57" s="229" t="s">
        <v>564</v>
      </c>
      <c r="AJ57" s="229"/>
      <c r="AK57" s="230"/>
      <c r="AL57"/>
      <c r="AM57" s="230"/>
      <c r="AN57"/>
      <c r="AO57" s="230"/>
      <c r="AP57"/>
      <c r="AQ57"/>
      <c r="AR57"/>
      <c r="AS57"/>
      <c r="AT57"/>
      <c r="AU57"/>
      <c r="AV57"/>
      <c r="BQ57" s="149" t="s">
        <v>314</v>
      </c>
      <c r="BR57" s="42">
        <v>3</v>
      </c>
      <c r="BS57" s="92" t="s">
        <v>32</v>
      </c>
      <c r="BT57" s="150"/>
      <c r="BU57" s="41"/>
      <c r="BV57" s="41"/>
      <c r="BW57" s="41"/>
      <c r="BX57" s="41"/>
      <c r="BY57" s="41"/>
      <c r="BZ57" s="41"/>
      <c r="CA57" s="41"/>
      <c r="CB57" s="41"/>
      <c r="CC57" s="41"/>
      <c r="CD57" s="41"/>
      <c r="CE57" s="41"/>
      <c r="CF57" s="41"/>
      <c r="CG57" s="41"/>
      <c r="CH57" s="41"/>
      <c r="CI57" s="41"/>
      <c r="CJ57" s="41"/>
      <c r="CK57" s="41"/>
      <c r="CL57" s="41"/>
      <c r="CM57" s="41"/>
      <c r="CN57" s="41"/>
    </row>
    <row r="58" spans="1:92" ht="17" customHeight="1">
      <c r="B58" s="37" t="s">
        <v>332</v>
      </c>
      <c r="C58" s="126">
        <v>3</v>
      </c>
      <c r="D58" s="141">
        <f>G135</f>
        <v>61.34</v>
      </c>
      <c r="E58" s="270">
        <f>C58*D58</f>
        <v>184.02</v>
      </c>
      <c r="F58" s="242">
        <f t="shared" si="14"/>
        <v>2555</v>
      </c>
      <c r="G58" s="52"/>
      <c r="H58" s="132"/>
      <c r="I58" s="54"/>
      <c r="J58" s="54"/>
      <c r="L58" s="42">
        <v>30</v>
      </c>
      <c r="M58" s="142" t="s">
        <v>503</v>
      </c>
      <c r="N58" s="42">
        <v>18</v>
      </c>
      <c r="O58" s="92">
        <f>(L58*N58)/144</f>
        <v>3.75</v>
      </c>
      <c r="P58" s="134">
        <v>6.81</v>
      </c>
      <c r="Q58" s="135">
        <f>+P58*O58</f>
        <v>25.537499999999998</v>
      </c>
      <c r="R58" s="247">
        <v>0</v>
      </c>
      <c r="S58" s="250">
        <f>+Q58*R58</f>
        <v>0</v>
      </c>
      <c r="U58" s="53" t="str">
        <f>+L2</f>
        <v>HIGH INTENSITY</v>
      </c>
      <c r="V58" s="254">
        <f>+(1-Z58)*S43</f>
        <v>338.25000000000028</v>
      </c>
      <c r="W58" s="259">
        <f>+S43/365*5</f>
        <v>92.671232876712324</v>
      </c>
      <c r="X58" s="259">
        <f>+V58-W58</f>
        <v>245.57876712328795</v>
      </c>
      <c r="Y58" s="255">
        <f t="shared" ref="Y58:Y60" si="17">IFERROR(X58/V58,"-")</f>
        <v>0.72602739726027421</v>
      </c>
      <c r="Z58" s="253">
        <f>+Z38</f>
        <v>0.95</v>
      </c>
      <c r="AI58" s="168" t="s">
        <v>565</v>
      </c>
      <c r="AJ58" s="168"/>
      <c r="AK58" s="168"/>
      <c r="AL58" s="168"/>
      <c r="AM58" s="168"/>
      <c r="AN58" s="168"/>
      <c r="AO58" s="168"/>
      <c r="AP58" s="168"/>
      <c r="AQ58" s="168"/>
      <c r="AR58" s="168"/>
      <c r="AS58" s="168"/>
      <c r="AT58" s="168"/>
      <c r="AU58" s="168"/>
      <c r="AV58" s="168"/>
      <c r="BQ58" s="149" t="s">
        <v>313</v>
      </c>
      <c r="BR58" s="42">
        <v>3</v>
      </c>
      <c r="BS58" s="92" t="s">
        <v>7</v>
      </c>
      <c r="BT58" s="150"/>
      <c r="BU58" s="41"/>
      <c r="BV58" s="41"/>
      <c r="BW58" s="41"/>
      <c r="BX58" s="41"/>
      <c r="BY58" s="41"/>
      <c r="BZ58" s="41"/>
      <c r="CA58" s="41"/>
      <c r="CB58" s="41"/>
      <c r="CC58" s="41"/>
      <c r="CD58" s="41"/>
      <c r="CE58" s="41"/>
      <c r="CF58" s="41"/>
      <c r="CG58" s="41"/>
      <c r="CH58" s="41"/>
      <c r="CI58" s="41"/>
      <c r="CJ58" s="41"/>
      <c r="CK58" s="41"/>
      <c r="CL58" s="41"/>
      <c r="CM58" s="41"/>
      <c r="CN58" s="41"/>
    </row>
    <row r="59" spans="1:92" ht="17" customHeight="1">
      <c r="B59" s="37" t="s">
        <v>334</v>
      </c>
      <c r="C59" s="118">
        <f>SUM(C54:C57,C58)*10</f>
        <v>330</v>
      </c>
      <c r="D59" s="141">
        <f>D104</f>
        <v>3.45</v>
      </c>
      <c r="E59" s="270">
        <f>C59*D59</f>
        <v>1138.5</v>
      </c>
      <c r="F59" s="242">
        <f>365*2</f>
        <v>730</v>
      </c>
      <c r="G59" s="52"/>
      <c r="H59" s="132"/>
      <c r="I59" s="54"/>
      <c r="J59" s="54"/>
      <c r="L59" s="42">
        <v>30</v>
      </c>
      <c r="M59" s="142" t="s">
        <v>503</v>
      </c>
      <c r="N59" s="42">
        <v>24</v>
      </c>
      <c r="O59" s="92">
        <f>(L59*N59)/144</f>
        <v>5</v>
      </c>
      <c r="P59" s="134">
        <v>6.81</v>
      </c>
      <c r="Q59" s="135">
        <f>+P59*O59</f>
        <v>34.049999999999997</v>
      </c>
      <c r="R59" s="247">
        <v>0</v>
      </c>
      <c r="S59" s="250">
        <f>+Q59*R59</f>
        <v>0</v>
      </c>
      <c r="U59" s="53" t="str">
        <f>+L45</f>
        <v>DIAMOND GRADE</v>
      </c>
      <c r="V59" s="259">
        <f>+(1-Z59)*S87</f>
        <v>133.3057500000001</v>
      </c>
      <c r="W59" s="259">
        <f>+S87/365*5</f>
        <v>36.522123287671228</v>
      </c>
      <c r="X59" s="259">
        <f t="shared" ref="X59:X60" si="18">+V59-W59</f>
        <v>96.783626712328868</v>
      </c>
      <c r="Y59" s="255">
        <f t="shared" si="17"/>
        <v>0.72602739726027421</v>
      </c>
      <c r="Z59" s="253">
        <f>+Z38</f>
        <v>0.95</v>
      </c>
      <c r="AI59" s="231" t="s">
        <v>566</v>
      </c>
      <c r="AJ59" s="168"/>
      <c r="AK59" s="232"/>
      <c r="AL59" s="168"/>
      <c r="AM59" s="232"/>
      <c r="AN59" s="168"/>
      <c r="AO59" s="168"/>
      <c r="AP59" s="168"/>
      <c r="AQ59" s="168"/>
      <c r="AR59" s="168"/>
      <c r="AS59" s="168"/>
      <c r="AT59" s="168"/>
      <c r="AU59" s="168"/>
      <c r="AV59" s="168"/>
      <c r="BQ59" s="149" t="s">
        <v>312</v>
      </c>
      <c r="BR59" s="42">
        <v>1</v>
      </c>
      <c r="BS59" s="92" t="s">
        <v>32</v>
      </c>
      <c r="BT59" s="150"/>
      <c r="BU59" s="41"/>
      <c r="BV59" s="41"/>
      <c r="BW59" s="41"/>
      <c r="BX59" s="41"/>
      <c r="BY59" s="41"/>
      <c r="BZ59" s="41"/>
      <c r="CA59" s="41"/>
      <c r="CB59" s="41"/>
      <c r="CC59" s="41"/>
      <c r="CD59" s="41"/>
      <c r="CE59" s="41"/>
      <c r="CF59" s="41"/>
      <c r="CG59" s="41"/>
      <c r="CH59" s="41"/>
      <c r="CI59" s="41"/>
      <c r="CJ59" s="41"/>
      <c r="CK59" s="41"/>
      <c r="CL59" s="41"/>
      <c r="CM59" s="41"/>
      <c r="CN59" s="41"/>
    </row>
    <row r="60" spans="1:92" ht="17" customHeight="1">
      <c r="B60" s="37" t="s">
        <v>330</v>
      </c>
      <c r="C60" s="126">
        <v>72</v>
      </c>
      <c r="D60" s="141">
        <v>48</v>
      </c>
      <c r="E60" s="270">
        <f>C60*D60</f>
        <v>3456</v>
      </c>
      <c r="F60" s="242">
        <f>365*3</f>
        <v>1095</v>
      </c>
      <c r="G60" s="52"/>
      <c r="H60" s="132"/>
      <c r="I60" s="54"/>
      <c r="J60" s="54"/>
      <c r="L60" s="42">
        <v>30</v>
      </c>
      <c r="M60" s="142" t="s">
        <v>503</v>
      </c>
      <c r="N60" s="42">
        <v>30</v>
      </c>
      <c r="O60" s="92">
        <f>(L60*N60)/144</f>
        <v>6.25</v>
      </c>
      <c r="P60" s="134">
        <v>6.81</v>
      </c>
      <c r="Q60" s="135">
        <f>+P60*O60</f>
        <v>42.5625</v>
      </c>
      <c r="R60" s="247">
        <v>0</v>
      </c>
      <c r="S60" s="250">
        <f>+Q60*R60</f>
        <v>0</v>
      </c>
      <c r="U60" s="65" t="str">
        <f>+L89</f>
        <v>SPECIAL SIGNS</v>
      </c>
      <c r="V60" s="287">
        <f>+(1-Z60)*S88</f>
        <v>0</v>
      </c>
      <c r="W60" s="287">
        <f>+S95/365*3</f>
        <v>0</v>
      </c>
      <c r="X60" s="287">
        <f t="shared" si="18"/>
        <v>0</v>
      </c>
      <c r="Y60" s="288" t="str">
        <f t="shared" si="17"/>
        <v>-</v>
      </c>
      <c r="Z60" s="253">
        <f>+Z38</f>
        <v>0.95</v>
      </c>
      <c r="AI60" s="168" t="s">
        <v>567</v>
      </c>
      <c r="AJ60" s="168"/>
      <c r="AK60" s="232"/>
      <c r="AL60" s="232"/>
      <c r="AM60" s="168"/>
      <c r="AN60" s="168"/>
      <c r="AO60" s="168"/>
      <c r="AP60" s="168"/>
      <c r="AQ60" s="168"/>
      <c r="AR60" s="168"/>
      <c r="AS60" s="168"/>
      <c r="AT60" s="168"/>
      <c r="AU60" s="168"/>
      <c r="AV60" s="168"/>
      <c r="BQ60" s="149" t="s">
        <v>311</v>
      </c>
      <c r="BR60" s="42">
        <v>1</v>
      </c>
      <c r="BS60" s="92" t="s">
        <v>7</v>
      </c>
      <c r="BT60" s="150"/>
      <c r="BU60" s="41"/>
      <c r="BV60" s="41"/>
      <c r="BW60" s="41"/>
      <c r="BX60" s="41"/>
      <c r="BY60" s="41"/>
      <c r="BZ60" s="41"/>
      <c r="CA60" s="41"/>
      <c r="CB60" s="41"/>
      <c r="CC60" s="41"/>
      <c r="CD60" s="41"/>
      <c r="CE60" s="41"/>
      <c r="CF60" s="41"/>
      <c r="CG60" s="41"/>
      <c r="CH60" s="41"/>
      <c r="CI60" s="41"/>
      <c r="CJ60" s="41"/>
      <c r="CK60" s="41"/>
      <c r="CL60" s="41"/>
      <c r="CM60" s="41"/>
      <c r="CN60" s="41"/>
    </row>
    <row r="61" spans="1:92" ht="17" customHeight="1" thickBot="1">
      <c r="B61" s="37" t="s">
        <v>328</v>
      </c>
      <c r="C61" s="126">
        <v>0</v>
      </c>
      <c r="D61" s="141">
        <v>165</v>
      </c>
      <c r="E61" s="270">
        <f>C61*D61</f>
        <v>0</v>
      </c>
      <c r="F61" s="242">
        <f t="shared" ref="F61:F65" si="19">7*365</f>
        <v>2555</v>
      </c>
      <c r="G61" s="52"/>
      <c r="H61" s="132"/>
      <c r="I61" s="54"/>
      <c r="J61" s="54"/>
      <c r="L61" s="42" t="s">
        <v>418</v>
      </c>
      <c r="M61" s="142" t="s">
        <v>503</v>
      </c>
      <c r="N61" s="42"/>
      <c r="O61" s="92">
        <v>9</v>
      </c>
      <c r="P61" s="134">
        <v>6.81</v>
      </c>
      <c r="Q61" s="135">
        <f>+P61*O61</f>
        <v>61.29</v>
      </c>
      <c r="R61" s="247">
        <v>0</v>
      </c>
      <c r="S61" s="250">
        <f>+Q61*R61</f>
        <v>0</v>
      </c>
      <c r="U61" s="281" t="s">
        <v>435</v>
      </c>
      <c r="V61" s="282">
        <f>SUM(V57:V60)</f>
        <v>471.55575000000039</v>
      </c>
      <c r="W61" s="283">
        <f t="shared" ref="W61:X61" si="20">SUM(W57:W60)</f>
        <v>129.19335616438354</v>
      </c>
      <c r="X61" s="282">
        <f t="shared" si="20"/>
        <v>342.36239383561679</v>
      </c>
      <c r="Y61" s="284">
        <f>IFERROR(X61/V61,"-")</f>
        <v>0.7260273972602741</v>
      </c>
      <c r="Z61" s="285">
        <f>1-V61/SUM(S43,S87,S95)</f>
        <v>0.95</v>
      </c>
      <c r="AI61" s="168" t="s">
        <v>568</v>
      </c>
      <c r="AJ61" s="168"/>
      <c r="AK61" s="232"/>
      <c r="AL61" s="168"/>
      <c r="AM61" s="168"/>
      <c r="AN61" s="168"/>
      <c r="AO61" s="168"/>
      <c r="AP61" s="168"/>
      <c r="AQ61" s="168"/>
      <c r="AR61" s="168"/>
      <c r="AS61" s="168"/>
      <c r="AT61" s="168"/>
      <c r="AU61" s="168"/>
      <c r="AV61" s="168"/>
      <c r="BQ61" s="149" t="s">
        <v>310</v>
      </c>
      <c r="BR61" s="42">
        <v>12</v>
      </c>
      <c r="BS61" s="92" t="s">
        <v>7</v>
      </c>
      <c r="BT61" s="150"/>
      <c r="BU61" s="41"/>
      <c r="BV61" s="41"/>
      <c r="BW61" s="41"/>
      <c r="BX61" s="41"/>
      <c r="BY61" s="41"/>
      <c r="BZ61" s="41"/>
      <c r="CA61" s="41"/>
      <c r="CB61" s="41"/>
      <c r="CC61" s="41"/>
      <c r="CD61" s="41"/>
      <c r="CE61" s="41"/>
      <c r="CF61" s="41"/>
      <c r="CG61" s="41"/>
      <c r="CH61" s="41"/>
      <c r="CI61" s="41"/>
      <c r="CJ61" s="41"/>
      <c r="CK61" s="41"/>
      <c r="CL61" s="41"/>
      <c r="CM61" s="41"/>
      <c r="CN61" s="41"/>
    </row>
    <row r="62" spans="1:92" ht="17" customHeight="1" thickBot="1">
      <c r="B62" s="37" t="s">
        <v>327</v>
      </c>
      <c r="C62" s="126">
        <v>0</v>
      </c>
      <c r="D62" s="141">
        <f>F135</f>
        <v>30.67</v>
      </c>
      <c r="E62" s="270">
        <f>C62*D62</f>
        <v>0</v>
      </c>
      <c r="F62" s="242">
        <f t="shared" si="19"/>
        <v>2555</v>
      </c>
      <c r="G62" s="52"/>
      <c r="H62" s="132"/>
      <c r="I62" s="54"/>
      <c r="J62" s="54"/>
      <c r="L62" s="42" t="s">
        <v>416</v>
      </c>
      <c r="M62" s="142" t="s">
        <v>503</v>
      </c>
      <c r="N62" s="42"/>
      <c r="O62" s="92">
        <v>7.5</v>
      </c>
      <c r="P62" s="134">
        <v>6.81</v>
      </c>
      <c r="Q62" s="135">
        <f>+P62*O62</f>
        <v>51.074999999999996</v>
      </c>
      <c r="R62" s="247">
        <v>0</v>
      </c>
      <c r="S62" s="250">
        <f>+Q62*R62</f>
        <v>0</v>
      </c>
      <c r="U62" s="53"/>
      <c r="V62" s="54"/>
      <c r="W62" s="54"/>
      <c r="X62" s="54"/>
      <c r="Y62" s="54"/>
      <c r="Z62" s="258"/>
      <c r="AA62" s="132"/>
      <c r="AI62" s="168" t="s">
        <v>569</v>
      </c>
      <c r="AJ62" s="168"/>
      <c r="AK62" s="232"/>
      <c r="AL62" s="168"/>
      <c r="AM62" s="168"/>
      <c r="AN62" s="168"/>
      <c r="AO62" s="168"/>
      <c r="AP62" s="168"/>
      <c r="AQ62" s="168"/>
      <c r="AR62" s="168"/>
      <c r="AS62" s="168"/>
      <c r="AT62" s="168"/>
      <c r="AU62" s="168"/>
      <c r="AV62" s="168"/>
      <c r="BQ62" s="149" t="s">
        <v>309</v>
      </c>
      <c r="BR62" s="42">
        <v>4</v>
      </c>
      <c r="BS62" s="92" t="s">
        <v>32</v>
      </c>
      <c r="BT62" s="150"/>
      <c r="BU62" s="41"/>
      <c r="BV62" s="41"/>
      <c r="BW62" s="41"/>
      <c r="BX62" s="41"/>
      <c r="BY62" s="41"/>
      <c r="BZ62" s="41"/>
      <c r="CA62" s="41"/>
      <c r="CB62" s="41"/>
      <c r="CC62" s="41"/>
      <c r="CD62" s="41"/>
      <c r="CE62" s="41"/>
      <c r="CF62" s="41"/>
      <c r="CG62" s="41"/>
      <c r="CH62" s="41"/>
      <c r="CI62" s="41"/>
      <c r="CJ62" s="41"/>
      <c r="CK62" s="41"/>
      <c r="CL62" s="41"/>
      <c r="CM62" s="41"/>
      <c r="CN62" s="41"/>
    </row>
    <row r="63" spans="1:92" ht="17" customHeight="1" thickBot="1">
      <c r="B63" s="31"/>
      <c r="C63" s="126">
        <v>0</v>
      </c>
      <c r="D63" s="126">
        <v>0</v>
      </c>
      <c r="E63" s="270">
        <f t="shared" ref="E63:E65" si="21">C63*D63</f>
        <v>0</v>
      </c>
      <c r="F63" s="242">
        <f t="shared" si="19"/>
        <v>2555</v>
      </c>
      <c r="G63" s="52"/>
      <c r="L63" s="42">
        <v>36</v>
      </c>
      <c r="M63" s="142" t="s">
        <v>503</v>
      </c>
      <c r="N63" s="42">
        <v>12</v>
      </c>
      <c r="O63" s="92">
        <f>(L63*N63)/144</f>
        <v>3</v>
      </c>
      <c r="P63" s="134">
        <v>6.81</v>
      </c>
      <c r="Q63" s="135">
        <f>+P63*O63</f>
        <v>20.43</v>
      </c>
      <c r="R63" s="247">
        <v>0</v>
      </c>
      <c r="S63" s="250">
        <f>+Q63*R63</f>
        <v>0</v>
      </c>
      <c r="U63" s="256" t="s">
        <v>630</v>
      </c>
      <c r="V63" s="241">
        <f>+V47+V56+V61</f>
        <v>10179.730288356164</v>
      </c>
      <c r="W63" s="243">
        <f ca="1">+W47+W56+W61</f>
        <v>5055.7612661448147</v>
      </c>
      <c r="X63" s="241">
        <f ca="1">+X47+X56+X61</f>
        <v>5123.9690222113504</v>
      </c>
      <c r="Y63" s="299">
        <f ca="1">IFERROR(X63/V63,"-")</f>
        <v>0.50335017501124535</v>
      </c>
      <c r="Z63" s="257">
        <f>1-SUM(V38:V46,V61)/SUM(E66,S43,S87,S95)</f>
        <v>0.92487270825194823</v>
      </c>
      <c r="AI63" s="168" t="s">
        <v>570</v>
      </c>
      <c r="AJ63" s="232"/>
      <c r="AK63" s="168"/>
      <c r="AL63" s="168"/>
      <c r="AM63" s="168"/>
      <c r="AN63" s="168"/>
      <c r="AO63" s="168"/>
      <c r="AP63" s="168"/>
      <c r="AQ63" s="168"/>
      <c r="AR63" s="168"/>
      <c r="AS63" s="168"/>
      <c r="AT63" s="168"/>
      <c r="AU63" s="168"/>
      <c r="AV63" s="168"/>
      <c r="BQ63" s="149" t="s">
        <v>308</v>
      </c>
      <c r="BR63" s="42">
        <v>12</v>
      </c>
      <c r="BS63" s="92" t="s">
        <v>7</v>
      </c>
      <c r="BT63" s="150"/>
      <c r="BU63" s="41"/>
      <c r="BV63" s="41"/>
      <c r="BW63" s="41"/>
      <c r="BX63" s="41"/>
      <c r="BY63" s="41"/>
      <c r="BZ63" s="41"/>
      <c r="CA63" s="41"/>
      <c r="CB63" s="41"/>
      <c r="CC63" s="41"/>
      <c r="CD63" s="41"/>
      <c r="CE63" s="41"/>
      <c r="CF63" s="41"/>
      <c r="CG63" s="41"/>
      <c r="CH63" s="41"/>
      <c r="CI63" s="41"/>
      <c r="CJ63" s="41"/>
      <c r="CK63" s="41"/>
      <c r="CL63" s="41"/>
      <c r="CM63" s="41"/>
      <c r="CN63" s="41"/>
    </row>
    <row r="64" spans="1:92" ht="17" customHeight="1">
      <c r="B64" s="31"/>
      <c r="C64" s="126">
        <v>0</v>
      </c>
      <c r="D64" s="126">
        <v>0</v>
      </c>
      <c r="E64" s="270">
        <f t="shared" si="21"/>
        <v>0</v>
      </c>
      <c r="F64" s="242">
        <f t="shared" si="19"/>
        <v>2555</v>
      </c>
      <c r="G64" s="52"/>
      <c r="L64" s="42">
        <v>36</v>
      </c>
      <c r="M64" s="142" t="s">
        <v>503</v>
      </c>
      <c r="N64" s="42">
        <v>18</v>
      </c>
      <c r="O64" s="92">
        <f>(L64*N64)/144</f>
        <v>4.5</v>
      </c>
      <c r="P64" s="134">
        <v>6.81</v>
      </c>
      <c r="Q64" s="135">
        <f>+P64*O64</f>
        <v>30.645</v>
      </c>
      <c r="R64" s="247">
        <v>0</v>
      </c>
      <c r="S64" s="250">
        <f>+Q64*R64</f>
        <v>0</v>
      </c>
      <c r="U64" s="53"/>
      <c r="V64" s="54"/>
      <c r="W64" s="54"/>
      <c r="X64" s="54"/>
      <c r="Y64" s="54"/>
      <c r="Z64" s="52"/>
      <c r="AI64" s="168" t="s">
        <v>571</v>
      </c>
      <c r="AJ64" s="168"/>
      <c r="AK64" s="168"/>
      <c r="AL64" s="168"/>
      <c r="AM64" s="168"/>
      <c r="AN64" s="168"/>
      <c r="AO64" s="168"/>
      <c r="AP64" s="168"/>
      <c r="AQ64" s="168"/>
      <c r="AR64" s="168"/>
      <c r="AS64" s="168"/>
      <c r="AT64" s="168"/>
      <c r="AU64" s="168"/>
      <c r="AV64" s="168"/>
      <c r="BQ64" s="149" t="s">
        <v>307</v>
      </c>
      <c r="BR64" s="42">
        <v>4</v>
      </c>
      <c r="BS64" s="92" t="s">
        <v>7</v>
      </c>
      <c r="BT64" s="150"/>
      <c r="BU64" s="41"/>
      <c r="BV64" s="41"/>
      <c r="BW64" s="41"/>
      <c r="BX64" s="41"/>
      <c r="BY64" s="41"/>
      <c r="BZ64" s="41"/>
      <c r="CA64" s="41"/>
      <c r="CB64" s="41"/>
      <c r="CC64" s="41"/>
      <c r="CD64" s="41"/>
      <c r="CE64" s="41"/>
      <c r="CF64" s="41"/>
      <c r="CG64" s="41"/>
      <c r="CH64" s="41"/>
      <c r="CI64" s="41"/>
      <c r="CJ64" s="41"/>
      <c r="CK64" s="41"/>
      <c r="CL64" s="41"/>
      <c r="CM64" s="41"/>
      <c r="CN64" s="41"/>
    </row>
    <row r="65" spans="2:92" ht="17" customHeight="1" thickBot="1">
      <c r="B65" s="101"/>
      <c r="C65" s="126">
        <v>0</v>
      </c>
      <c r="D65" s="126">
        <v>0</v>
      </c>
      <c r="E65" s="271">
        <f t="shared" si="21"/>
        <v>0</v>
      </c>
      <c r="F65" s="242">
        <f t="shared" si="19"/>
        <v>2555</v>
      </c>
      <c r="G65" s="52"/>
      <c r="L65" s="42">
        <v>36</v>
      </c>
      <c r="M65" s="142" t="s">
        <v>503</v>
      </c>
      <c r="N65" s="42">
        <v>24</v>
      </c>
      <c r="O65" s="92">
        <f>(L65*N65)/144</f>
        <v>6</v>
      </c>
      <c r="P65" s="134">
        <v>6.81</v>
      </c>
      <c r="Q65" s="135">
        <f>+P65*O65</f>
        <v>40.86</v>
      </c>
      <c r="R65" s="247">
        <v>0</v>
      </c>
      <c r="S65" s="250">
        <f>+Q65*R65</f>
        <v>0</v>
      </c>
      <c r="U65" s="53"/>
      <c r="V65" s="54"/>
      <c r="W65" s="54"/>
      <c r="X65" s="54"/>
      <c r="Y65" s="54"/>
      <c r="Z65" s="52"/>
      <c r="AI65" s="168" t="s">
        <v>572</v>
      </c>
      <c r="AJ65" s="168"/>
      <c r="AK65" s="168"/>
      <c r="AL65" s="168"/>
      <c r="AM65" s="168"/>
      <c r="AN65" s="168"/>
      <c r="AO65" s="168"/>
      <c r="AP65" s="168"/>
      <c r="AQ65" s="168"/>
      <c r="AR65" s="168"/>
      <c r="AS65" s="168"/>
      <c r="AT65" s="168"/>
      <c r="AU65" s="168"/>
      <c r="AV65" s="168"/>
      <c r="BQ65" s="149" t="s">
        <v>306</v>
      </c>
      <c r="BR65" s="42">
        <v>8</v>
      </c>
      <c r="BS65" s="92" t="s">
        <v>7</v>
      </c>
      <c r="BT65" s="150"/>
      <c r="BU65" s="41"/>
      <c r="BV65" s="41"/>
      <c r="BW65" s="41"/>
      <c r="BX65" s="41"/>
      <c r="BY65" s="41"/>
      <c r="BZ65" s="41"/>
      <c r="CA65" s="41"/>
      <c r="CB65" s="41"/>
      <c r="CC65" s="41"/>
      <c r="CD65" s="41"/>
      <c r="CE65" s="41"/>
      <c r="CF65" s="41"/>
      <c r="CG65" s="41"/>
      <c r="CH65" s="41"/>
      <c r="CI65" s="41"/>
      <c r="CJ65" s="41"/>
      <c r="CK65" s="41"/>
      <c r="CL65" s="41"/>
      <c r="CM65" s="41"/>
      <c r="CN65" s="41"/>
    </row>
    <row r="66" spans="2:92" ht="17" customHeight="1" thickBot="1">
      <c r="B66" s="256" t="s">
        <v>367</v>
      </c>
      <c r="C66" s="112"/>
      <c r="D66" s="130"/>
      <c r="E66" s="138">
        <f>SUM(E54:E62)</f>
        <v>10958.07</v>
      </c>
      <c r="F66" s="107"/>
      <c r="G66" s="52"/>
      <c r="L66" s="42">
        <v>36</v>
      </c>
      <c r="M66" s="142" t="s">
        <v>503</v>
      </c>
      <c r="N66" s="42">
        <v>30</v>
      </c>
      <c r="O66" s="92">
        <f>(L66*N66)/144</f>
        <v>7.5</v>
      </c>
      <c r="P66" s="134">
        <v>6.81</v>
      </c>
      <c r="Q66" s="135">
        <f>+P66*O66</f>
        <v>51.074999999999996</v>
      </c>
      <c r="R66" s="247">
        <v>0</v>
      </c>
      <c r="S66" s="250">
        <f>+Q66*R66</f>
        <v>0</v>
      </c>
      <c r="U66" s="65" t="s">
        <v>631</v>
      </c>
      <c r="V66" s="59"/>
      <c r="W66" s="59"/>
      <c r="X66" s="59"/>
      <c r="Y66" s="59"/>
      <c r="Z66" s="60"/>
      <c r="AD66"/>
      <c r="AE66"/>
      <c r="AF66"/>
      <c r="AI66" s="168" t="s">
        <v>573</v>
      </c>
      <c r="AJ66" s="168"/>
      <c r="AK66" s="168"/>
      <c r="AL66" s="168"/>
      <c r="AM66" s="168"/>
      <c r="AN66" s="168"/>
      <c r="AO66" s="168"/>
      <c r="AP66" s="168"/>
      <c r="AQ66" s="168"/>
      <c r="AR66" s="168"/>
      <c r="AS66" s="168"/>
      <c r="AT66" s="168"/>
      <c r="AU66" s="168"/>
      <c r="AV66" s="168"/>
      <c r="CD66" s="41"/>
      <c r="CE66" s="41"/>
      <c r="CF66" s="41"/>
      <c r="CG66" s="41"/>
      <c r="CH66" s="41"/>
      <c r="CI66" s="41"/>
      <c r="CJ66" s="41"/>
      <c r="CK66" s="41"/>
      <c r="CL66" s="41"/>
      <c r="CM66" s="41"/>
      <c r="CN66" s="41"/>
    </row>
    <row r="67" spans="2:92" ht="17" customHeight="1">
      <c r="B67" s="55" t="s">
        <v>627</v>
      </c>
      <c r="C67" s="102"/>
      <c r="D67" s="102"/>
      <c r="E67" s="59"/>
      <c r="F67" s="272"/>
      <c r="G67" s="60"/>
      <c r="L67" s="42">
        <v>36</v>
      </c>
      <c r="M67" s="142" t="s">
        <v>503</v>
      </c>
      <c r="N67" s="42">
        <v>36</v>
      </c>
      <c r="O67" s="92">
        <f>(L67*N67)/144</f>
        <v>9</v>
      </c>
      <c r="P67" s="134">
        <v>6.81</v>
      </c>
      <c r="Q67" s="135">
        <f>+P67*O67</f>
        <v>61.29</v>
      </c>
      <c r="R67" s="247">
        <v>0</v>
      </c>
      <c r="S67" s="250">
        <f>+Q67*R67</f>
        <v>0</v>
      </c>
      <c r="AI67" s="168" t="s">
        <v>574</v>
      </c>
      <c r="AJ67" s="168"/>
      <c r="AK67" s="168"/>
      <c r="AL67" s="168"/>
      <c r="AM67" s="168"/>
      <c r="AN67" s="168"/>
      <c r="AO67" s="168"/>
      <c r="AP67" s="168"/>
      <c r="AQ67" s="168"/>
      <c r="AR67" s="168"/>
      <c r="AS67" s="168"/>
      <c r="AT67" s="168"/>
      <c r="AU67" s="168"/>
      <c r="AV67" s="168"/>
      <c r="CD67" s="41"/>
      <c r="CE67" s="41"/>
      <c r="CF67" s="41"/>
      <c r="CG67" s="41"/>
      <c r="CH67" s="41"/>
      <c r="CI67" s="41"/>
      <c r="CJ67" s="41"/>
      <c r="CK67" s="41"/>
      <c r="CL67" s="41"/>
      <c r="CM67" s="41"/>
      <c r="CN67" s="41"/>
    </row>
    <row r="68" spans="2:92" ht="17" customHeight="1">
      <c r="L68" s="42" t="s">
        <v>428</v>
      </c>
      <c r="M68" s="142" t="s">
        <v>503</v>
      </c>
      <c r="N68" s="42"/>
      <c r="O68" s="92">
        <v>9</v>
      </c>
      <c r="P68" s="134">
        <v>6.81</v>
      </c>
      <c r="Q68" s="135">
        <f>+P68*O68</f>
        <v>61.29</v>
      </c>
      <c r="R68" s="247">
        <v>0</v>
      </c>
      <c r="S68" s="250">
        <f>+Q68*R68</f>
        <v>0</v>
      </c>
      <c r="U68" s="262" t="s">
        <v>634</v>
      </c>
      <c r="V68" s="263"/>
      <c r="W68" s="263"/>
      <c r="X68" s="263"/>
      <c r="Y68" s="263"/>
      <c r="Z68" s="264"/>
      <c r="AI68" s="168" t="s">
        <v>575</v>
      </c>
      <c r="AJ68" s="168"/>
      <c r="AK68" s="168"/>
      <c r="AL68" s="168"/>
      <c r="AM68" s="168"/>
      <c r="AN68" s="168"/>
      <c r="AO68" s="168"/>
      <c r="AP68" s="168"/>
      <c r="AQ68" s="168"/>
      <c r="AR68" s="168"/>
      <c r="AS68" s="168"/>
      <c r="AT68" s="168"/>
      <c r="AU68" s="168"/>
      <c r="AV68" s="168"/>
      <c r="CD68" s="41"/>
      <c r="CE68" s="41"/>
      <c r="CF68" s="41"/>
      <c r="CG68" s="41"/>
      <c r="CH68" s="41"/>
      <c r="CI68" s="41"/>
      <c r="CJ68" s="41"/>
      <c r="CK68" s="41"/>
      <c r="CL68" s="41"/>
      <c r="CM68" s="41"/>
      <c r="CN68" s="41"/>
    </row>
    <row r="69" spans="2:92" ht="17" customHeight="1">
      <c r="B69" s="28" t="s">
        <v>486</v>
      </c>
      <c r="C69" s="29"/>
      <c r="D69" s="29"/>
      <c r="E69" s="29"/>
      <c r="F69" s="29"/>
      <c r="G69" s="86"/>
      <c r="H69" s="86"/>
      <c r="I69" s="86"/>
      <c r="J69" s="86"/>
      <c r="L69" s="42" t="s">
        <v>427</v>
      </c>
      <c r="M69" s="142" t="s">
        <v>503</v>
      </c>
      <c r="N69" s="42"/>
      <c r="O69" s="92">
        <v>16</v>
      </c>
      <c r="P69" s="134">
        <v>6.81</v>
      </c>
      <c r="Q69" s="135">
        <f>+P69*O69</f>
        <v>108.96</v>
      </c>
      <c r="R69" s="247">
        <v>0</v>
      </c>
      <c r="S69" s="250">
        <f>+Q69*R69</f>
        <v>0</v>
      </c>
      <c r="U69" s="30" t="s">
        <v>463</v>
      </c>
      <c r="V69" s="238" t="s">
        <v>487</v>
      </c>
      <c r="W69" s="47" t="s">
        <v>340</v>
      </c>
      <c r="X69" s="47" t="s">
        <v>339</v>
      </c>
      <c r="Y69" s="47" t="s">
        <v>448</v>
      </c>
      <c r="Z69" s="45" t="s">
        <v>352</v>
      </c>
      <c r="AI69" s="168" t="s">
        <v>576</v>
      </c>
      <c r="AJ69" s="168"/>
      <c r="AK69" s="168"/>
      <c r="AL69" s="168"/>
      <c r="AM69" s="168"/>
      <c r="AN69" s="168"/>
      <c r="AO69" s="168"/>
      <c r="AP69" s="168"/>
      <c r="AQ69" s="168"/>
      <c r="AR69" s="168"/>
      <c r="AS69" s="168"/>
      <c r="AT69" s="168"/>
      <c r="AU69" s="168"/>
      <c r="AV69" s="168"/>
      <c r="CD69" s="41"/>
      <c r="CE69" s="41"/>
      <c r="CF69" s="41"/>
      <c r="CG69" s="41"/>
      <c r="CH69" s="41"/>
      <c r="CI69" s="41"/>
      <c r="CJ69" s="41"/>
      <c r="CK69" s="41"/>
      <c r="CL69" s="41"/>
      <c r="CM69" s="41"/>
      <c r="CN69" s="41"/>
    </row>
    <row r="70" spans="2:92" ht="17" customHeight="1">
      <c r="B70" s="61"/>
      <c r="C70" s="62" t="s">
        <v>487</v>
      </c>
      <c r="D70" s="62" t="s">
        <v>457</v>
      </c>
      <c r="E70" s="62" t="s">
        <v>354</v>
      </c>
      <c r="F70" s="62" t="s">
        <v>485</v>
      </c>
      <c r="G70" s="99" t="s">
        <v>488</v>
      </c>
      <c r="H70" s="62" t="s">
        <v>490</v>
      </c>
      <c r="I70" s="99" t="s">
        <v>491</v>
      </c>
      <c r="J70" s="54" t="s">
        <v>629</v>
      </c>
      <c r="L70" s="42">
        <v>48</v>
      </c>
      <c r="M70" s="142" t="s">
        <v>503</v>
      </c>
      <c r="N70" s="42">
        <v>18</v>
      </c>
      <c r="O70" s="92">
        <f>(L70*N70)/144</f>
        <v>6</v>
      </c>
      <c r="P70" s="134">
        <v>6.81</v>
      </c>
      <c r="Q70" s="135">
        <f>+P70*O70</f>
        <v>40.86</v>
      </c>
      <c r="R70" s="247">
        <v>0</v>
      </c>
      <c r="S70" s="250">
        <f>+Q70*R70</f>
        <v>0</v>
      </c>
      <c r="U70" s="30" t="s">
        <v>25</v>
      </c>
      <c r="V70" s="247">
        <v>0</v>
      </c>
      <c r="W70" s="247">
        <v>0</v>
      </c>
      <c r="X70" s="247">
        <v>0</v>
      </c>
      <c r="Y70" s="265">
        <v>6.5000000000000002E-2</v>
      </c>
      <c r="Z70" s="30">
        <f>IFERROR(Y70*X70,"-")</f>
        <v>0</v>
      </c>
      <c r="AA70"/>
      <c r="AB70"/>
      <c r="AI70" s="168" t="s">
        <v>577</v>
      </c>
      <c r="AJ70" s="168"/>
      <c r="AK70" s="168"/>
      <c r="AL70" s="168"/>
      <c r="AM70" s="168"/>
      <c r="AN70" s="168"/>
      <c r="AO70" s="168"/>
      <c r="AP70" s="168"/>
      <c r="AQ70" s="168"/>
      <c r="AR70" s="168"/>
      <c r="AS70" s="168"/>
      <c r="AT70" s="168"/>
      <c r="AU70" s="168"/>
      <c r="AV70" s="168"/>
      <c r="BT70" s="41"/>
      <c r="BU70" s="41"/>
      <c r="BV70" s="41"/>
      <c r="BW70" s="41"/>
      <c r="BX70" s="41"/>
      <c r="BY70" s="41"/>
      <c r="BZ70" s="41"/>
      <c r="CA70" s="41"/>
      <c r="CB70" s="41"/>
      <c r="CC70" s="41"/>
      <c r="CD70" s="41"/>
      <c r="CE70" s="41"/>
      <c r="CF70" s="41"/>
      <c r="CG70" s="41"/>
      <c r="CH70" s="41"/>
      <c r="CI70" s="41"/>
      <c r="CJ70" s="41"/>
      <c r="CK70" s="41"/>
      <c r="CL70" s="41"/>
      <c r="CM70" s="41"/>
      <c r="CN70" s="41"/>
    </row>
    <row r="71" spans="2:92" ht="17" customHeight="1">
      <c r="B71" s="268" t="s">
        <v>350</v>
      </c>
      <c r="C71" s="128">
        <v>120</v>
      </c>
      <c r="D71" s="126">
        <v>50</v>
      </c>
      <c r="E71" s="126">
        <v>180</v>
      </c>
      <c r="F71" s="128">
        <f>(C71*2)/(365*5*0.75)</f>
        <v>0.17534246575342466</v>
      </c>
      <c r="G71" s="140">
        <v>0.05</v>
      </c>
      <c r="H71" s="128">
        <f>+F71*(1+G71)</f>
        <v>0.18410958904109589</v>
      </c>
      <c r="I71" s="290">
        <f>D71*E71*H71</f>
        <v>1656.986301369863</v>
      </c>
      <c r="J71" s="242">
        <f>3*365</f>
        <v>1095</v>
      </c>
      <c r="K71" s="132"/>
      <c r="L71" s="42">
        <v>48</v>
      </c>
      <c r="M71" s="142" t="s">
        <v>503</v>
      </c>
      <c r="N71" s="42">
        <v>24</v>
      </c>
      <c r="O71" s="92">
        <f>(L71*N71)/144</f>
        <v>8</v>
      </c>
      <c r="P71" s="134">
        <v>6.81</v>
      </c>
      <c r="Q71" s="135">
        <f>+P71*O71</f>
        <v>54.48</v>
      </c>
      <c r="R71" s="247">
        <v>0</v>
      </c>
      <c r="S71" s="250">
        <f>+Q71*R71</f>
        <v>0</v>
      </c>
      <c r="U71" s="30" t="s">
        <v>635</v>
      </c>
      <c r="V71" s="247">
        <v>0</v>
      </c>
      <c r="W71" s="247">
        <v>0</v>
      </c>
      <c r="X71" s="247">
        <v>0</v>
      </c>
      <c r="Y71" s="265">
        <v>0.18</v>
      </c>
      <c r="Z71" s="30">
        <f t="shared" ref="Z71:Z75" si="22">IFERROR(Y71*X71,"-")</f>
        <v>0</v>
      </c>
      <c r="AA71"/>
      <c r="AB71"/>
      <c r="AI71" s="168" t="s">
        <v>578</v>
      </c>
      <c r="AJ71" s="168"/>
      <c r="AK71" s="168"/>
      <c r="AL71" s="168"/>
      <c r="AM71" s="168"/>
      <c r="AN71" s="168"/>
      <c r="AO71" s="168"/>
      <c r="AP71" s="168"/>
      <c r="AQ71" s="168"/>
      <c r="AR71" s="168"/>
      <c r="AS71" s="168"/>
      <c r="AT71" s="168"/>
      <c r="AU71" s="168"/>
      <c r="AV71" s="168"/>
      <c r="BT71" s="41"/>
      <c r="BU71" s="41"/>
      <c r="BV71" s="41"/>
      <c r="BW71" s="41"/>
      <c r="BX71" s="41"/>
      <c r="BY71" s="41"/>
      <c r="BZ71" s="41"/>
      <c r="CA71" s="41"/>
      <c r="CB71" s="41"/>
      <c r="CC71" s="41"/>
      <c r="CD71" s="41"/>
      <c r="CE71" s="41"/>
      <c r="CF71" s="41"/>
      <c r="CG71" s="41"/>
      <c r="CH71" s="41"/>
      <c r="CI71" s="41"/>
      <c r="CJ71" s="41"/>
      <c r="CK71" s="41"/>
      <c r="CL71" s="41"/>
      <c r="CM71" s="41"/>
      <c r="CN71" s="41"/>
    </row>
    <row r="72" spans="2:92" ht="17" customHeight="1">
      <c r="B72" s="268" t="s">
        <v>348</v>
      </c>
      <c r="C72" s="128">
        <v>110</v>
      </c>
      <c r="D72" s="126">
        <v>50</v>
      </c>
      <c r="E72" s="126">
        <v>180</v>
      </c>
      <c r="F72" s="128">
        <f>(C72*2)/(365*5*0.75)</f>
        <v>0.16073059360730593</v>
      </c>
      <c r="G72" s="140">
        <v>0.05</v>
      </c>
      <c r="H72" s="128">
        <f>+F72*(1+G72)</f>
        <v>0.16876712328767124</v>
      </c>
      <c r="I72" s="290">
        <f>D72*E72*H72</f>
        <v>1518.9041095890411</v>
      </c>
      <c r="J72" s="242">
        <f>3*365</f>
        <v>1095</v>
      </c>
      <c r="K72" s="132"/>
      <c r="L72" s="42">
        <v>48</v>
      </c>
      <c r="M72" s="142" t="s">
        <v>503</v>
      </c>
      <c r="N72" s="42">
        <v>30</v>
      </c>
      <c r="O72" s="92">
        <f>(L72*N72)/144</f>
        <v>10</v>
      </c>
      <c r="P72" s="134">
        <v>6.81</v>
      </c>
      <c r="Q72" s="135">
        <f>+P72*O72</f>
        <v>68.099999999999994</v>
      </c>
      <c r="R72" s="247">
        <v>0</v>
      </c>
      <c r="S72" s="250">
        <f>+Q72*R72</f>
        <v>0</v>
      </c>
      <c r="U72" s="30" t="s">
        <v>636</v>
      </c>
      <c r="V72" s="247">
        <v>0</v>
      </c>
      <c r="W72" s="247">
        <v>0</v>
      </c>
      <c r="X72" s="247">
        <v>0</v>
      </c>
      <c r="Y72" s="265">
        <v>0.18</v>
      </c>
      <c r="Z72" s="30">
        <f t="shared" si="22"/>
        <v>0</v>
      </c>
      <c r="AI72" s="168" t="s">
        <v>579</v>
      </c>
      <c r="AJ72" s="168"/>
      <c r="AK72" s="168"/>
      <c r="AL72" s="168"/>
      <c r="AM72" s="168"/>
      <c r="AN72" s="168"/>
      <c r="AO72" s="168"/>
      <c r="AP72" s="168"/>
      <c r="AQ72" s="168"/>
      <c r="AR72" s="168"/>
      <c r="AS72" s="168"/>
      <c r="AT72" s="168"/>
      <c r="AU72" s="168"/>
      <c r="AV72" s="168"/>
      <c r="BT72" s="41"/>
      <c r="BU72" s="41"/>
      <c r="BV72" s="41"/>
      <c r="BW72" s="41"/>
      <c r="BX72" s="41"/>
      <c r="BY72" s="41"/>
      <c r="BZ72" s="41"/>
      <c r="CA72" s="41"/>
      <c r="CB72" s="41"/>
      <c r="CC72" s="41"/>
      <c r="CD72" s="41"/>
      <c r="CE72" s="41"/>
      <c r="CF72" s="41"/>
      <c r="CG72" s="41"/>
      <c r="CH72" s="41"/>
      <c r="CI72" s="41"/>
      <c r="CJ72" s="41"/>
      <c r="CK72" s="41"/>
      <c r="CL72" s="41"/>
      <c r="CM72" s="41"/>
      <c r="CN72" s="41"/>
    </row>
    <row r="73" spans="2:92" ht="17" customHeight="1">
      <c r="B73" s="268" t="s">
        <v>458</v>
      </c>
      <c r="C73" s="128">
        <v>98</v>
      </c>
      <c r="D73" s="126">
        <v>50</v>
      </c>
      <c r="E73" s="126">
        <v>180</v>
      </c>
      <c r="F73" s="128">
        <f t="shared" ref="F73:F77" si="23">(C73*2)/(365*5*0.75)</f>
        <v>0.14319634703196346</v>
      </c>
      <c r="G73" s="140">
        <v>0.05</v>
      </c>
      <c r="H73" s="128">
        <f>+F73*(1+G73)</f>
        <v>0.15035616438356164</v>
      </c>
      <c r="I73" s="290">
        <f>D73*E73*H73</f>
        <v>1353.2054794520548</v>
      </c>
      <c r="J73" s="242">
        <f>7*365</f>
        <v>2555</v>
      </c>
      <c r="K73" s="132"/>
      <c r="L73" s="42">
        <v>48</v>
      </c>
      <c r="M73" s="142" t="s">
        <v>503</v>
      </c>
      <c r="N73" s="42">
        <v>36</v>
      </c>
      <c r="O73" s="92">
        <f>(L73*N73)/144</f>
        <v>12</v>
      </c>
      <c r="P73" s="134">
        <v>6.81</v>
      </c>
      <c r="Q73" s="135">
        <f>+P73*O73</f>
        <v>81.72</v>
      </c>
      <c r="R73" s="247">
        <v>0</v>
      </c>
      <c r="S73" s="250">
        <f>+Q73*R73</f>
        <v>0</v>
      </c>
      <c r="U73" s="120" t="s">
        <v>637</v>
      </c>
      <c r="V73" s="247">
        <v>0</v>
      </c>
      <c r="W73" s="247">
        <v>0</v>
      </c>
      <c r="X73" s="247">
        <v>0</v>
      </c>
      <c r="Y73" s="265">
        <v>0.18</v>
      </c>
      <c r="Z73" s="30">
        <f t="shared" si="22"/>
        <v>0</v>
      </c>
      <c r="AI73" s="168" t="s">
        <v>580</v>
      </c>
      <c r="AJ73" s="168"/>
      <c r="AK73" s="168"/>
      <c r="AL73" s="168"/>
      <c r="AM73" s="168"/>
      <c r="AN73" s="168"/>
      <c r="AO73" s="168"/>
      <c r="AP73" s="168"/>
      <c r="AQ73" s="168"/>
      <c r="AR73" s="168"/>
      <c r="AS73" s="168"/>
      <c r="AT73" s="168"/>
      <c r="AU73" s="168"/>
      <c r="AV73" s="168"/>
      <c r="BT73" s="41"/>
      <c r="BU73" s="41"/>
      <c r="BV73" s="41"/>
      <c r="BW73" s="41"/>
      <c r="BX73" s="41"/>
      <c r="BY73" s="41"/>
      <c r="BZ73" s="41"/>
      <c r="CA73" s="41"/>
      <c r="CB73" s="41"/>
      <c r="CC73" s="41"/>
      <c r="CD73" s="41"/>
      <c r="CE73" s="41"/>
      <c r="CF73" s="41"/>
      <c r="CG73" s="41"/>
      <c r="CH73" s="41"/>
      <c r="CI73" s="41"/>
      <c r="CJ73" s="41"/>
      <c r="CK73" s="41"/>
      <c r="CL73" s="41"/>
      <c r="CM73" s="41"/>
      <c r="CN73" s="41"/>
    </row>
    <row r="74" spans="2:92" ht="17" customHeight="1">
      <c r="B74" s="268" t="s">
        <v>459</v>
      </c>
      <c r="C74" s="128">
        <v>112</v>
      </c>
      <c r="D74" s="126">
        <v>50</v>
      </c>
      <c r="E74" s="126">
        <v>180</v>
      </c>
      <c r="F74" s="128">
        <f t="shared" si="23"/>
        <v>0.16365296803652968</v>
      </c>
      <c r="G74" s="140">
        <v>0.05</v>
      </c>
      <c r="H74" s="128">
        <f>+F74*(1+G74)</f>
        <v>0.17183561643835618</v>
      </c>
      <c r="I74" s="298">
        <f>D74*E74*H74</f>
        <v>1546.5205479452056</v>
      </c>
      <c r="J74" s="242">
        <f>7*365</f>
        <v>2555</v>
      </c>
      <c r="K74" s="132"/>
      <c r="L74" s="42">
        <v>48</v>
      </c>
      <c r="M74" s="142" t="s">
        <v>503</v>
      </c>
      <c r="N74" s="42">
        <v>48</v>
      </c>
      <c r="O74" s="92">
        <f>(L74*N74)/144</f>
        <v>16</v>
      </c>
      <c r="P74" s="134">
        <v>6.81</v>
      </c>
      <c r="Q74" s="135">
        <f>+P74*O74</f>
        <v>108.96</v>
      </c>
      <c r="R74" s="247">
        <v>12</v>
      </c>
      <c r="S74" s="250">
        <f>+Q74*R74</f>
        <v>1307.52</v>
      </c>
      <c r="V74" s="247">
        <v>0</v>
      </c>
      <c r="W74" s="247">
        <v>0</v>
      </c>
      <c r="X74" s="247">
        <v>0</v>
      </c>
      <c r="Y74" s="265">
        <v>0.40476190476190477</v>
      </c>
      <c r="Z74" s="30">
        <f t="shared" si="22"/>
        <v>0</v>
      </c>
      <c r="AI74" s="168" t="s">
        <v>581</v>
      </c>
      <c r="AJ74" s="168"/>
      <c r="AK74" s="168"/>
      <c r="AL74" s="168"/>
      <c r="AM74" s="168"/>
      <c r="AN74" s="168"/>
      <c r="AO74" s="168"/>
      <c r="AP74" s="168"/>
      <c r="AQ74" s="168"/>
      <c r="AR74" s="168"/>
      <c r="AS74" s="168"/>
      <c r="AT74" s="168"/>
      <c r="AU74" s="168"/>
      <c r="AV74" s="168"/>
      <c r="BT74" s="41"/>
      <c r="BU74" s="41"/>
      <c r="BV74" s="41"/>
      <c r="BW74" s="41"/>
      <c r="BX74" s="41"/>
      <c r="BY74" s="41"/>
      <c r="BZ74" s="41"/>
      <c r="CA74" s="41"/>
      <c r="CB74" s="41"/>
      <c r="CC74" s="41"/>
      <c r="CD74" s="41"/>
      <c r="CE74" s="41"/>
      <c r="CF74" s="41"/>
      <c r="CG74" s="41"/>
      <c r="CH74" s="41"/>
      <c r="CI74" s="41"/>
      <c r="CJ74" s="41"/>
      <c r="CK74" s="41"/>
      <c r="CL74" s="41"/>
      <c r="CM74" s="41"/>
      <c r="CN74" s="41"/>
    </row>
    <row r="75" spans="2:92" ht="17" customHeight="1" thickBot="1">
      <c r="B75" s="268"/>
      <c r="C75" s="126"/>
      <c r="D75" s="126"/>
      <c r="E75" s="126"/>
      <c r="F75" s="128">
        <f t="shared" si="23"/>
        <v>0</v>
      </c>
      <c r="G75" s="140">
        <v>0.05</v>
      </c>
      <c r="H75" s="128">
        <f t="shared" ref="H75:H77" si="24">+F75*(1+G75)</f>
        <v>0</v>
      </c>
      <c r="I75" s="298">
        <f t="shared" ref="I75:I77" si="25">D75*E75*H75</f>
        <v>0</v>
      </c>
      <c r="J75" s="242">
        <f t="shared" ref="J75:J77" si="26">7*365</f>
        <v>2555</v>
      </c>
      <c r="K75" s="132"/>
      <c r="L75" s="42">
        <v>54</v>
      </c>
      <c r="M75" s="142" t="s">
        <v>503</v>
      </c>
      <c r="N75" s="42">
        <v>36</v>
      </c>
      <c r="O75" s="92">
        <f>(L75*N75)/144</f>
        <v>13.5</v>
      </c>
      <c r="P75" s="134">
        <v>6.81</v>
      </c>
      <c r="Q75" s="135">
        <f>+P75*O75</f>
        <v>91.934999999999988</v>
      </c>
      <c r="R75" s="247">
        <v>0</v>
      </c>
      <c r="S75" s="250">
        <f>+Q75*R75</f>
        <v>0</v>
      </c>
      <c r="V75" s="247">
        <v>0</v>
      </c>
      <c r="W75" s="247">
        <v>0</v>
      </c>
      <c r="X75" s="247">
        <v>0</v>
      </c>
      <c r="Y75" s="265">
        <v>0.40476190476190477</v>
      </c>
      <c r="Z75" s="30">
        <f t="shared" si="22"/>
        <v>0</v>
      </c>
      <c r="AI75" s="168" t="s">
        <v>582</v>
      </c>
      <c r="AJ75" s="168"/>
      <c r="AK75" s="168"/>
      <c r="AL75" s="168"/>
      <c r="AM75" s="168"/>
      <c r="AN75" s="168"/>
      <c r="AO75" s="168"/>
      <c r="AP75" s="168"/>
      <c r="AQ75" s="168"/>
      <c r="AR75" s="168"/>
      <c r="AS75" s="168"/>
      <c r="AT75" s="168"/>
      <c r="AU75" s="168"/>
      <c r="AV75" s="168"/>
      <c r="BT75" s="41"/>
      <c r="BU75" s="41"/>
      <c r="BV75" s="41"/>
      <c r="BW75" s="41"/>
      <c r="BX75" s="41"/>
      <c r="BY75" s="41"/>
      <c r="BZ75" s="41"/>
      <c r="CA75" s="41"/>
      <c r="CB75" s="41"/>
      <c r="CC75" s="41"/>
      <c r="CD75" s="41"/>
      <c r="CE75" s="41"/>
      <c r="CF75" s="41"/>
      <c r="CG75" s="41"/>
      <c r="CH75" s="41"/>
      <c r="CI75" s="41"/>
      <c r="CJ75" s="41"/>
      <c r="CK75" s="41"/>
      <c r="CL75" s="41"/>
      <c r="CM75" s="41"/>
      <c r="CN75" s="41"/>
    </row>
    <row r="76" spans="2:92" ht="17" customHeight="1" thickBot="1">
      <c r="B76" s="268"/>
      <c r="C76" s="126"/>
      <c r="D76" s="126"/>
      <c r="E76" s="126"/>
      <c r="F76" s="128">
        <f t="shared" si="23"/>
        <v>0</v>
      </c>
      <c r="G76" s="140">
        <v>0.05</v>
      </c>
      <c r="H76" s="128">
        <f t="shared" si="24"/>
        <v>0</v>
      </c>
      <c r="I76" s="298">
        <f t="shared" si="25"/>
        <v>0</v>
      </c>
      <c r="J76" s="242">
        <f t="shared" si="26"/>
        <v>2555</v>
      </c>
      <c r="K76" s="132"/>
      <c r="L76" s="42">
        <v>60</v>
      </c>
      <c r="M76" s="142" t="s">
        <v>503</v>
      </c>
      <c r="N76" s="42">
        <v>24</v>
      </c>
      <c r="O76" s="92">
        <f>(L76*N76)/144</f>
        <v>10</v>
      </c>
      <c r="P76" s="134">
        <v>6.81</v>
      </c>
      <c r="Q76" s="135">
        <f>+P76*O76</f>
        <v>68.099999999999994</v>
      </c>
      <c r="R76" s="247">
        <v>0</v>
      </c>
      <c r="S76" s="250">
        <f>+Q76*R76</f>
        <v>0</v>
      </c>
      <c r="U76" s="256" t="s">
        <v>638</v>
      </c>
      <c r="V76" s="241"/>
      <c r="W76" s="243"/>
      <c r="X76" s="241">
        <f>SUM(X70:X75)</f>
        <v>0</v>
      </c>
      <c r="Y76" s="240"/>
      <c r="Z76" s="241">
        <f>SUM(Z70:Z75)</f>
        <v>0</v>
      </c>
      <c r="AI76" s="168" t="s">
        <v>583</v>
      </c>
      <c r="AJ76" s="168"/>
      <c r="AK76" s="168"/>
      <c r="AL76" s="168"/>
      <c r="AM76" s="168"/>
      <c r="AN76" s="168"/>
      <c r="AO76" s="168"/>
      <c r="AP76" s="168"/>
      <c r="AQ76" s="168"/>
      <c r="AR76" s="168"/>
      <c r="AS76" s="168"/>
      <c r="AT76" s="168"/>
      <c r="AU76" s="168"/>
      <c r="AV76" s="168"/>
      <c r="BT76" s="41"/>
      <c r="BU76" s="41"/>
      <c r="BV76" s="41"/>
      <c r="BW76" s="41"/>
      <c r="BX76" s="41"/>
      <c r="BY76" s="41"/>
      <c r="BZ76" s="41"/>
      <c r="CA76" s="41"/>
      <c r="CB76" s="41"/>
      <c r="CC76" s="41"/>
      <c r="CD76" s="41"/>
      <c r="CE76" s="41"/>
      <c r="CF76" s="41"/>
      <c r="CG76" s="41"/>
      <c r="CH76" s="41"/>
      <c r="CI76" s="41"/>
      <c r="CJ76" s="41"/>
      <c r="CK76" s="41"/>
      <c r="CL76" s="41"/>
      <c r="CM76" s="41"/>
      <c r="CN76" s="41"/>
    </row>
    <row r="77" spans="2:92" ht="17" customHeight="1" thickBot="1">
      <c r="B77" s="269"/>
      <c r="C77" s="126"/>
      <c r="D77" s="126"/>
      <c r="E77" s="126"/>
      <c r="F77" s="128">
        <f t="shared" si="23"/>
        <v>0</v>
      </c>
      <c r="G77" s="140">
        <v>0.05</v>
      </c>
      <c r="H77" s="128">
        <f t="shared" si="24"/>
        <v>0</v>
      </c>
      <c r="I77" s="298">
        <f t="shared" si="25"/>
        <v>0</v>
      </c>
      <c r="J77" s="242">
        <f t="shared" si="26"/>
        <v>2555</v>
      </c>
      <c r="K77" s="132"/>
      <c r="L77" s="42">
        <v>60</v>
      </c>
      <c r="M77" s="142" t="s">
        <v>503</v>
      </c>
      <c r="N77" s="42">
        <v>30</v>
      </c>
      <c r="O77" s="92">
        <f>(L77*N77)/144</f>
        <v>12.5</v>
      </c>
      <c r="P77" s="134">
        <v>6.81</v>
      </c>
      <c r="Q77" s="135">
        <f>+P77*O77</f>
        <v>85.125</v>
      </c>
      <c r="R77" s="247">
        <v>0</v>
      </c>
      <c r="S77" s="250">
        <f>+Q77*R77</f>
        <v>0</v>
      </c>
      <c r="AI77" s="168" t="s">
        <v>584</v>
      </c>
      <c r="AJ77" s="168"/>
      <c r="AK77" s="168"/>
      <c r="AL77" s="168"/>
      <c r="AM77" s="168"/>
      <c r="AN77" s="168"/>
      <c r="AO77" s="168"/>
      <c r="AP77" s="168"/>
      <c r="AQ77" s="168"/>
      <c r="AR77" s="168"/>
      <c r="AS77" s="168"/>
      <c r="AT77" s="168"/>
      <c r="AU77" s="168"/>
      <c r="AV77" s="168"/>
      <c r="BT77" s="41"/>
      <c r="BU77" s="41"/>
      <c r="BV77" s="41"/>
      <c r="BW77" s="41"/>
      <c r="BX77" s="41"/>
      <c r="BY77" s="41"/>
      <c r="BZ77" s="41"/>
      <c r="CA77" s="41"/>
      <c r="CB77" s="41"/>
      <c r="CC77" s="41"/>
      <c r="CD77" s="41"/>
      <c r="CE77" s="41"/>
      <c r="CF77" s="41"/>
      <c r="CG77" s="41"/>
      <c r="CH77" s="41"/>
      <c r="CI77" s="41"/>
      <c r="CJ77" s="41"/>
      <c r="CK77" s="41"/>
      <c r="CL77" s="41"/>
      <c r="CM77" s="41"/>
      <c r="CN77" s="41"/>
    </row>
    <row r="78" spans="2:92" ht="17" customHeight="1" thickBot="1">
      <c r="B78" s="111" t="str">
        <f>"Total " &amp; B69&amp;""</f>
        <v>Total LIGHT AND DRUM RENTAL</v>
      </c>
      <c r="C78" s="112"/>
      <c r="D78" s="130"/>
      <c r="E78" s="131"/>
      <c r="F78" s="112"/>
      <c r="G78" s="130"/>
      <c r="H78" s="131"/>
      <c r="I78" s="241">
        <f>SUM(I74:I77)</f>
        <v>1546.5205479452056</v>
      </c>
      <c r="J78"/>
      <c r="L78" s="42">
        <v>60</v>
      </c>
      <c r="M78" s="142" t="s">
        <v>503</v>
      </c>
      <c r="N78" s="42">
        <v>48</v>
      </c>
      <c r="O78" s="92">
        <f>(L78*N78)/144</f>
        <v>20</v>
      </c>
      <c r="P78" s="134">
        <v>6.81</v>
      </c>
      <c r="Q78" s="135">
        <f>+P78*O78</f>
        <v>136.19999999999999</v>
      </c>
      <c r="R78" s="247">
        <v>0</v>
      </c>
      <c r="S78" s="250">
        <f>+Q78*R78</f>
        <v>0</v>
      </c>
      <c r="AI78" s="168" t="s">
        <v>585</v>
      </c>
      <c r="AJ78" s="168"/>
      <c r="AK78" s="168"/>
      <c r="AL78" s="168"/>
      <c r="AM78" s="168"/>
      <c r="AN78" s="168"/>
      <c r="AO78" s="168"/>
      <c r="AP78" s="168"/>
      <c r="AQ78" s="168"/>
      <c r="AR78" s="168"/>
      <c r="AS78" s="168"/>
      <c r="AT78" s="168"/>
      <c r="AU78" s="168"/>
      <c r="AV78" s="168"/>
      <c r="BT78" s="41"/>
      <c r="BU78" s="41"/>
      <c r="BV78" s="41"/>
      <c r="BW78" s="41"/>
      <c r="BX78" s="41"/>
      <c r="BY78" s="41"/>
      <c r="BZ78" s="41"/>
      <c r="CA78" s="41"/>
      <c r="CB78" s="41"/>
      <c r="CC78" s="41"/>
      <c r="CD78" s="41"/>
      <c r="CE78" s="41"/>
      <c r="CF78" s="41"/>
      <c r="CG78" s="41"/>
      <c r="CH78" s="41"/>
      <c r="CI78" s="41"/>
      <c r="CJ78" s="41"/>
      <c r="CK78" s="41"/>
      <c r="CL78" s="41"/>
      <c r="CM78" s="41"/>
      <c r="CN78" s="41"/>
    </row>
    <row r="79" spans="2:92" ht="17" customHeight="1">
      <c r="I79"/>
      <c r="J79"/>
      <c r="L79" s="42">
        <v>60</v>
      </c>
      <c r="M79" s="142" t="s">
        <v>503</v>
      </c>
      <c r="N79" s="42">
        <v>60</v>
      </c>
      <c r="O79" s="92">
        <f>(L79*N79)/144</f>
        <v>25</v>
      </c>
      <c r="P79" s="134">
        <v>6.81</v>
      </c>
      <c r="Q79" s="135">
        <f>+P79*O79</f>
        <v>170.25</v>
      </c>
      <c r="R79" s="247">
        <v>0</v>
      </c>
      <c r="S79" s="250">
        <f>+Q79*R79</f>
        <v>0</v>
      </c>
      <c r="AI79" s="168" t="s">
        <v>586</v>
      </c>
      <c r="AJ79" s="168"/>
      <c r="AK79" s="168"/>
      <c r="AL79" s="168"/>
      <c r="AM79" s="168"/>
      <c r="AN79" s="168"/>
      <c r="AO79" s="168"/>
      <c r="AP79" s="168"/>
      <c r="AQ79" s="168"/>
      <c r="AR79" s="168"/>
      <c r="AS79" s="168"/>
      <c r="AT79" s="168"/>
      <c r="AU79" s="168"/>
      <c r="AV79" s="168"/>
      <c r="BT79" s="41"/>
      <c r="BU79" s="41"/>
      <c r="BV79" s="41"/>
      <c r="BW79" s="41"/>
      <c r="BX79" s="41"/>
      <c r="BY79" s="41"/>
      <c r="BZ79" s="41"/>
      <c r="CA79" s="41"/>
      <c r="CB79" s="41"/>
      <c r="CC79" s="41"/>
      <c r="CD79" s="41"/>
      <c r="CE79" s="41"/>
      <c r="CF79" s="41"/>
      <c r="CG79" s="41"/>
      <c r="CH79" s="41"/>
      <c r="CI79" s="41"/>
      <c r="CJ79" s="41"/>
      <c r="CK79" s="41"/>
      <c r="CL79" s="41"/>
      <c r="CM79" s="41"/>
      <c r="CN79" s="41"/>
    </row>
    <row r="80" spans="2:92" ht="17" customHeight="1">
      <c r="B80" s="28" t="s">
        <v>645</v>
      </c>
      <c r="C80" s="29"/>
      <c r="D80" s="29"/>
      <c r="E80" s="29"/>
      <c r="F80"/>
      <c r="G80"/>
      <c r="I80"/>
      <c r="J80"/>
      <c r="L80" s="42">
        <v>72</v>
      </c>
      <c r="M80" s="142" t="s">
        <v>503</v>
      </c>
      <c r="N80" s="42">
        <v>36</v>
      </c>
      <c r="O80" s="92">
        <f>(L80*N80)/144</f>
        <v>18</v>
      </c>
      <c r="P80" s="134">
        <v>6.81</v>
      </c>
      <c r="Q80" s="135">
        <f>+P80*O80</f>
        <v>122.58</v>
      </c>
      <c r="R80" s="247">
        <v>0</v>
      </c>
      <c r="S80" s="250">
        <f>+Q80*R80</f>
        <v>0</v>
      </c>
      <c r="AI80" s="168" t="s">
        <v>587</v>
      </c>
      <c r="AJ80" s="168"/>
      <c r="AK80" s="168"/>
      <c r="AL80" s="168"/>
      <c r="AM80" s="168"/>
      <c r="AN80" s="168"/>
      <c r="AO80" s="168"/>
      <c r="AP80" s="168"/>
      <c r="AQ80" s="168"/>
      <c r="AR80" s="168"/>
      <c r="AS80" s="168"/>
      <c r="AT80" s="168"/>
      <c r="AU80" s="168"/>
      <c r="AV80" s="168"/>
      <c r="BT80" s="41"/>
      <c r="BU80" s="41"/>
      <c r="BV80" s="41"/>
      <c r="BW80" s="41"/>
      <c r="BX80" s="41"/>
      <c r="BY80" s="41"/>
      <c r="BZ80" s="41"/>
      <c r="CA80" s="41"/>
      <c r="CB80" s="41"/>
      <c r="CC80" s="41"/>
      <c r="CD80" s="41"/>
      <c r="CE80" s="41"/>
      <c r="CF80" s="41"/>
      <c r="CG80" s="41"/>
      <c r="CH80" s="41"/>
      <c r="CI80" s="41"/>
      <c r="CJ80" s="41"/>
      <c r="CK80" s="41"/>
      <c r="CL80" s="41"/>
      <c r="CM80" s="41"/>
      <c r="CN80" s="41"/>
    </row>
    <row r="81" spans="2:92" ht="17" customHeight="1">
      <c r="B81" s="61"/>
      <c r="C81" s="62" t="s">
        <v>352</v>
      </c>
      <c r="D81" s="62" t="s">
        <v>457</v>
      </c>
      <c r="E81" s="63" t="s">
        <v>491</v>
      </c>
      <c r="F81" s="132"/>
      <c r="J81" s="54"/>
      <c r="L81" s="42">
        <v>72</v>
      </c>
      <c r="M81" s="142" t="s">
        <v>503</v>
      </c>
      <c r="N81" s="42">
        <v>48</v>
      </c>
      <c r="O81" s="92">
        <f>(L81*N81)/144</f>
        <v>24</v>
      </c>
      <c r="P81" s="134">
        <v>6.81</v>
      </c>
      <c r="Q81" s="135">
        <f>+P81*O81</f>
        <v>163.44</v>
      </c>
      <c r="R81" s="247">
        <v>0</v>
      </c>
      <c r="S81" s="250">
        <f>+Q81*R81</f>
        <v>0</v>
      </c>
      <c r="AI81" s="168" t="s">
        <v>588</v>
      </c>
      <c r="AJ81" s="168"/>
      <c r="AK81" s="168"/>
      <c r="AL81" s="168"/>
      <c r="AM81" s="168"/>
      <c r="AN81" s="168"/>
      <c r="AO81" s="168"/>
      <c r="AP81" s="168"/>
      <c r="AQ81" s="168"/>
      <c r="AR81" s="168"/>
      <c r="AS81" s="168"/>
      <c r="AT81" s="168"/>
      <c r="AU81" s="168"/>
      <c r="AV81" s="168"/>
      <c r="BT81" s="41"/>
      <c r="BU81" s="41"/>
      <c r="BV81" s="41"/>
      <c r="BW81" s="41"/>
      <c r="BX81" s="41"/>
      <c r="BY81" s="41"/>
      <c r="BZ81" s="41"/>
      <c r="CA81" s="41"/>
      <c r="CB81" s="41"/>
      <c r="CC81" s="41"/>
      <c r="CD81" s="41"/>
      <c r="CE81" s="41"/>
      <c r="CF81" s="41"/>
      <c r="CG81" s="41"/>
      <c r="CH81" s="41"/>
      <c r="CI81" s="41"/>
      <c r="CJ81" s="41"/>
      <c r="CK81" s="41"/>
      <c r="CL81" s="41"/>
      <c r="CM81" s="41"/>
      <c r="CN81" s="41"/>
    </row>
    <row r="82" spans="2:92" ht="17" customHeight="1">
      <c r="B82" s="37" t="s">
        <v>492</v>
      </c>
      <c r="C82" s="267">
        <v>3800</v>
      </c>
      <c r="D82" s="126">
        <v>1</v>
      </c>
      <c r="E82" s="290">
        <f>+C82*D82</f>
        <v>3800</v>
      </c>
      <c r="F82" s="132"/>
      <c r="J82" s="91"/>
      <c r="L82" s="42">
        <v>72</v>
      </c>
      <c r="M82" s="142" t="s">
        <v>503</v>
      </c>
      <c r="N82" s="42">
        <v>60</v>
      </c>
      <c r="O82" s="92">
        <f>(L82*N82)/144</f>
        <v>30</v>
      </c>
      <c r="P82" s="134">
        <v>6.81</v>
      </c>
      <c r="Q82" s="135">
        <f>+P82*O82</f>
        <v>204.29999999999998</v>
      </c>
      <c r="R82" s="247">
        <v>0</v>
      </c>
      <c r="S82" s="250">
        <f>+Q82*R82</f>
        <v>0</v>
      </c>
      <c r="AI82" s="168" t="s">
        <v>589</v>
      </c>
      <c r="AJ82" s="168"/>
      <c r="AK82" s="168"/>
      <c r="AL82" s="168"/>
      <c r="AM82" s="168"/>
      <c r="AN82" s="168"/>
      <c r="AO82" s="168"/>
      <c r="AP82" s="168"/>
      <c r="AQ82" s="168"/>
      <c r="AR82" s="168"/>
      <c r="AS82" s="168"/>
      <c r="AT82" s="168"/>
      <c r="AU82" s="168"/>
      <c r="AV82" s="168"/>
      <c r="BT82" s="41"/>
      <c r="BU82" s="41"/>
      <c r="BV82" s="41"/>
      <c r="BW82" s="41"/>
      <c r="BX82" s="41"/>
      <c r="BY82" s="41"/>
      <c r="BZ82" s="41"/>
      <c r="CA82" s="41"/>
      <c r="CB82" s="41"/>
      <c r="CC82" s="41"/>
      <c r="CD82" s="41"/>
      <c r="CE82" s="41"/>
      <c r="CF82" s="41"/>
      <c r="CG82" s="41"/>
      <c r="CH82" s="41"/>
      <c r="CI82" s="41"/>
      <c r="CJ82" s="41"/>
      <c r="CK82" s="41"/>
      <c r="CL82" s="41"/>
      <c r="CM82" s="41"/>
      <c r="CN82" s="41"/>
    </row>
    <row r="83" spans="2:92" ht="17" customHeight="1">
      <c r="B83" s="37" t="s">
        <v>644</v>
      </c>
      <c r="C83" s="267">
        <v>750</v>
      </c>
      <c r="D83" s="126">
        <v>3</v>
      </c>
      <c r="E83" s="290">
        <f t="shared" ref="E83:E87" si="27">+C83*D83</f>
        <v>2250</v>
      </c>
      <c r="F83" s="132"/>
      <c r="J83" s="91"/>
      <c r="L83" s="42">
        <v>96</v>
      </c>
      <c r="M83" s="142" t="s">
        <v>503</v>
      </c>
      <c r="N83" s="42">
        <v>48</v>
      </c>
      <c r="O83" s="92">
        <f>(L83*N83)/144</f>
        <v>32</v>
      </c>
      <c r="P83" s="134">
        <v>6.81</v>
      </c>
      <c r="Q83" s="135">
        <f>+P83*O83</f>
        <v>217.92</v>
      </c>
      <c r="R83" s="247">
        <v>0</v>
      </c>
      <c r="S83" s="250">
        <f>+Q83*R83</f>
        <v>0</v>
      </c>
      <c r="AI83" s="168" t="s">
        <v>590</v>
      </c>
      <c r="AJ83" s="168"/>
      <c r="AK83" s="168"/>
      <c r="AL83" s="168"/>
      <c r="AM83" s="168"/>
      <c r="AN83" s="168"/>
      <c r="AO83" s="168"/>
      <c r="AP83" s="168"/>
      <c r="AQ83" s="168"/>
      <c r="AR83" s="168"/>
      <c r="AS83" s="168"/>
      <c r="AT83" s="168"/>
      <c r="AU83" s="168"/>
      <c r="AV83" s="168"/>
      <c r="BT83" s="41"/>
      <c r="BU83" s="41"/>
      <c r="BV83" s="41"/>
      <c r="BW83" s="41"/>
      <c r="BX83" s="41"/>
      <c r="BY83" s="41"/>
      <c r="BZ83" s="41"/>
      <c r="CA83" s="41"/>
      <c r="CB83" s="41"/>
      <c r="CC83" s="41"/>
      <c r="CD83" s="41"/>
      <c r="CE83" s="41"/>
      <c r="CF83" s="41"/>
      <c r="CG83" s="41"/>
      <c r="CH83" s="41"/>
      <c r="CI83" s="41"/>
      <c r="CJ83" s="41"/>
      <c r="CK83" s="41"/>
      <c r="CL83" s="41"/>
      <c r="CM83" s="41"/>
      <c r="CN83" s="41"/>
    </row>
    <row r="84" spans="2:92" ht="17" customHeight="1">
      <c r="B84" s="37" t="s">
        <v>635</v>
      </c>
      <c r="C84" s="267">
        <v>750</v>
      </c>
      <c r="D84" s="126">
        <v>3</v>
      </c>
      <c r="E84" s="290">
        <f t="shared" si="27"/>
        <v>2250</v>
      </c>
      <c r="F84" s="132"/>
      <c r="J84" s="91"/>
      <c r="L84" s="42"/>
      <c r="M84" s="142"/>
      <c r="N84" s="42"/>
      <c r="O84" s="92"/>
      <c r="P84" s="134"/>
      <c r="Q84" s="135"/>
      <c r="R84" s="247"/>
      <c r="S84" s="250"/>
      <c r="AI84" s="168" t="s">
        <v>591</v>
      </c>
      <c r="AJ84" s="168"/>
      <c r="AK84" s="168"/>
      <c r="AL84" s="168"/>
      <c r="AM84" s="168"/>
      <c r="AN84" s="168"/>
      <c r="AO84" s="168"/>
      <c r="AP84" s="168"/>
      <c r="AQ84" s="168"/>
      <c r="AR84" s="168"/>
      <c r="AS84" s="168"/>
      <c r="AT84" s="168"/>
      <c r="AU84" s="168"/>
      <c r="AV84" s="168"/>
    </row>
    <row r="85" spans="2:92" ht="17" customHeight="1">
      <c r="B85" s="268"/>
      <c r="C85" s="267"/>
      <c r="D85" s="126"/>
      <c r="E85" s="290">
        <f t="shared" si="27"/>
        <v>0</v>
      </c>
      <c r="F85" s="132"/>
      <c r="J85" s="91"/>
      <c r="L85" s="42"/>
      <c r="M85" s="142"/>
      <c r="N85" s="42"/>
      <c r="O85" s="92"/>
      <c r="P85" s="134"/>
      <c r="Q85" s="135"/>
      <c r="R85" s="247"/>
      <c r="S85" s="250"/>
      <c r="AI85" s="168" t="s">
        <v>592</v>
      </c>
      <c r="AJ85" s="168"/>
      <c r="AK85" s="168"/>
      <c r="AL85" s="168"/>
      <c r="AM85" s="168"/>
      <c r="AN85" s="168"/>
      <c r="AO85" s="168"/>
      <c r="AP85" s="168"/>
      <c r="AQ85" s="168"/>
      <c r="AR85" s="168"/>
      <c r="AS85" s="168"/>
      <c r="AT85" s="168"/>
      <c r="AU85" s="168"/>
      <c r="AV85" s="168"/>
    </row>
    <row r="86" spans="2:92" ht="17" customHeight="1" thickBot="1">
      <c r="B86" s="268"/>
      <c r="C86" s="267"/>
      <c r="D86" s="126"/>
      <c r="E86" s="290">
        <f t="shared" si="27"/>
        <v>0</v>
      </c>
      <c r="F86" s="132"/>
      <c r="L86" s="42"/>
      <c r="M86" s="142"/>
      <c r="N86" s="42"/>
      <c r="O86" s="92"/>
      <c r="P86" s="134"/>
      <c r="Q86" s="135"/>
      <c r="R86" s="247"/>
      <c r="S86" s="250"/>
      <c r="AI86" s="168" t="s">
        <v>593</v>
      </c>
      <c r="AJ86" s="168"/>
      <c r="AK86" s="168"/>
      <c r="AL86" s="168"/>
      <c r="AM86" s="168"/>
      <c r="AN86" s="168"/>
      <c r="AO86" s="168"/>
      <c r="AP86" s="168"/>
      <c r="AQ86" s="168"/>
      <c r="AR86" s="168"/>
      <c r="AS86" s="168"/>
      <c r="AT86" s="168"/>
      <c r="AU86" s="168"/>
      <c r="AV86" s="168"/>
    </row>
    <row r="87" spans="2:92" ht="17" customHeight="1" thickBot="1">
      <c r="B87" s="269"/>
      <c r="C87" s="267"/>
      <c r="D87" s="126"/>
      <c r="E87" s="290">
        <f t="shared" si="27"/>
        <v>0</v>
      </c>
      <c r="F87" s="132"/>
      <c r="L87" s="111" t="s">
        <v>367</v>
      </c>
      <c r="M87" s="112"/>
      <c r="N87" s="130"/>
      <c r="O87" s="131">
        <f>SUMPRODUCT(O49:O86,R49:R86)</f>
        <v>391.5</v>
      </c>
      <c r="P87" s="112"/>
      <c r="Q87" s="130"/>
      <c r="R87" s="143">
        <f>SUM(R49:R86)</f>
        <v>76</v>
      </c>
      <c r="S87" s="241">
        <f>SUM(S49:S86)</f>
        <v>2666.1149999999998</v>
      </c>
      <c r="AI87" s="168" t="s">
        <v>594</v>
      </c>
      <c r="AJ87" s="168"/>
      <c r="AK87" s="168"/>
      <c r="AL87" s="168"/>
      <c r="AM87" s="168"/>
      <c r="AN87" s="168"/>
      <c r="AO87" s="168"/>
      <c r="AP87" s="168"/>
      <c r="AQ87" s="168"/>
      <c r="AR87" s="168"/>
      <c r="AS87" s="168"/>
      <c r="AT87" s="168"/>
      <c r="AU87" s="168"/>
      <c r="AV87" s="168"/>
    </row>
    <row r="88" spans="2:92" ht="17" customHeight="1" thickBot="1">
      <c r="B88" s="111" t="str">
        <f>"Total " &amp; B80&amp;""</f>
        <v>Total CAPITAL EQUIPMENT RENTAL</v>
      </c>
      <c r="C88" s="112"/>
      <c r="D88" s="130"/>
      <c r="E88" s="241">
        <f>SUM(E82:E87)</f>
        <v>8300</v>
      </c>
      <c r="H88"/>
      <c r="I88"/>
      <c r="J88"/>
      <c r="AI88" s="168" t="s">
        <v>595</v>
      </c>
      <c r="AJ88" s="168"/>
      <c r="AK88" s="168"/>
      <c r="AL88" s="168"/>
      <c r="AM88" s="168"/>
      <c r="AN88" s="168"/>
      <c r="AO88" s="168"/>
      <c r="AP88" s="168"/>
      <c r="AQ88" s="168"/>
      <c r="AR88" s="168"/>
      <c r="AS88" s="168"/>
      <c r="AT88" s="168"/>
      <c r="AU88" s="168"/>
      <c r="AV88" s="168"/>
    </row>
    <row r="89" spans="2:92" ht="17" customHeight="1">
      <c r="H89"/>
      <c r="I89"/>
      <c r="J89"/>
      <c r="L89" s="58" t="s">
        <v>386</v>
      </c>
      <c r="M89" s="58"/>
      <c r="N89" s="58"/>
      <c r="O89" s="58"/>
      <c r="P89" s="58"/>
      <c r="Q89" s="58"/>
      <c r="R89" s="58"/>
      <c r="S89" s="58"/>
      <c r="AI89" s="168" t="s">
        <v>596</v>
      </c>
      <c r="AJ89" s="168"/>
      <c r="AK89" s="168"/>
      <c r="AL89" s="168"/>
      <c r="AM89" s="168"/>
      <c r="AN89" s="168"/>
      <c r="AO89" s="168"/>
      <c r="AP89" s="168"/>
      <c r="AQ89" s="168"/>
      <c r="AR89" s="168"/>
      <c r="AS89" s="168"/>
      <c r="AT89" s="168"/>
      <c r="AU89" s="168"/>
      <c r="AV89" s="168"/>
    </row>
    <row r="90" spans="2:92" ht="17" customHeight="1">
      <c r="H90"/>
      <c r="I90"/>
      <c r="J90"/>
      <c r="L90" s="34" t="s">
        <v>384</v>
      </c>
      <c r="M90" s="34"/>
      <c r="N90" s="34"/>
      <c r="O90" s="34" t="s">
        <v>379</v>
      </c>
      <c r="P90" s="34" t="s">
        <v>378</v>
      </c>
      <c r="Q90" s="34" t="s">
        <v>383</v>
      </c>
      <c r="R90" s="35" t="s">
        <v>382</v>
      </c>
      <c r="S90" s="36" t="s">
        <v>367</v>
      </c>
      <c r="AI90" s="168" t="s">
        <v>597</v>
      </c>
      <c r="AJ90" s="168"/>
      <c r="AK90" s="168"/>
      <c r="AL90" s="168"/>
      <c r="AM90" s="168"/>
      <c r="AN90" s="168"/>
      <c r="AO90" s="168"/>
      <c r="AP90" s="168"/>
      <c r="AQ90" s="168"/>
      <c r="AR90" s="168"/>
      <c r="AS90" s="168"/>
      <c r="AT90" s="168"/>
      <c r="AU90" s="168"/>
      <c r="AV90" s="168"/>
    </row>
    <row r="91" spans="2:92" ht="17" customHeight="1">
      <c r="H91"/>
      <c r="L91" s="34"/>
      <c r="M91" s="34"/>
      <c r="N91" s="34"/>
      <c r="O91" s="34"/>
      <c r="P91" s="34" t="s">
        <v>379</v>
      </c>
      <c r="Q91" s="34" t="s">
        <v>378</v>
      </c>
      <c r="R91" s="35" t="s">
        <v>377</v>
      </c>
      <c r="S91" s="40"/>
      <c r="AI91" s="168" t="s">
        <v>598</v>
      </c>
      <c r="AJ91" s="168"/>
      <c r="AK91" s="168"/>
      <c r="AL91" s="168"/>
      <c r="AM91" s="168"/>
      <c r="AN91" s="168"/>
      <c r="AO91" s="168"/>
      <c r="AP91" s="168"/>
      <c r="AQ91" s="168"/>
      <c r="AR91" s="168"/>
      <c r="AS91" s="168"/>
      <c r="AT91" s="168"/>
      <c r="AU91" s="168"/>
      <c r="AV91" s="168"/>
    </row>
    <row r="92" spans="2:92" ht="17" customHeight="1">
      <c r="H92"/>
      <c r="L92" s="247"/>
      <c r="M92" s="247"/>
      <c r="N92" s="247"/>
      <c r="O92" s="92">
        <f>(L92*N92)/144</f>
        <v>0</v>
      </c>
      <c r="P92" s="247">
        <v>2</v>
      </c>
      <c r="Q92" s="135">
        <f>O92*P92</f>
        <v>0</v>
      </c>
      <c r="R92" s="247">
        <v>2</v>
      </c>
      <c r="S92" s="136">
        <f>Q92*R92</f>
        <v>0</v>
      </c>
      <c r="AI92" s="168" t="s">
        <v>599</v>
      </c>
      <c r="AJ92" s="168"/>
      <c r="AK92" s="168"/>
      <c r="AL92" s="168"/>
      <c r="AM92" s="168"/>
      <c r="AN92" s="168"/>
      <c r="AO92" s="168"/>
      <c r="AP92" s="168"/>
      <c r="AQ92" s="168"/>
      <c r="AR92" s="168"/>
      <c r="AS92" s="168"/>
      <c r="AT92" s="168"/>
      <c r="AU92" s="168"/>
      <c r="AV92" s="168"/>
    </row>
    <row r="93" spans="2:92" ht="17" customHeight="1">
      <c r="H93"/>
      <c r="L93" s="247"/>
      <c r="M93" s="247"/>
      <c r="N93" s="247"/>
      <c r="O93" s="92">
        <f>(L93*N93)/144</f>
        <v>0</v>
      </c>
      <c r="P93" s="247">
        <v>2</v>
      </c>
      <c r="Q93" s="135">
        <f>O93*P93</f>
        <v>0</v>
      </c>
      <c r="R93" s="247">
        <v>2</v>
      </c>
      <c r="S93" s="136">
        <f>Q93*R93</f>
        <v>0</v>
      </c>
      <c r="AI93" s="168" t="s">
        <v>600</v>
      </c>
      <c r="AJ93" s="168"/>
      <c r="AK93" s="168"/>
      <c r="AL93" s="168"/>
      <c r="AM93" s="168"/>
      <c r="AN93" s="168"/>
      <c r="AO93" s="168"/>
      <c r="AP93" s="168"/>
      <c r="AQ93" s="168"/>
      <c r="AR93" s="168"/>
      <c r="AS93" s="168"/>
      <c r="AT93" s="168"/>
      <c r="AU93" s="168"/>
      <c r="AV93" s="168"/>
    </row>
    <row r="94" spans="2:92" ht="17" customHeight="1" thickBot="1">
      <c r="L94" s="247"/>
      <c r="M94" s="247"/>
      <c r="N94" s="247"/>
      <c r="O94" s="92">
        <f>(L94*N94)/144</f>
        <v>0</v>
      </c>
      <c r="P94" s="247">
        <v>2</v>
      </c>
      <c r="Q94" s="135">
        <f>O94*P94</f>
        <v>0</v>
      </c>
      <c r="R94" s="247">
        <v>2</v>
      </c>
      <c r="S94" s="136">
        <f>Q94*R94</f>
        <v>0</v>
      </c>
      <c r="AI94" s="168" t="s">
        <v>601</v>
      </c>
      <c r="AJ94" s="168"/>
      <c r="AK94" s="168"/>
      <c r="AL94" s="168"/>
      <c r="AM94" s="168"/>
      <c r="AN94" s="168"/>
      <c r="AO94" s="168"/>
      <c r="AP94" s="168"/>
      <c r="AQ94" s="168"/>
      <c r="AR94" s="168"/>
      <c r="AS94" s="168"/>
      <c r="AT94" s="168"/>
      <c r="AU94" s="168"/>
      <c r="AV94" s="168"/>
    </row>
    <row r="95" spans="2:92" ht="17" customHeight="1" thickBot="1">
      <c r="L95" s="111" t="s">
        <v>367</v>
      </c>
      <c r="M95" s="112"/>
      <c r="N95" s="130"/>
      <c r="O95" s="249">
        <f>SUMPRODUCT(O92:O94,R92:R94)</f>
        <v>0</v>
      </c>
      <c r="P95" s="112"/>
      <c r="Q95" s="130"/>
      <c r="R95" s="143">
        <f>SUM(R92:R94)</f>
        <v>6</v>
      </c>
      <c r="S95" s="241">
        <f>SUM(S92:S94)</f>
        <v>0</v>
      </c>
      <c r="AI95" s="168" t="s">
        <v>602</v>
      </c>
      <c r="AJ95" s="168"/>
      <c r="AK95" s="168"/>
      <c r="AL95" s="168"/>
      <c r="AM95" s="168"/>
      <c r="AN95" s="168"/>
      <c r="AO95" s="168"/>
      <c r="AP95" s="168"/>
      <c r="AQ95" s="168"/>
      <c r="AR95" s="168"/>
      <c r="AS95" s="168"/>
      <c r="AT95" s="168"/>
      <c r="AU95" s="168"/>
      <c r="AV95" s="168"/>
      <c r="BK95" s="44"/>
      <c r="BL95" s="44"/>
      <c r="BM95" s="32"/>
      <c r="BN95" s="32"/>
    </row>
    <row r="96" spans="2:92" ht="17" customHeight="1">
      <c r="AI96" s="233"/>
      <c r="AJ96" s="233"/>
      <c r="AK96" s="233"/>
      <c r="AL96" s="233"/>
      <c r="AM96" s="233"/>
      <c r="AN96" s="233"/>
      <c r="AO96" s="233"/>
      <c r="AP96" s="233"/>
      <c r="AQ96" s="233"/>
      <c r="AR96" s="233"/>
      <c r="AS96" s="233"/>
      <c r="AT96" s="233"/>
      <c r="AU96" s="233"/>
      <c r="AV96" s="233"/>
    </row>
    <row r="97" spans="2:66" ht="17" customHeight="1">
      <c r="B97" s="28" t="s">
        <v>493</v>
      </c>
      <c r="C97" s="29"/>
      <c r="D97" s="29"/>
      <c r="E97" s="29"/>
      <c r="F97" s="29"/>
      <c r="G97" s="86"/>
      <c r="H97" s="86"/>
      <c r="L97"/>
      <c r="M97"/>
      <c r="N97"/>
      <c r="O97"/>
      <c r="P97"/>
      <c r="Q97"/>
      <c r="R97"/>
      <c r="S97"/>
      <c r="AI97"/>
      <c r="AJ97"/>
      <c r="AK97"/>
      <c r="AL97"/>
      <c r="AM97"/>
      <c r="AN97"/>
      <c r="AO97"/>
      <c r="AP97"/>
      <c r="AQ97"/>
      <c r="AR97"/>
      <c r="AS97"/>
      <c r="AT97"/>
      <c r="AU97"/>
      <c r="AV97"/>
    </row>
    <row r="98" spans="2:66" ht="17" customHeight="1">
      <c r="C98" s="98" t="s">
        <v>410</v>
      </c>
      <c r="I98"/>
      <c r="J98"/>
      <c r="K98"/>
      <c r="AI98" s="229" t="s">
        <v>603</v>
      </c>
      <c r="AJ98" s="229"/>
      <c r="AK98" s="229"/>
      <c r="AL98" s="229"/>
      <c r="AM98"/>
      <c r="AN98"/>
      <c r="AO98"/>
      <c r="AP98"/>
      <c r="AQ98"/>
      <c r="AR98"/>
      <c r="AS98"/>
      <c r="AT98"/>
      <c r="AU98"/>
      <c r="AV98"/>
    </row>
    <row r="99" spans="2:66" ht="17" customHeight="1">
      <c r="B99" s="38" t="s">
        <v>494</v>
      </c>
      <c r="C99" s="100" t="s">
        <v>398</v>
      </c>
      <c r="I99"/>
      <c r="J99"/>
      <c r="K99"/>
      <c r="AI99" s="234" t="s">
        <v>604</v>
      </c>
      <c r="AJ99" s="234"/>
      <c r="AK99" s="234"/>
      <c r="AL99" s="234"/>
      <c r="AM99" s="234"/>
      <c r="AN99" s="234"/>
      <c r="AO99" s="234"/>
      <c r="AP99" s="234"/>
      <c r="AQ99" s="234"/>
      <c r="AR99" s="234"/>
      <c r="AS99" s="234"/>
      <c r="AT99" s="234"/>
      <c r="AU99" s="234"/>
      <c r="AV99" s="234"/>
    </row>
    <row r="100" spans="2:66" ht="17" customHeight="1">
      <c r="B100" s="38" t="s">
        <v>291</v>
      </c>
      <c r="C100" s="100" t="s">
        <v>477</v>
      </c>
      <c r="I100"/>
      <c r="J100"/>
      <c r="K100"/>
      <c r="AI100" s="235" t="s">
        <v>605</v>
      </c>
      <c r="AJ100" s="234"/>
      <c r="AK100" s="234"/>
      <c r="AL100" s="234"/>
      <c r="AM100" s="234"/>
      <c r="AN100" s="234"/>
      <c r="AO100" s="234"/>
      <c r="AP100" s="234"/>
      <c r="AQ100" s="234"/>
      <c r="AR100" s="234"/>
      <c r="AS100" s="234"/>
      <c r="AT100" s="234"/>
      <c r="AU100" s="234"/>
      <c r="AV100" s="234"/>
    </row>
    <row r="101" spans="2:66" ht="17" customHeight="1">
      <c r="C101" s="100" t="s">
        <v>477</v>
      </c>
      <c r="I101"/>
      <c r="J101"/>
      <c r="K101"/>
      <c r="AI101" s="235"/>
      <c r="AJ101" s="234"/>
      <c r="AK101" s="234"/>
      <c r="AL101" s="234"/>
      <c r="AM101" s="234"/>
      <c r="AN101" s="234"/>
      <c r="AO101" s="234"/>
      <c r="AP101" s="234"/>
      <c r="AQ101" s="234"/>
      <c r="AR101" s="234"/>
      <c r="AS101" s="234"/>
      <c r="AT101" s="234"/>
      <c r="AU101" s="234"/>
      <c r="AV101" s="234"/>
    </row>
    <row r="102" spans="2:66" ht="17" customHeight="1">
      <c r="C102" s="100" t="s">
        <v>477</v>
      </c>
      <c r="I102"/>
      <c r="J102"/>
      <c r="K102"/>
      <c r="AI102" s="234" t="s">
        <v>606</v>
      </c>
      <c r="AJ102" s="234"/>
      <c r="AK102" s="234"/>
      <c r="AL102" s="234"/>
      <c r="AM102" s="234"/>
      <c r="AN102" s="234"/>
      <c r="AO102" s="234"/>
      <c r="AP102" s="234"/>
      <c r="AQ102" s="234"/>
      <c r="AR102" s="234"/>
      <c r="AS102" s="234"/>
      <c r="AT102" s="234"/>
      <c r="AU102" s="234"/>
      <c r="AV102" s="234"/>
    </row>
    <row r="103" spans="2:66" ht="17" customHeight="1">
      <c r="B103" s="54" t="s">
        <v>431</v>
      </c>
      <c r="C103" s="100" t="s">
        <v>477</v>
      </c>
      <c r="D103" s="39">
        <v>1.1499999999999999</v>
      </c>
      <c r="I103"/>
      <c r="J103"/>
      <c r="K103"/>
      <c r="AI103" s="234" t="s">
        <v>607</v>
      </c>
      <c r="AJ103" s="234"/>
      <c r="AK103" s="234"/>
      <c r="AL103" s="234"/>
      <c r="AM103" s="234"/>
      <c r="AN103" s="234"/>
      <c r="AO103" s="234"/>
      <c r="AP103" s="234"/>
      <c r="AQ103" s="234"/>
      <c r="AR103" s="234"/>
      <c r="AS103" s="234"/>
      <c r="AT103" s="234"/>
      <c r="AU103" s="234"/>
      <c r="AV103" s="234"/>
    </row>
    <row r="104" spans="2:66" ht="17" customHeight="1">
      <c r="B104" s="54" t="s">
        <v>451</v>
      </c>
      <c r="C104" s="100" t="s">
        <v>477</v>
      </c>
      <c r="D104" s="39">
        <v>3.45</v>
      </c>
      <c r="I104"/>
      <c r="J104"/>
      <c r="K104"/>
      <c r="AI104" s="234" t="s">
        <v>608</v>
      </c>
      <c r="AJ104" s="234"/>
      <c r="AK104" s="234"/>
      <c r="AL104" s="234"/>
      <c r="AM104" s="234"/>
      <c r="AN104" s="234"/>
      <c r="AO104" s="234"/>
      <c r="AP104" s="234"/>
      <c r="AQ104" s="234"/>
      <c r="AR104" s="234"/>
      <c r="AS104" s="234"/>
      <c r="AT104" s="234"/>
      <c r="AU104" s="234"/>
      <c r="AV104" s="234"/>
    </row>
    <row r="105" spans="2:66" ht="17" customHeight="1">
      <c r="B105" s="83" t="s">
        <v>432</v>
      </c>
      <c r="C105" s="100" t="s">
        <v>477</v>
      </c>
      <c r="D105" s="56">
        <v>10</v>
      </c>
      <c r="I105"/>
      <c r="J105"/>
      <c r="K105"/>
      <c r="L105"/>
      <c r="M105"/>
      <c r="N105"/>
      <c r="O105"/>
      <c r="P105"/>
      <c r="Q105"/>
      <c r="R105"/>
      <c r="S105"/>
      <c r="AI105" s="234"/>
      <c r="AJ105" s="234"/>
      <c r="AK105" s="234"/>
      <c r="AL105" s="234"/>
      <c r="AM105" s="234"/>
      <c r="AN105" s="234"/>
      <c r="AO105" s="234"/>
      <c r="AP105" s="234"/>
      <c r="AQ105" s="234"/>
      <c r="AR105" s="234"/>
      <c r="AS105" s="234"/>
      <c r="AT105" s="234"/>
      <c r="AU105" s="234"/>
      <c r="AV105" s="234"/>
      <c r="BK105" s="44"/>
      <c r="BL105" s="44"/>
      <c r="BM105" s="32"/>
      <c r="BN105" s="32"/>
    </row>
    <row r="106" spans="2:66" ht="17" customHeight="1">
      <c r="B106"/>
      <c r="C106"/>
      <c r="H106"/>
      <c r="I106"/>
      <c r="J106"/>
      <c r="K106"/>
      <c r="L106"/>
      <c r="M106"/>
      <c r="N106"/>
      <c r="O106"/>
      <c r="P106"/>
      <c r="Q106"/>
      <c r="R106"/>
      <c r="S106"/>
      <c r="AI106" s="234" t="s">
        <v>609</v>
      </c>
      <c r="AJ106" s="234"/>
      <c r="AK106" s="234"/>
      <c r="AL106" s="234"/>
      <c r="AM106" s="234"/>
      <c r="AN106" s="234"/>
      <c r="AO106" s="234"/>
      <c r="AP106" s="234"/>
      <c r="AQ106" s="234"/>
      <c r="AR106" s="234"/>
      <c r="AS106" s="234"/>
      <c r="AT106" s="234"/>
      <c r="AU106" s="234"/>
      <c r="AV106" s="234"/>
      <c r="BK106" s="44"/>
      <c r="BL106" s="44"/>
      <c r="BM106" s="32"/>
      <c r="BN106" s="32"/>
    </row>
    <row r="107" spans="2:66" ht="17" customHeight="1">
      <c r="B107"/>
      <c r="C107"/>
      <c r="H107"/>
      <c r="I107"/>
      <c r="J107"/>
      <c r="K107"/>
      <c r="L107"/>
      <c r="M107"/>
      <c r="N107"/>
      <c r="O107"/>
      <c r="P107"/>
      <c r="Q107"/>
      <c r="R107"/>
      <c r="S107"/>
      <c r="AI107" s="234" t="s">
        <v>610</v>
      </c>
      <c r="AJ107" s="234"/>
      <c r="AK107" s="234"/>
      <c r="AL107" s="234"/>
      <c r="AM107" s="234"/>
      <c r="AN107" s="234"/>
      <c r="AO107" s="234"/>
      <c r="AP107" s="234"/>
      <c r="AQ107" s="234"/>
      <c r="AR107" s="234"/>
      <c r="AS107" s="234"/>
      <c r="AT107" s="234"/>
      <c r="AU107" s="234"/>
      <c r="AV107" s="234"/>
    </row>
    <row r="108" spans="2:66" ht="17" customHeight="1">
      <c r="B108"/>
      <c r="C108"/>
      <c r="H108"/>
      <c r="I108"/>
      <c r="J108"/>
      <c r="K108"/>
      <c r="L108"/>
      <c r="M108"/>
      <c r="N108"/>
      <c r="O108"/>
      <c r="P108"/>
      <c r="Q108"/>
      <c r="R108"/>
      <c r="S108"/>
      <c r="AI108" s="234"/>
      <c r="AJ108" s="234"/>
      <c r="AK108" s="234"/>
      <c r="AL108" s="234"/>
      <c r="AM108" s="234"/>
      <c r="AN108" s="234"/>
      <c r="AO108" s="234"/>
      <c r="AP108" s="234"/>
      <c r="AQ108" s="234"/>
      <c r="AR108" s="234"/>
      <c r="AS108" s="234"/>
      <c r="AT108" s="234"/>
      <c r="AU108" s="234"/>
      <c r="AV108" s="234"/>
    </row>
    <row r="109" spans="2:66" ht="17" customHeight="1">
      <c r="B109"/>
      <c r="C109"/>
      <c r="H109"/>
      <c r="I109"/>
      <c r="J109"/>
      <c r="K109"/>
      <c r="L109"/>
      <c r="M109"/>
      <c r="N109"/>
      <c r="O109"/>
      <c r="P109"/>
      <c r="Q109"/>
      <c r="R109"/>
      <c r="S109"/>
      <c r="AI109" s="234" t="s">
        <v>611</v>
      </c>
      <c r="AJ109" s="234"/>
      <c r="AK109" s="234"/>
      <c r="AL109" s="234"/>
      <c r="AM109" s="234"/>
      <c r="AN109" s="234"/>
      <c r="AO109" s="234"/>
      <c r="AP109" s="234"/>
      <c r="AQ109" s="234"/>
      <c r="AR109" s="234"/>
      <c r="AS109" s="234"/>
      <c r="AT109" s="234"/>
      <c r="AU109" s="234"/>
      <c r="AV109" s="234"/>
    </row>
    <row r="110" spans="2:66" ht="17" customHeight="1">
      <c r="H110"/>
      <c r="I110"/>
      <c r="J110"/>
      <c r="K110"/>
      <c r="L110"/>
      <c r="M110"/>
      <c r="N110"/>
      <c r="O110"/>
      <c r="P110"/>
      <c r="Q110"/>
      <c r="R110"/>
      <c r="S110"/>
      <c r="AI110" s="234" t="s">
        <v>612</v>
      </c>
      <c r="AJ110" s="234"/>
      <c r="AK110" s="234"/>
      <c r="AL110" s="234"/>
      <c r="AM110" s="234"/>
      <c r="AN110" s="234"/>
      <c r="AO110" s="234"/>
      <c r="AP110" s="234"/>
      <c r="AQ110" s="234"/>
      <c r="AR110" s="234"/>
      <c r="AS110" s="234"/>
      <c r="AT110" s="234"/>
      <c r="AU110" s="234"/>
      <c r="AV110" s="234"/>
      <c r="BK110" s="44"/>
      <c r="BL110" s="44"/>
      <c r="BM110" s="32"/>
      <c r="BN110" s="32"/>
    </row>
    <row r="111" spans="2:66" ht="17" customHeight="1">
      <c r="H111"/>
      <c r="I111"/>
      <c r="J111"/>
      <c r="K111"/>
      <c r="L111"/>
      <c r="M111"/>
      <c r="N111"/>
      <c r="O111"/>
      <c r="P111"/>
      <c r="Q111"/>
      <c r="R111"/>
      <c r="S111"/>
      <c r="AI111" s="234" t="s">
        <v>613</v>
      </c>
      <c r="AJ111" s="234"/>
      <c r="AK111" s="234"/>
      <c r="AL111" s="234"/>
      <c r="AM111" s="234"/>
      <c r="AN111" s="234"/>
      <c r="AO111" s="234"/>
      <c r="AP111" s="234"/>
      <c r="AQ111" s="234"/>
      <c r="AR111" s="234"/>
      <c r="AS111" s="234"/>
      <c r="AT111" s="234"/>
      <c r="AU111" s="234"/>
      <c r="AV111" s="234"/>
      <c r="BK111" s="44"/>
      <c r="BL111" s="44"/>
      <c r="BM111" s="32"/>
      <c r="BN111" s="32"/>
    </row>
    <row r="112" spans="2:66" ht="17" customHeight="1">
      <c r="L112"/>
      <c r="M112"/>
      <c r="N112"/>
      <c r="O112"/>
      <c r="P112"/>
      <c r="Q112"/>
      <c r="R112"/>
      <c r="S112"/>
      <c r="AI112" s="234"/>
      <c r="AJ112" s="234"/>
      <c r="AK112" s="234"/>
      <c r="AL112" s="234"/>
      <c r="AM112" s="234"/>
      <c r="AN112" s="234"/>
      <c r="AO112" s="234"/>
      <c r="AP112" s="234"/>
      <c r="AQ112" s="234"/>
      <c r="AR112" s="234"/>
      <c r="AS112" s="234"/>
      <c r="AT112" s="234"/>
      <c r="AU112" s="234"/>
      <c r="AV112" s="234"/>
      <c r="BK112" s="44"/>
      <c r="BL112" s="44"/>
      <c r="BM112" s="32"/>
      <c r="BN112" s="32"/>
    </row>
    <row r="113" spans="9:48" ht="17" customHeight="1">
      <c r="I113" s="133"/>
      <c r="J113" s="133"/>
      <c r="L113"/>
      <c r="M113"/>
      <c r="N113"/>
      <c r="O113"/>
      <c r="P113"/>
      <c r="Q113"/>
      <c r="R113"/>
      <c r="S113"/>
      <c r="AI113" s="234" t="s">
        <v>614</v>
      </c>
      <c r="AJ113" s="234"/>
      <c r="AK113" s="234"/>
      <c r="AL113" s="234"/>
      <c r="AM113" s="234"/>
      <c r="AN113" s="234"/>
      <c r="AO113" s="234"/>
      <c r="AP113" s="234"/>
      <c r="AQ113" s="234"/>
      <c r="AR113" s="234"/>
      <c r="AS113" s="234"/>
      <c r="AT113" s="234"/>
      <c r="AU113" s="234"/>
      <c r="AV113" s="234"/>
    </row>
    <row r="114" spans="9:48" ht="17" customHeight="1">
      <c r="L114"/>
      <c r="M114"/>
      <c r="N114"/>
      <c r="O114"/>
      <c r="P114"/>
      <c r="Q114"/>
      <c r="R114"/>
      <c r="S114"/>
      <c r="AI114" s="234"/>
      <c r="AJ114" s="234"/>
      <c r="AK114" s="234"/>
      <c r="AL114" s="234"/>
      <c r="AM114" s="234"/>
      <c r="AN114" s="234"/>
      <c r="AO114" s="234"/>
      <c r="AP114" s="234"/>
      <c r="AQ114" s="234"/>
      <c r="AR114" s="234"/>
      <c r="AS114" s="234"/>
      <c r="AT114" s="234"/>
      <c r="AU114" s="234"/>
      <c r="AV114" s="234"/>
    </row>
    <row r="115" spans="9:48" ht="17" customHeight="1">
      <c r="L115"/>
      <c r="M115"/>
      <c r="N115"/>
      <c r="O115"/>
      <c r="P115"/>
      <c r="Q115"/>
      <c r="R115"/>
      <c r="S115"/>
      <c r="AI115" s="236" t="s">
        <v>615</v>
      </c>
      <c r="AJ115" s="234"/>
      <c r="AK115" s="234"/>
      <c r="AL115" s="234"/>
      <c r="AM115" s="234"/>
      <c r="AN115" s="234"/>
      <c r="AO115" s="234"/>
      <c r="AP115" s="234"/>
      <c r="AQ115" s="234"/>
      <c r="AR115" s="234"/>
      <c r="AS115" s="234"/>
      <c r="AT115" s="234"/>
      <c r="AU115" s="234"/>
      <c r="AV115" s="234"/>
    </row>
    <row r="116" spans="9:48" ht="17" customHeight="1">
      <c r="L116"/>
      <c r="M116"/>
      <c r="N116"/>
      <c r="O116"/>
      <c r="P116"/>
      <c r="Q116"/>
      <c r="R116"/>
      <c r="S116"/>
      <c r="AI116" s="236" t="s">
        <v>616</v>
      </c>
      <c r="AJ116" s="234"/>
      <c r="AK116" s="234"/>
      <c r="AL116" s="234"/>
      <c r="AM116" s="234"/>
      <c r="AN116" s="234"/>
      <c r="AO116" s="234"/>
      <c r="AP116" s="234"/>
      <c r="AQ116" s="234"/>
      <c r="AR116" s="234"/>
      <c r="AS116" s="234"/>
      <c r="AT116" s="234"/>
      <c r="AU116" s="234"/>
      <c r="AV116" s="234"/>
    </row>
    <row r="117" spans="9:48" ht="17" customHeight="1">
      <c r="AI117" s="236" t="s">
        <v>617</v>
      </c>
      <c r="AJ117" s="234"/>
      <c r="AK117" s="234"/>
      <c r="AL117" s="234"/>
      <c r="AM117" s="234"/>
      <c r="AN117" s="234"/>
      <c r="AO117" s="234"/>
      <c r="AP117" s="234"/>
      <c r="AQ117" s="234"/>
      <c r="AR117" s="234"/>
      <c r="AS117" s="234"/>
      <c r="AT117" s="234"/>
      <c r="AU117" s="234"/>
      <c r="AV117" s="234"/>
    </row>
    <row r="118" spans="9:48" ht="17" customHeight="1">
      <c r="AI118" s="236" t="s">
        <v>618</v>
      </c>
      <c r="AJ118" s="234"/>
      <c r="AK118" s="234"/>
      <c r="AL118" s="234"/>
      <c r="AM118" s="234"/>
      <c r="AN118" s="234"/>
      <c r="AO118" s="234"/>
      <c r="AP118" s="234"/>
      <c r="AQ118" s="234"/>
      <c r="AR118" s="234"/>
      <c r="AS118" s="234"/>
      <c r="AT118" s="234"/>
      <c r="AU118" s="234"/>
      <c r="AV118" s="234"/>
    </row>
    <row r="119" spans="9:48" ht="17" customHeight="1">
      <c r="AI119" s="236"/>
      <c r="AJ119" s="234"/>
      <c r="AK119" s="234"/>
      <c r="AL119" s="234"/>
      <c r="AM119" s="234"/>
      <c r="AN119" s="234"/>
      <c r="AO119" s="234"/>
      <c r="AP119" s="234"/>
      <c r="AQ119" s="234"/>
      <c r="AR119" s="234"/>
      <c r="AS119" s="234"/>
      <c r="AT119" s="234"/>
      <c r="AU119" s="234"/>
      <c r="AV119" s="234"/>
    </row>
    <row r="120" spans="9:48" ht="17" customHeight="1">
      <c r="AI120" s="234" t="s">
        <v>619</v>
      </c>
      <c r="AJ120" s="234"/>
      <c r="AK120" s="234"/>
      <c r="AL120" s="234"/>
      <c r="AM120" s="234"/>
      <c r="AN120" s="234"/>
      <c r="AO120" s="234"/>
      <c r="AP120" s="234"/>
      <c r="AQ120" s="234"/>
      <c r="AR120" s="234"/>
      <c r="AS120" s="234"/>
      <c r="AT120" s="234"/>
      <c r="AU120" s="234"/>
      <c r="AV120" s="234"/>
    </row>
    <row r="121" spans="9:48" ht="17" customHeight="1">
      <c r="AI121" s="234" t="s">
        <v>620</v>
      </c>
      <c r="AJ121" s="234"/>
      <c r="AK121" s="234"/>
      <c r="AL121" s="234"/>
      <c r="AM121" s="234"/>
      <c r="AN121" s="234"/>
      <c r="AO121" s="234"/>
      <c r="AP121" s="234"/>
      <c r="AQ121" s="234"/>
      <c r="AR121" s="234"/>
      <c r="AS121" s="234"/>
      <c r="AT121" s="234"/>
      <c r="AU121" s="234"/>
      <c r="AV121" s="234"/>
    </row>
    <row r="122" spans="9:48" ht="17" customHeight="1">
      <c r="AI122" s="234" t="s">
        <v>621</v>
      </c>
      <c r="AJ122" s="234"/>
      <c r="AK122" s="234"/>
      <c r="AL122" s="234"/>
      <c r="AM122" s="234"/>
      <c r="AN122" s="234"/>
      <c r="AO122" s="234"/>
      <c r="AP122" s="234"/>
      <c r="AQ122" s="234"/>
      <c r="AR122" s="234"/>
      <c r="AS122" s="234"/>
      <c r="AT122" s="234"/>
      <c r="AU122" s="234"/>
      <c r="AV122" s="234"/>
    </row>
    <row r="123" spans="9:48" ht="17" customHeight="1">
      <c r="AI123" s="234"/>
      <c r="AJ123" s="234"/>
      <c r="AK123" s="234"/>
      <c r="AL123" s="234"/>
      <c r="AM123" s="234"/>
      <c r="AN123" s="234"/>
      <c r="AO123" s="234"/>
      <c r="AP123" s="234"/>
      <c r="AQ123" s="234"/>
      <c r="AR123" s="234"/>
      <c r="AS123" s="234"/>
      <c r="AT123" s="234"/>
      <c r="AU123" s="234"/>
      <c r="AV123" s="234"/>
    </row>
    <row r="124" spans="9:48" ht="17" customHeight="1">
      <c r="AI124" s="234" t="s">
        <v>622</v>
      </c>
      <c r="AJ124" s="234"/>
      <c r="AK124" s="234"/>
      <c r="AL124" s="234"/>
      <c r="AM124" s="234"/>
      <c r="AN124" s="234"/>
      <c r="AO124" s="234"/>
      <c r="AP124" s="234"/>
      <c r="AQ124" s="234"/>
      <c r="AR124" s="234"/>
      <c r="AS124" s="234"/>
      <c r="AT124" s="234"/>
      <c r="AU124" s="234"/>
      <c r="AV124" s="234"/>
    </row>
    <row r="125" spans="9:48" ht="17" customHeight="1">
      <c r="AI125" s="234" t="s">
        <v>623</v>
      </c>
      <c r="AJ125" s="234"/>
      <c r="AK125" s="234"/>
      <c r="AL125" s="234"/>
      <c r="AM125" s="234"/>
      <c r="AN125" s="234"/>
      <c r="AO125" s="234"/>
      <c r="AP125" s="234"/>
      <c r="AQ125" s="234"/>
      <c r="AR125" s="234"/>
      <c r="AS125" s="234"/>
      <c r="AT125" s="234"/>
      <c r="AU125" s="234"/>
      <c r="AV125" s="234"/>
    </row>
    <row r="131" spans="2:14" ht="17" customHeight="1">
      <c r="B131" s="28" t="s">
        <v>323</v>
      </c>
      <c r="C131" s="29"/>
      <c r="D131" s="29"/>
      <c r="E131" s="29"/>
      <c r="F131" s="29"/>
      <c r="G131" s="29"/>
    </row>
    <row r="133" spans="2:14" ht="17" customHeight="1">
      <c r="B133" s="66" t="s">
        <v>464</v>
      </c>
      <c r="C133" s="66"/>
      <c r="D133" s="66"/>
      <c r="E133" s="67"/>
      <c r="F133" s="67"/>
      <c r="G133" s="68"/>
    </row>
    <row r="134" spans="2:14" ht="17" customHeight="1">
      <c r="B134" s="70" t="s">
        <v>463</v>
      </c>
      <c r="E134" s="70" t="s">
        <v>304</v>
      </c>
      <c r="F134" s="69" t="s">
        <v>302</v>
      </c>
      <c r="G134" s="69" t="s">
        <v>301</v>
      </c>
    </row>
    <row r="135" spans="2:14" ht="17" customHeight="1">
      <c r="B135" s="27" t="s">
        <v>305</v>
      </c>
      <c r="E135" s="20">
        <v>2</v>
      </c>
      <c r="F135" s="79">
        <v>30.67</v>
      </c>
      <c r="G135" s="79">
        <f>+F135*E135</f>
        <v>61.34</v>
      </c>
    </row>
    <row r="136" spans="2:14" ht="17" customHeight="1">
      <c r="B136" s="27" t="s">
        <v>299</v>
      </c>
      <c r="E136" s="20">
        <v>2</v>
      </c>
      <c r="F136" s="79">
        <v>21.64</v>
      </c>
      <c r="G136" s="79">
        <f>+F136*E136</f>
        <v>43.28</v>
      </c>
    </row>
    <row r="137" spans="2:14" ht="17" customHeight="1">
      <c r="B137" s="27" t="s">
        <v>298</v>
      </c>
      <c r="E137" s="20">
        <v>2</v>
      </c>
      <c r="F137" s="79">
        <v>6.04</v>
      </c>
      <c r="G137" s="79">
        <f>+F137*E137</f>
        <v>12.08</v>
      </c>
    </row>
    <row r="138" spans="2:14" s="43" customFormat="1" ht="17" customHeight="1">
      <c r="B138" s="27" t="s">
        <v>297</v>
      </c>
      <c r="C138" s="32"/>
      <c r="D138" s="32"/>
      <c r="E138" s="20">
        <v>1</v>
      </c>
      <c r="F138" s="79">
        <v>7.11</v>
      </c>
      <c r="G138" s="79">
        <f>+F138*E138</f>
        <v>7.11</v>
      </c>
      <c r="H138" s="30"/>
      <c r="I138" s="30"/>
      <c r="J138" s="30"/>
      <c r="K138" s="30"/>
      <c r="L138" s="30"/>
      <c r="M138" s="30"/>
      <c r="N138" s="30"/>
    </row>
    <row r="139" spans="2:14" ht="17" customHeight="1">
      <c r="B139" s="27" t="s">
        <v>296</v>
      </c>
      <c r="E139" s="20">
        <v>3</v>
      </c>
      <c r="F139" s="79">
        <v>9.94</v>
      </c>
      <c r="G139" s="79">
        <f>+F139*E139</f>
        <v>29.82</v>
      </c>
    </row>
    <row r="140" spans="2:14" ht="17" customHeight="1">
      <c r="B140" s="27" t="s">
        <v>295</v>
      </c>
      <c r="E140" s="20">
        <v>1</v>
      </c>
      <c r="F140" s="79">
        <v>50</v>
      </c>
      <c r="G140" s="79">
        <f>+F140*E140</f>
        <v>50</v>
      </c>
    </row>
    <row r="141" spans="2:14" ht="17" customHeight="1">
      <c r="B141" s="73" t="s">
        <v>294</v>
      </c>
      <c r="E141" s="74"/>
      <c r="F141" s="75" t="s">
        <v>293</v>
      </c>
      <c r="G141" s="75">
        <f>SUM(G135:G140)</f>
        <v>203.63</v>
      </c>
    </row>
    <row r="142" spans="2:14" ht="17" customHeight="1">
      <c r="B142" s="30"/>
      <c r="C142" s="30"/>
      <c r="D142" s="30"/>
      <c r="F142"/>
      <c r="G142"/>
    </row>
    <row r="143" spans="2:14" ht="17" customHeight="1">
      <c r="B143" s="66" t="s">
        <v>465</v>
      </c>
      <c r="C143" s="66"/>
      <c r="D143" s="66"/>
      <c r="E143" s="67"/>
      <c r="F143" s="67"/>
      <c r="G143" s="68"/>
    </row>
    <row r="144" spans="2:14" ht="17" customHeight="1">
      <c r="B144" s="77"/>
      <c r="E144" s="76" t="s">
        <v>304</v>
      </c>
      <c r="F144" s="78" t="s">
        <v>302</v>
      </c>
      <c r="G144" s="78" t="s">
        <v>301</v>
      </c>
    </row>
    <row r="145" spans="2:15" ht="17" customHeight="1">
      <c r="B145" s="27" t="s">
        <v>300</v>
      </c>
      <c r="E145" s="20">
        <v>2</v>
      </c>
      <c r="F145" s="71">
        <v>36.630000000000003</v>
      </c>
      <c r="G145" s="71">
        <v>73.260000000000005</v>
      </c>
    </row>
    <row r="146" spans="2:15" ht="17" customHeight="1">
      <c r="B146" s="27" t="s">
        <v>299</v>
      </c>
      <c r="E146" s="20">
        <v>2</v>
      </c>
      <c r="F146" s="71">
        <v>21.64</v>
      </c>
      <c r="G146" s="71">
        <v>43.28</v>
      </c>
    </row>
    <row r="147" spans="2:15" ht="17" customHeight="1">
      <c r="B147" s="27" t="s">
        <v>298</v>
      </c>
      <c r="E147" s="20">
        <v>2</v>
      </c>
      <c r="F147" s="71">
        <v>6.04</v>
      </c>
      <c r="G147" s="71">
        <v>12.08</v>
      </c>
    </row>
    <row r="148" spans="2:15" ht="17" customHeight="1">
      <c r="B148" s="27" t="s">
        <v>297</v>
      </c>
      <c r="E148" s="20">
        <v>1</v>
      </c>
      <c r="F148" s="71">
        <v>7.11</v>
      </c>
      <c r="G148" s="71">
        <v>7.11</v>
      </c>
    </row>
    <row r="149" spans="2:15" ht="17" customHeight="1">
      <c r="B149" s="27" t="s">
        <v>296</v>
      </c>
      <c r="E149" s="20">
        <v>3</v>
      </c>
      <c r="F149" s="71">
        <v>9.94</v>
      </c>
      <c r="G149" s="71">
        <v>29.82</v>
      </c>
    </row>
    <row r="150" spans="2:15" ht="17" customHeight="1">
      <c r="B150" s="27" t="s">
        <v>295</v>
      </c>
      <c r="E150" s="20">
        <v>1</v>
      </c>
      <c r="F150" s="72">
        <v>50</v>
      </c>
      <c r="G150" s="71">
        <v>50</v>
      </c>
    </row>
    <row r="151" spans="2:15" ht="17" customHeight="1">
      <c r="B151" s="73"/>
      <c r="E151" s="73" t="s">
        <v>294</v>
      </c>
      <c r="F151" s="75" t="s">
        <v>293</v>
      </c>
      <c r="G151" s="75">
        <v>215.55</v>
      </c>
    </row>
    <row r="152" spans="2:15" ht="17" customHeight="1">
      <c r="B152" s="80"/>
      <c r="C152" s="81"/>
      <c r="D152" s="82"/>
      <c r="E152" s="82"/>
      <c r="F152"/>
      <c r="G152"/>
    </row>
    <row r="153" spans="2:15" ht="17" customHeight="1">
      <c r="B153" s="66" t="s">
        <v>466</v>
      </c>
      <c r="E153" s="67"/>
      <c r="F153" s="67"/>
      <c r="G153" s="68"/>
    </row>
    <row r="154" spans="2:15" ht="17" customHeight="1">
      <c r="B154" s="77"/>
      <c r="E154" s="76" t="s">
        <v>304</v>
      </c>
      <c r="F154" s="78" t="s">
        <v>302</v>
      </c>
      <c r="G154" s="78" t="s">
        <v>301</v>
      </c>
    </row>
    <row r="155" spans="2:15" ht="17" customHeight="1">
      <c r="B155" s="19" t="s">
        <v>305</v>
      </c>
      <c r="E155" s="20">
        <v>2</v>
      </c>
      <c r="F155" s="71">
        <v>30.67</v>
      </c>
      <c r="G155" s="71">
        <v>61.34</v>
      </c>
    </row>
    <row r="156" spans="2:15" ht="17" customHeight="1">
      <c r="B156" s="19" t="s">
        <v>299</v>
      </c>
      <c r="E156" s="20">
        <v>2</v>
      </c>
      <c r="F156" s="71">
        <v>21.64</v>
      </c>
      <c r="G156" s="71">
        <v>43.28</v>
      </c>
      <c r="O156" s="73"/>
    </row>
    <row r="157" spans="2:15" ht="17" customHeight="1">
      <c r="B157" s="19" t="s">
        <v>298</v>
      </c>
      <c r="E157" s="20">
        <v>2</v>
      </c>
      <c r="F157" s="71">
        <v>6.04</v>
      </c>
      <c r="G157" s="71">
        <v>12.08</v>
      </c>
    </row>
    <row r="158" spans="2:15" ht="17" customHeight="1">
      <c r="B158" s="19" t="s">
        <v>297</v>
      </c>
      <c r="E158" s="20">
        <v>1</v>
      </c>
      <c r="F158" s="71">
        <v>7.11</v>
      </c>
      <c r="G158" s="71">
        <v>7.11</v>
      </c>
    </row>
    <row r="159" spans="2:15" ht="17" customHeight="1">
      <c r="B159" s="19" t="s">
        <v>296</v>
      </c>
      <c r="E159" s="20">
        <v>3</v>
      </c>
      <c r="F159" s="71">
        <v>14.65</v>
      </c>
      <c r="G159" s="71">
        <v>43.95</v>
      </c>
    </row>
    <row r="160" spans="2:15" ht="17" customHeight="1">
      <c r="B160" s="19" t="s">
        <v>295</v>
      </c>
      <c r="E160" s="20">
        <v>1</v>
      </c>
      <c r="F160" s="72">
        <v>75</v>
      </c>
      <c r="G160" s="71">
        <v>50</v>
      </c>
    </row>
    <row r="161" spans="2:7" ht="17" customHeight="1">
      <c r="B161" s="74"/>
      <c r="E161" s="73" t="s">
        <v>294</v>
      </c>
      <c r="F161" s="75" t="s">
        <v>293</v>
      </c>
      <c r="G161" s="75">
        <v>217.76</v>
      </c>
    </row>
    <row r="162" spans="2:7" ht="17" customHeight="1">
      <c r="B162" s="66" t="s">
        <v>467</v>
      </c>
      <c r="E162" s="67"/>
      <c r="F162" s="67"/>
      <c r="G162" s="68"/>
    </row>
    <row r="163" spans="2:7" ht="17" customHeight="1">
      <c r="B163" s="77" t="s">
        <v>303</v>
      </c>
      <c r="E163" s="76" t="s">
        <v>304</v>
      </c>
      <c r="F163" s="78" t="s">
        <v>302</v>
      </c>
      <c r="G163" s="78" t="s">
        <v>301</v>
      </c>
    </row>
    <row r="164" spans="2:7" ht="17" customHeight="1">
      <c r="B164" s="19" t="s">
        <v>300</v>
      </c>
      <c r="E164" s="20">
        <v>2</v>
      </c>
      <c r="F164" s="71">
        <v>36.630000000000003</v>
      </c>
      <c r="G164" s="71">
        <v>73.260000000000005</v>
      </c>
    </row>
    <row r="165" spans="2:7" ht="17" customHeight="1">
      <c r="B165" s="19" t="s">
        <v>299</v>
      </c>
      <c r="E165" s="20">
        <v>2</v>
      </c>
      <c r="F165" s="71">
        <v>21.64</v>
      </c>
      <c r="G165" s="71">
        <v>43.28</v>
      </c>
    </row>
    <row r="166" spans="2:7" ht="17" customHeight="1">
      <c r="B166" s="19" t="s">
        <v>298</v>
      </c>
      <c r="E166" s="20">
        <v>2</v>
      </c>
      <c r="F166" s="71">
        <v>6.04</v>
      </c>
      <c r="G166" s="71">
        <v>12.08</v>
      </c>
    </row>
    <row r="167" spans="2:7" ht="17" customHeight="1">
      <c r="B167" s="19" t="s">
        <v>297</v>
      </c>
      <c r="E167" s="20">
        <v>1</v>
      </c>
      <c r="F167" s="71">
        <v>7.11</v>
      </c>
      <c r="G167" s="71">
        <v>7.11</v>
      </c>
    </row>
    <row r="168" spans="2:7" ht="17" customHeight="1">
      <c r="B168" s="19" t="s">
        <v>296</v>
      </c>
      <c r="E168" s="20">
        <v>3</v>
      </c>
      <c r="F168" s="71">
        <v>14.65</v>
      </c>
      <c r="G168" s="71">
        <v>43.95</v>
      </c>
    </row>
    <row r="169" spans="2:7" ht="17" customHeight="1">
      <c r="B169" s="19" t="s">
        <v>295</v>
      </c>
      <c r="E169" s="20">
        <v>1</v>
      </c>
      <c r="F169" s="72">
        <v>75</v>
      </c>
      <c r="G169" s="71">
        <v>50</v>
      </c>
    </row>
    <row r="170" spans="2:7" ht="17" customHeight="1">
      <c r="E170" s="73"/>
      <c r="F170" s="75" t="s">
        <v>293</v>
      </c>
      <c r="G170" s="75">
        <v>229.68</v>
      </c>
    </row>
    <row r="468" spans="11:16" ht="17" customHeight="1">
      <c r="K468" s="30">
        <f>+K467*3</f>
        <v>0</v>
      </c>
      <c r="L468" s="30">
        <f>+L467*3</f>
        <v>0</v>
      </c>
    </row>
    <row r="469" spans="11:16" ht="17" customHeight="1">
      <c r="L469" s="30" t="e">
        <f>+L468/K468</f>
        <v>#DIV/0!</v>
      </c>
    </row>
    <row r="472" spans="11:16" ht="17" customHeight="1">
      <c r="K472" s="30">
        <f>K468*2</f>
        <v>0</v>
      </c>
      <c r="L472" s="30">
        <f>365*5</f>
        <v>1825</v>
      </c>
      <c r="O472" s="30">
        <f>+L472*0.75</f>
        <v>1368.75</v>
      </c>
      <c r="P472" s="30">
        <f>+O472*O473</f>
        <v>0</v>
      </c>
    </row>
    <row r="473" spans="11:16" ht="17" customHeight="1">
      <c r="L473" s="30">
        <f>+K472/L472</f>
        <v>0</v>
      </c>
      <c r="O473" s="30">
        <f>+K472/O472</f>
        <v>0</v>
      </c>
      <c r="P473" s="30" t="e">
        <f>+P472/K468</f>
        <v>#DIV/0!</v>
      </c>
    </row>
    <row r="474" spans="11:16" ht="17" customHeight="1">
      <c r="L474" s="30" t="e">
        <f>+K468/L473</f>
        <v>#DIV/0!</v>
      </c>
    </row>
    <row r="476" spans="11:16" ht="17" customHeight="1">
      <c r="L476" s="30">
        <f>+L473*O472</f>
        <v>0</v>
      </c>
    </row>
    <row r="477" spans="11:16" ht="17" customHeight="1">
      <c r="L477" s="30" t="e">
        <f>+L476/K468</f>
        <v>#DIV/0!</v>
      </c>
      <c r="O477" s="30">
        <f>+O472/365</f>
        <v>3.75</v>
      </c>
    </row>
  </sheetData>
  <scenarios current="0">
    <scenario name="title" count="4" user="Valued Customer" comment="Created by Valued Customer on 2/13/97_x000a_Modified by Valued Customer on 2/13/97">
      <inputCells r="Y141" val="Size"/>
      <inputCells r="AB141" val="TotalUnits"/>
      <inputCells r="R52" val="List Price"/>
      <inputCells r="S52" val="Total"/>
    </scenario>
  </scenarios>
  <mergeCells count="75">
    <mergeCell ref="AI54:AJ54"/>
    <mergeCell ref="AI57:AJ57"/>
    <mergeCell ref="AI98:AL98"/>
    <mergeCell ref="AI38:AJ38"/>
    <mergeCell ref="AK38:AP38"/>
    <mergeCell ref="AS38:AT38"/>
    <mergeCell ref="AU38:AV38"/>
    <mergeCell ref="AI39:AV39"/>
    <mergeCell ref="AI49:AV50"/>
    <mergeCell ref="AI36:AJ36"/>
    <mergeCell ref="AK36:AP36"/>
    <mergeCell ref="AS36:AT36"/>
    <mergeCell ref="AU36:AV36"/>
    <mergeCell ref="AI37:AJ37"/>
    <mergeCell ref="AK37:AP37"/>
    <mergeCell ref="AS37:AT37"/>
    <mergeCell ref="AU37:AV37"/>
    <mergeCell ref="AI34:AJ34"/>
    <mergeCell ref="AK34:AP34"/>
    <mergeCell ref="AS34:AT34"/>
    <mergeCell ref="AU34:AV34"/>
    <mergeCell ref="AI35:AJ35"/>
    <mergeCell ref="AK35:AP35"/>
    <mergeCell ref="AS35:AT35"/>
    <mergeCell ref="AU35:AV35"/>
    <mergeCell ref="AJ30:AN30"/>
    <mergeCell ref="AI32:AJ32"/>
    <mergeCell ref="AK32:AP32"/>
    <mergeCell ref="AS32:AT32"/>
    <mergeCell ref="AU32:AV32"/>
    <mergeCell ref="AI33:AJ33"/>
    <mergeCell ref="AK33:AP33"/>
    <mergeCell ref="AS33:AT33"/>
    <mergeCell ref="AU33:AV33"/>
    <mergeCell ref="AI24:AJ24"/>
    <mergeCell ref="AK24:AN24"/>
    <mergeCell ref="AP24:AS24"/>
    <mergeCell ref="AT24:AV28"/>
    <mergeCell ref="AI26:AJ26"/>
    <mergeCell ref="AK26:AN26"/>
    <mergeCell ref="AP26:AS26"/>
    <mergeCell ref="AI28:AJ28"/>
    <mergeCell ref="AK28:AN28"/>
    <mergeCell ref="AP28:AS28"/>
    <mergeCell ref="AJ16:AK16"/>
    <mergeCell ref="AL16:AN16"/>
    <mergeCell ref="AP16:AQ16"/>
    <mergeCell ref="AR16:AT16"/>
    <mergeCell ref="AI18:AV18"/>
    <mergeCell ref="AI19:AV22"/>
    <mergeCell ref="AJ12:AK12"/>
    <mergeCell ref="AL12:AN12"/>
    <mergeCell ref="AP12:AQ12"/>
    <mergeCell ref="AR12:AT12"/>
    <mergeCell ref="AJ14:AK14"/>
    <mergeCell ref="AL14:AN14"/>
    <mergeCell ref="AP14:AQ14"/>
    <mergeCell ref="AR14:AT14"/>
    <mergeCell ref="AS7:AV7"/>
    <mergeCell ref="AO8:AQ8"/>
    <mergeCell ref="AS8:AV8"/>
    <mergeCell ref="AJ10:AK10"/>
    <mergeCell ref="AL10:AN10"/>
    <mergeCell ref="AP10:AQ10"/>
    <mergeCell ref="AR10:AT10"/>
    <mergeCell ref="AI2:AL2"/>
    <mergeCell ref="AO2:AQ3"/>
    <mergeCell ref="AS2:AV4"/>
    <mergeCell ref="AI3:AL7"/>
    <mergeCell ref="AO4:AQ4"/>
    <mergeCell ref="AO5:AQ5"/>
    <mergeCell ref="AS5:AV5"/>
    <mergeCell ref="AO6:AQ6"/>
    <mergeCell ref="AS6:AV6"/>
    <mergeCell ref="AO7:AQ7"/>
  </mergeCells>
  <dataValidations count="5">
    <dataValidation type="list" allowBlank="1" showInputMessage="1" showErrorMessage="1" sqref="H8 H42" xr:uid="{481FE2C2-DA99-412E-8FBA-32FE048FCE7F}">
      <formula1>$BM$3:$BM$4</formula1>
    </dataValidation>
    <dataValidation type="list" allowBlank="1" showInputMessage="1" showErrorMessage="1" sqref="H4" xr:uid="{03B1CC93-135C-4472-832D-DE0229AC7C1E}">
      <formula1>$BK$3:$BK$5</formula1>
    </dataValidation>
    <dataValidation type="list" allowBlank="1" showInputMessage="1" showErrorMessage="1" sqref="D6" xr:uid="{346A301A-E815-496B-99FC-00B70D487CFB}">
      <formula1>#REF!</formula1>
    </dataValidation>
    <dataValidation type="list" allowBlank="1" showInputMessage="1" showErrorMessage="1" sqref="C31 G26 C36 G31" xr:uid="{E759CA8A-D328-4E42-AAC0-FA07055E8329}">
      <formula1>#REF!</formula1>
    </dataValidation>
    <dataValidation type="list" allowBlank="1" showInputMessage="1" showErrorMessage="1" sqref="D4" xr:uid="{414493C1-58DD-4980-94A1-B58E94EB6B53}">
      <formula1>#REF!</formula1>
    </dataValidation>
  </dataValidations>
  <hyperlinks>
    <hyperlink ref="AK26" r:id="rId1" xr:uid="{65039ABC-22F5-4313-B0C6-96620D815F2D}"/>
  </hyperlinks>
  <printOptions verticalCentered="1" gridLinesSet="0"/>
  <pageMargins left="0.75" right="0.75" top="0.97" bottom="0" header="0" footer="0"/>
  <pageSetup orientation="landscape" horizontalDpi="4294967292" verticalDpi="300" r:id="rId2"/>
  <headerFooter alignWithMargins="0">
    <oddHeader>&amp;L&amp;"Arial,Bold"Hi Int. Signs&amp;C&amp;"Arial,Bold"&amp;11Bid Sheet Office #02
Job#_________
Cust#_________
Cust._____________</oddHead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0098-4865-4C77-A652-BE82B57B0367}">
  <dimension ref="A1:DA477"/>
  <sheetViews>
    <sheetView showGridLines="0" topLeftCell="N23" zoomScale="85" zoomScaleNormal="85" workbookViewId="0">
      <selection activeCell="N23" sqref="N23"/>
    </sheetView>
    <sheetView showGridLines="0" zoomScale="70" zoomScaleNormal="70" workbookViewId="1">
      <selection activeCell="F9" sqref="F9"/>
    </sheetView>
  </sheetViews>
  <sheetFormatPr defaultColWidth="9.08984375" defaultRowHeight="17" customHeight="1"/>
  <cols>
    <col min="1" max="1" width="2.6328125" style="30" customWidth="1"/>
    <col min="2" max="2" width="24.26953125" style="32" bestFit="1" customWidth="1"/>
    <col min="3" max="3" width="10.6328125" style="32" customWidth="1"/>
    <col min="4" max="4" width="11.6328125" style="32" customWidth="1"/>
    <col min="5" max="5" width="10.6328125" style="30" customWidth="1"/>
    <col min="6" max="6" width="22.7265625" style="30" customWidth="1"/>
    <col min="7" max="7" width="10.6328125" style="30" customWidth="1"/>
    <col min="8" max="8" width="12" style="30" bestFit="1" customWidth="1"/>
    <col min="9" max="10" width="10.6328125" style="30" customWidth="1"/>
    <col min="11" max="11" width="5.6328125" style="30" customWidth="1"/>
    <col min="12" max="12" width="12.6328125" style="30" customWidth="1"/>
    <col min="13" max="13" width="2.6328125" style="30" customWidth="1"/>
    <col min="14" max="15" width="12.6328125" style="30" customWidth="1"/>
    <col min="16" max="16" width="15.54296875" style="30" bestFit="1" customWidth="1"/>
    <col min="17" max="17" width="13.54296875" style="30" bestFit="1" customWidth="1"/>
    <col min="18" max="18" width="12.1796875" style="30" bestFit="1" customWidth="1"/>
    <col min="19" max="19" width="13" style="30" customWidth="1"/>
    <col min="20" max="20" width="5.6328125" style="30" customWidth="1"/>
    <col min="21" max="21" width="22.6328125" style="30" bestFit="1" customWidth="1"/>
    <col min="22" max="23" width="12.26953125" style="30" bestFit="1" customWidth="1"/>
    <col min="24" max="24" width="12.7265625" style="30" bestFit="1" customWidth="1"/>
    <col min="25" max="26" width="11.81640625" style="30" bestFit="1" customWidth="1"/>
    <col min="27" max="27" width="14.26953125" style="30" customWidth="1"/>
    <col min="28" max="28" width="19.36328125" style="30" bestFit="1" customWidth="1"/>
    <col min="29" max="29" width="11.1796875" style="30" bestFit="1" customWidth="1"/>
    <col min="30" max="30" width="11.453125" style="30" bestFit="1" customWidth="1"/>
    <col min="31" max="31" width="13.36328125" style="30" bestFit="1" customWidth="1"/>
    <col min="32" max="34" width="9.08984375" style="30"/>
    <col min="35" max="35" width="12.54296875" style="30" customWidth="1"/>
    <col min="36" max="38" width="9.08984375" style="30"/>
    <col min="39" max="39" width="12.26953125" style="30" customWidth="1"/>
    <col min="40" max="40" width="9.08984375" style="30"/>
    <col min="41" max="41" width="22.54296875" style="30" customWidth="1"/>
    <col min="42" max="42" width="11.1796875" style="30" customWidth="1"/>
    <col min="43" max="43" width="13.6328125" style="30" customWidth="1"/>
    <col min="44" max="46" width="9.08984375" style="30"/>
    <col min="47" max="47" width="13" style="30" customWidth="1"/>
    <col min="48" max="48" width="12.453125" style="30" customWidth="1"/>
    <col min="49" max="62" width="9.08984375" style="30"/>
    <col min="63" max="63" width="16.81640625" style="30" bestFit="1" customWidth="1"/>
    <col min="64" max="64" width="1.6328125" style="30" customWidth="1"/>
    <col min="65" max="65" width="9.1796875" style="30" bestFit="1" customWidth="1"/>
    <col min="66" max="66" width="1.6328125" style="30" customWidth="1"/>
    <col min="67" max="67" width="11.54296875" style="30" bestFit="1" customWidth="1"/>
    <col min="68" max="68" width="1.6328125" style="30" customWidth="1"/>
    <col min="69" max="69" width="14.7265625" style="30" bestFit="1" customWidth="1"/>
    <col min="70" max="70" width="9.08984375" style="30"/>
    <col min="71" max="71" width="9.81640625" style="30" bestFit="1" customWidth="1"/>
    <col min="72" max="72" width="9.08984375" style="30"/>
    <col min="73" max="73" width="1.6328125" style="30" customWidth="1"/>
    <col min="74" max="74" width="10.6328125" style="30" bestFit="1" customWidth="1"/>
    <col min="75" max="75" width="1.6328125" style="30" customWidth="1"/>
    <col min="76" max="16384" width="9.08984375" style="30"/>
  </cols>
  <sheetData>
    <row r="1" spans="2:105" ht="17" customHeight="1" thickBot="1">
      <c r="I1"/>
      <c r="J1"/>
    </row>
    <row r="2" spans="2:105" ht="17" customHeight="1">
      <c r="B2" s="28" t="s">
        <v>447</v>
      </c>
      <c r="C2" s="29"/>
      <c r="D2" s="29"/>
      <c r="E2" s="29"/>
      <c r="F2" s="29"/>
      <c r="G2" s="86"/>
      <c r="H2" s="86"/>
      <c r="I2"/>
      <c r="J2"/>
      <c r="L2" s="28" t="s">
        <v>446</v>
      </c>
      <c r="M2" s="29"/>
      <c r="N2" s="29"/>
      <c r="O2" s="29"/>
      <c r="P2" s="29"/>
      <c r="Q2" s="29"/>
      <c r="R2" s="29"/>
      <c r="S2" s="29"/>
      <c r="U2" s="28" t="s">
        <v>445</v>
      </c>
      <c r="V2" s="29"/>
      <c r="W2" s="29"/>
      <c r="X2" s="29"/>
      <c r="Y2" s="29"/>
      <c r="Z2" s="29"/>
      <c r="AA2" s="29"/>
      <c r="AB2" s="29"/>
      <c r="AC2" s="29"/>
      <c r="AD2" s="29"/>
      <c r="AE2" s="29"/>
      <c r="AF2" s="29"/>
      <c r="AI2" s="155" t="s">
        <v>510</v>
      </c>
      <c r="AJ2" s="156"/>
      <c r="AK2" s="156"/>
      <c r="AL2" s="157"/>
      <c r="AM2"/>
      <c r="AN2"/>
      <c r="AO2" s="158" t="s">
        <v>510</v>
      </c>
      <c r="AP2" s="158"/>
      <c r="AQ2" s="158"/>
      <c r="AR2"/>
      <c r="AS2" s="159" t="s">
        <v>511</v>
      </c>
      <c r="AT2" s="159"/>
      <c r="AU2" s="159"/>
      <c r="AV2" s="159"/>
      <c r="BK2" s="145" t="s">
        <v>444</v>
      </c>
      <c r="BL2"/>
      <c r="BM2" s="29" t="s">
        <v>506</v>
      </c>
      <c r="BN2"/>
      <c r="BO2" s="29" t="s">
        <v>505</v>
      </c>
      <c r="BP2"/>
      <c r="BQ2" s="29" t="s">
        <v>426</v>
      </c>
      <c r="BR2" s="29" t="s">
        <v>425</v>
      </c>
      <c r="BS2" s="29" t="s">
        <v>13</v>
      </c>
      <c r="BT2" s="144" t="s">
        <v>504</v>
      </c>
      <c r="BU2"/>
      <c r="BV2" s="29" t="s">
        <v>97</v>
      </c>
      <c r="BW2"/>
      <c r="BX2" s="29" t="s">
        <v>489</v>
      </c>
      <c r="BY2" s="29"/>
      <c r="BZ2" s="29"/>
    </row>
    <row r="3" spans="2:105" ht="17" customHeight="1">
      <c r="B3" s="251" t="s">
        <v>9</v>
      </c>
      <c r="C3" s="62"/>
      <c r="D3" s="124"/>
      <c r="E3" s="99"/>
      <c r="F3" s="289" t="s">
        <v>520</v>
      </c>
      <c r="G3" s="104"/>
      <c r="H3" s="252">
        <v>0.06</v>
      </c>
      <c r="I3"/>
      <c r="J3"/>
      <c r="L3" s="34" t="s">
        <v>384</v>
      </c>
      <c r="M3" s="34"/>
      <c r="N3" s="34"/>
      <c r="O3" s="34" t="s">
        <v>379</v>
      </c>
      <c r="P3" s="34" t="s">
        <v>378</v>
      </c>
      <c r="Q3" s="34" t="s">
        <v>383</v>
      </c>
      <c r="R3" s="35" t="s">
        <v>382</v>
      </c>
      <c r="S3" s="36" t="s">
        <v>367</v>
      </c>
      <c r="Z3"/>
      <c r="AA3" s="35"/>
      <c r="AI3" s="160" t="s">
        <v>512</v>
      </c>
      <c r="AJ3" s="161"/>
      <c r="AK3" s="161"/>
      <c r="AL3" s="162"/>
      <c r="AM3"/>
      <c r="AN3"/>
      <c r="AO3" s="158"/>
      <c r="AP3" s="158"/>
      <c r="AQ3" s="158"/>
      <c r="AR3"/>
      <c r="AS3" s="159"/>
      <c r="AT3" s="159"/>
      <c r="AU3" s="159"/>
      <c r="AV3" s="159"/>
      <c r="BK3" s="146" t="s">
        <v>439</v>
      </c>
      <c r="BM3" s="148" t="s">
        <v>437</v>
      </c>
      <c r="BO3" s="148" t="s">
        <v>353</v>
      </c>
      <c r="BQ3" s="149" t="s">
        <v>423</v>
      </c>
      <c r="BR3" s="42">
        <v>8</v>
      </c>
      <c r="BS3" s="92" t="s">
        <v>32</v>
      </c>
      <c r="BT3" s="150"/>
      <c r="BV3" s="151" t="s">
        <v>460</v>
      </c>
      <c r="BX3" s="153" t="s">
        <v>508</v>
      </c>
      <c r="BY3" s="153" t="s">
        <v>509</v>
      </c>
      <c r="BZ3" s="153" t="s">
        <v>488</v>
      </c>
    </row>
    <row r="4" spans="2:105" ht="17" customHeight="1">
      <c r="B4" s="37" t="s">
        <v>444</v>
      </c>
      <c r="C4" s="54"/>
      <c r="D4" s="124" t="s">
        <v>439</v>
      </c>
      <c r="E4" s="54"/>
      <c r="F4" s="54" t="s">
        <v>97</v>
      </c>
      <c r="G4" s="54"/>
      <c r="H4" s="124" t="s">
        <v>460</v>
      </c>
      <c r="I4"/>
      <c r="J4"/>
      <c r="L4" s="34"/>
      <c r="M4" s="34"/>
      <c r="N4" s="34"/>
      <c r="O4" s="34"/>
      <c r="P4" s="34" t="s">
        <v>379</v>
      </c>
      <c r="Q4" s="34" t="s">
        <v>378</v>
      </c>
      <c r="R4" s="35" t="s">
        <v>377</v>
      </c>
      <c r="S4" s="40"/>
      <c r="U4" s="89" t="s">
        <v>647</v>
      </c>
      <c r="V4" s="89"/>
      <c r="W4" s="89"/>
      <c r="X4" s="89"/>
      <c r="Y4" s="89"/>
      <c r="Z4" s="89"/>
      <c r="AB4" s="89" t="s">
        <v>440</v>
      </c>
      <c r="AC4" s="89"/>
      <c r="AD4" s="89"/>
      <c r="AE4" s="89"/>
      <c r="AF4" s="89"/>
      <c r="AI4" s="160"/>
      <c r="AJ4" s="161"/>
      <c r="AK4" s="161"/>
      <c r="AL4" s="162"/>
      <c r="AM4"/>
      <c r="AN4"/>
      <c r="AO4" s="163" t="s">
        <v>513</v>
      </c>
      <c r="AP4" s="163"/>
      <c r="AQ4" s="163"/>
      <c r="AR4"/>
      <c r="AS4" s="159"/>
      <c r="AT4" s="159"/>
      <c r="AU4" s="159"/>
      <c r="AV4" s="159"/>
      <c r="BK4" s="146" t="s">
        <v>436</v>
      </c>
      <c r="BM4" s="147" t="s">
        <v>363</v>
      </c>
      <c r="BO4" s="147" t="s">
        <v>387</v>
      </c>
      <c r="BQ4" s="149" t="s">
        <v>421</v>
      </c>
      <c r="BR4" s="42">
        <v>11</v>
      </c>
      <c r="BS4" s="92" t="s">
        <v>7</v>
      </c>
      <c r="BT4" s="150"/>
      <c r="BV4" s="152" t="s">
        <v>461</v>
      </c>
      <c r="BX4" s="153">
        <v>0</v>
      </c>
      <c r="BY4" s="153">
        <f>+BX4+90</f>
        <v>90</v>
      </c>
      <c r="BZ4" s="154">
        <v>0.1</v>
      </c>
    </row>
    <row r="5" spans="2:105" ht="17" customHeight="1">
      <c r="B5" s="37" t="s">
        <v>14</v>
      </c>
      <c r="C5" s="54"/>
      <c r="D5" s="97" t="str" cm="1">
        <f t="array" aca="1" ref="D5" ca="1">_xlfn.TEXTAFTER(CELL("filename",A1),"]")</f>
        <v>119409</v>
      </c>
      <c r="E5" s="54"/>
      <c r="F5" s="83" t="s">
        <v>10</v>
      </c>
      <c r="G5" s="54"/>
      <c r="H5" s="248">
        <f ca="1">TODAY()</f>
        <v>45453</v>
      </c>
      <c r="I5"/>
      <c r="J5"/>
      <c r="L5" s="137">
        <v>12</v>
      </c>
      <c r="M5" s="142" t="s">
        <v>503</v>
      </c>
      <c r="N5" s="137">
        <v>6</v>
      </c>
      <c r="O5" s="92">
        <f>(L5*N5)/144</f>
        <v>0.5</v>
      </c>
      <c r="P5" s="134">
        <v>6</v>
      </c>
      <c r="Q5" s="135">
        <f>+P5*O5</f>
        <v>3</v>
      </c>
      <c r="R5" s="247">
        <v>0</v>
      </c>
      <c r="S5" s="250">
        <f>+Q5*R5</f>
        <v>0</v>
      </c>
      <c r="AB5" s="61"/>
      <c r="AC5" s="104" t="s">
        <v>367</v>
      </c>
      <c r="AD5" s="104"/>
      <c r="AE5" s="104"/>
      <c r="AF5" s="105"/>
      <c r="AI5" s="160"/>
      <c r="AJ5" s="161"/>
      <c r="AK5" s="161"/>
      <c r="AL5" s="162"/>
      <c r="AM5"/>
      <c r="AN5"/>
      <c r="AO5" s="163" t="s">
        <v>514</v>
      </c>
      <c r="AP5" s="163"/>
      <c r="AQ5" s="163"/>
      <c r="AR5"/>
      <c r="AS5" s="163" t="s">
        <v>515</v>
      </c>
      <c r="AT5" s="163"/>
      <c r="AU5" s="163"/>
      <c r="AV5" s="163"/>
      <c r="BK5" s="146" t="s">
        <v>433</v>
      </c>
      <c r="BQ5" s="149" t="s">
        <v>420</v>
      </c>
      <c r="BR5" s="42">
        <v>10</v>
      </c>
      <c r="BS5" s="92" t="s">
        <v>32</v>
      </c>
      <c r="BT5" s="150"/>
      <c r="BV5" s="152" t="s">
        <v>462</v>
      </c>
      <c r="BX5" s="153">
        <f>+BY4</f>
        <v>90</v>
      </c>
      <c r="BY5" s="153">
        <f t="shared" ref="BY5:CJ8" si="0">+BX5+90</f>
        <v>180</v>
      </c>
      <c r="BZ5" s="154">
        <f>+BZ4-0.025</f>
        <v>7.5000000000000011E-2</v>
      </c>
      <c r="CD5" s="41"/>
      <c r="CE5" s="41"/>
      <c r="CF5" s="41"/>
      <c r="CG5" s="41"/>
      <c r="CH5" s="41"/>
      <c r="CI5" s="41"/>
      <c r="CJ5" s="41"/>
      <c r="CK5" s="41"/>
      <c r="CL5" s="41"/>
      <c r="CM5" s="41"/>
      <c r="CN5" s="41"/>
    </row>
    <row r="6" spans="2:105" ht="17" customHeight="1">
      <c r="B6" s="37" t="s">
        <v>15</v>
      </c>
      <c r="C6" s="54"/>
      <c r="D6" s="124" t="s">
        <v>365</v>
      </c>
      <c r="E6" s="54"/>
      <c r="F6" s="83" t="s">
        <v>11</v>
      </c>
      <c r="G6" s="54"/>
      <c r="H6" s="248">
        <f ca="1">+H5+180</f>
        <v>45633</v>
      </c>
      <c r="I6"/>
      <c r="J6"/>
      <c r="L6" s="137">
        <v>12</v>
      </c>
      <c r="M6" s="142" t="s">
        <v>503</v>
      </c>
      <c r="N6" s="137">
        <v>12</v>
      </c>
      <c r="O6" s="92">
        <f t="shared" ref="O6:O41" si="1">(L6*N6)/144</f>
        <v>1</v>
      </c>
      <c r="P6" s="134">
        <v>6</v>
      </c>
      <c r="Q6" s="135">
        <f t="shared" ref="Q6:Q40" si="2">+P6*O6</f>
        <v>6</v>
      </c>
      <c r="R6" s="247">
        <v>0</v>
      </c>
      <c r="S6" s="250">
        <f t="shared" ref="S6:S40" si="3">+Q6*R6</f>
        <v>0</v>
      </c>
      <c r="AB6" s="53" t="s">
        <v>16</v>
      </c>
      <c r="AC6" s="273">
        <f>+V63</f>
        <v>10179.730288356164</v>
      </c>
      <c r="AD6" s="255"/>
      <c r="AE6" s="273"/>
      <c r="AF6" s="33"/>
      <c r="AI6" s="160"/>
      <c r="AJ6" s="161"/>
      <c r="AK6" s="161"/>
      <c r="AL6" s="162"/>
      <c r="AM6"/>
      <c r="AN6"/>
      <c r="AO6" s="163" t="s">
        <v>516</v>
      </c>
      <c r="AP6" s="163"/>
      <c r="AQ6" s="163"/>
      <c r="AR6"/>
      <c r="AS6" s="163" t="s">
        <v>517</v>
      </c>
      <c r="AT6" s="163"/>
      <c r="AU6" s="163"/>
      <c r="AV6" s="163"/>
      <c r="BK6" s="146" t="s">
        <v>430</v>
      </c>
      <c r="BQ6" s="149" t="s">
        <v>417</v>
      </c>
      <c r="BR6" s="42">
        <v>11</v>
      </c>
      <c r="BS6" s="92" t="s">
        <v>7</v>
      </c>
      <c r="BT6" s="150"/>
      <c r="BV6" s="147" t="s">
        <v>507</v>
      </c>
      <c r="BX6" s="153">
        <f>+BY5</f>
        <v>180</v>
      </c>
      <c r="BY6" s="153">
        <f t="shared" si="0"/>
        <v>270</v>
      </c>
      <c r="BZ6" s="154">
        <f t="shared" ref="BZ6:CK8" si="4">+BZ5-0.025</f>
        <v>5.000000000000001E-2</v>
      </c>
      <c r="CD6" s="41"/>
      <c r="CE6" s="41"/>
      <c r="CF6" s="41"/>
      <c r="CG6" s="41"/>
      <c r="CH6" s="41"/>
      <c r="CI6" s="41"/>
      <c r="CJ6" s="41"/>
      <c r="CK6" s="41"/>
      <c r="CL6" s="41"/>
      <c r="CM6" s="41"/>
      <c r="CN6" s="41"/>
    </row>
    <row r="7" spans="2:105" ht="17" customHeight="1" thickBot="1">
      <c r="B7" s="37" t="s">
        <v>425</v>
      </c>
      <c r="C7" s="54"/>
      <c r="D7" s="97">
        <f>_xlfn.XLOOKUP(D6,BQ3:BQ65,BR3:BR65)</f>
        <v>12</v>
      </c>
      <c r="E7" s="54"/>
      <c r="F7" s="83" t="s">
        <v>12</v>
      </c>
      <c r="G7" s="54"/>
      <c r="H7" s="97">
        <f ca="1">H6-H5</f>
        <v>180</v>
      </c>
      <c r="I7"/>
      <c r="J7"/>
      <c r="L7" s="42">
        <v>18</v>
      </c>
      <c r="M7" s="142" t="s">
        <v>503</v>
      </c>
      <c r="N7" s="137">
        <v>12</v>
      </c>
      <c r="O7" s="92">
        <f t="shared" si="1"/>
        <v>1.5</v>
      </c>
      <c r="P7" s="134">
        <v>6</v>
      </c>
      <c r="Q7" s="135">
        <f t="shared" si="2"/>
        <v>9</v>
      </c>
      <c r="R7" s="247">
        <v>0</v>
      </c>
      <c r="S7" s="250">
        <f t="shared" si="3"/>
        <v>0</v>
      </c>
      <c r="AB7" s="53" t="s">
        <v>646</v>
      </c>
      <c r="AC7" s="273">
        <f>+E88</f>
        <v>8300</v>
      </c>
      <c r="AD7" s="255"/>
      <c r="AE7" s="273"/>
      <c r="AF7" s="33"/>
      <c r="AI7" s="164"/>
      <c r="AJ7" s="165"/>
      <c r="AK7" s="165"/>
      <c r="AL7" s="166"/>
      <c r="AM7"/>
      <c r="AN7"/>
      <c r="AO7" s="163" t="s">
        <v>518</v>
      </c>
      <c r="AP7" s="163"/>
      <c r="AQ7" s="163"/>
      <c r="AR7"/>
      <c r="AS7" s="163" t="s">
        <v>519</v>
      </c>
      <c r="AT7" s="163"/>
      <c r="AU7" s="163"/>
      <c r="AV7" s="163"/>
      <c r="BK7" s="146" t="s">
        <v>429</v>
      </c>
      <c r="BQ7" s="149" t="s">
        <v>415</v>
      </c>
      <c r="BR7" s="42">
        <v>9</v>
      </c>
      <c r="BS7" s="92" t="s">
        <v>32</v>
      </c>
      <c r="BT7" s="150"/>
      <c r="BX7" s="153">
        <f t="shared" ref="BX7:CI8" si="5">+BY6</f>
        <v>270</v>
      </c>
      <c r="BY7" s="153">
        <f t="shared" si="0"/>
        <v>360</v>
      </c>
      <c r="BZ7" s="154">
        <f t="shared" si="4"/>
        <v>2.5000000000000008E-2</v>
      </c>
      <c r="CD7" s="41"/>
      <c r="CE7" s="41"/>
      <c r="CF7" s="41"/>
      <c r="CG7" s="41"/>
      <c r="CH7" s="41"/>
      <c r="CI7" s="41"/>
      <c r="CJ7" s="41"/>
      <c r="CK7" s="41"/>
      <c r="CL7" s="41"/>
      <c r="CM7" s="41"/>
      <c r="CN7" s="41"/>
    </row>
    <row r="8" spans="2:105" ht="17" customHeight="1">
      <c r="B8" s="37" t="s">
        <v>13</v>
      </c>
      <c r="C8" s="54"/>
      <c r="D8" s="97" t="str">
        <f>_xlfn.XLOOKUP(D6,BQ3:BQ65,BS3:BS65)</f>
        <v>Hatfield</v>
      </c>
      <c r="E8" s="54"/>
      <c r="F8" s="54" t="s">
        <v>438</v>
      </c>
      <c r="G8" s="54"/>
      <c r="H8" s="124" t="s">
        <v>363</v>
      </c>
      <c r="I8"/>
      <c r="J8"/>
      <c r="L8" s="42">
        <v>18</v>
      </c>
      <c r="M8" s="142" t="s">
        <v>503</v>
      </c>
      <c r="N8" s="42">
        <v>18</v>
      </c>
      <c r="O8" s="92">
        <f t="shared" si="1"/>
        <v>2.25</v>
      </c>
      <c r="P8" s="134">
        <v>6</v>
      </c>
      <c r="Q8" s="135">
        <f t="shared" si="2"/>
        <v>13.5</v>
      </c>
      <c r="R8" s="247">
        <v>0</v>
      </c>
      <c r="S8" s="250">
        <f t="shared" si="3"/>
        <v>0</v>
      </c>
      <c r="AB8" s="53" t="s">
        <v>633</v>
      </c>
      <c r="AC8" s="273">
        <f>+Z76</f>
        <v>0</v>
      </c>
      <c r="AD8" s="255"/>
      <c r="AE8" s="273"/>
      <c r="AF8" s="33"/>
      <c r="AI8"/>
      <c r="AJ8"/>
      <c r="AK8"/>
      <c r="AL8"/>
      <c r="AM8"/>
      <c r="AN8"/>
      <c r="AO8" s="167" t="s">
        <v>520</v>
      </c>
      <c r="AP8" s="167"/>
      <c r="AQ8" s="167"/>
      <c r="AR8"/>
      <c r="AS8" s="163" t="s">
        <v>521</v>
      </c>
      <c r="AT8" s="163"/>
      <c r="AU8" s="163"/>
      <c r="AV8" s="163"/>
      <c r="BK8" s="146"/>
      <c r="BQ8" s="149" t="s">
        <v>413</v>
      </c>
      <c r="BR8" s="42">
        <v>5</v>
      </c>
      <c r="BS8" s="92" t="s">
        <v>7</v>
      </c>
      <c r="BT8" s="150"/>
      <c r="BX8" s="153">
        <f t="shared" si="5"/>
        <v>360</v>
      </c>
      <c r="BY8" s="153">
        <f t="shared" si="0"/>
        <v>450</v>
      </c>
      <c r="BZ8" s="154">
        <f t="shared" si="4"/>
        <v>0</v>
      </c>
      <c r="CD8" s="41"/>
      <c r="CE8" s="41"/>
      <c r="CF8" s="41"/>
      <c r="CG8" s="41"/>
      <c r="CH8" s="41"/>
      <c r="CI8" s="41"/>
      <c r="CJ8" s="41"/>
      <c r="CK8" s="41"/>
      <c r="CL8" s="41"/>
      <c r="CM8" s="41"/>
      <c r="CN8" s="41"/>
    </row>
    <row r="9" spans="2:105" ht="17" customHeight="1">
      <c r="B9" s="55" t="str">
        <f>+AJ14</f>
        <v>S.R. / Route:</v>
      </c>
      <c r="C9" s="102"/>
      <c r="D9" s="124"/>
      <c r="E9" s="59"/>
      <c r="F9" s="59" t="s">
        <v>434</v>
      </c>
      <c r="G9" s="59"/>
      <c r="H9" s="96">
        <v>0.06</v>
      </c>
      <c r="I9"/>
      <c r="J9"/>
      <c r="L9" s="42">
        <v>21</v>
      </c>
      <c r="M9" s="142" t="s">
        <v>503</v>
      </c>
      <c r="N9" s="137">
        <v>15</v>
      </c>
      <c r="O9" s="92">
        <f t="shared" si="1"/>
        <v>2.1875</v>
      </c>
      <c r="P9" s="134">
        <v>6</v>
      </c>
      <c r="Q9" s="135">
        <f t="shared" si="2"/>
        <v>13.125</v>
      </c>
      <c r="R9" s="247">
        <v>0</v>
      </c>
      <c r="S9" s="250">
        <f t="shared" si="3"/>
        <v>0</v>
      </c>
      <c r="AB9" s="53" t="s">
        <v>632</v>
      </c>
      <c r="AC9" s="273"/>
      <c r="AD9" s="87"/>
      <c r="AE9" s="87"/>
      <c r="AF9" s="33"/>
      <c r="AI9"/>
      <c r="AJ9"/>
      <c r="AK9"/>
      <c r="AL9"/>
      <c r="AM9"/>
      <c r="AN9"/>
      <c r="AO9"/>
      <c r="AP9"/>
      <c r="AQ9"/>
      <c r="AR9"/>
      <c r="AS9"/>
      <c r="AT9"/>
      <c r="AU9"/>
      <c r="AV9"/>
      <c r="BK9" s="146"/>
      <c r="BQ9" s="149" t="s">
        <v>409</v>
      </c>
      <c r="BR9" s="42">
        <v>3</v>
      </c>
      <c r="BS9" s="92" t="s">
        <v>7</v>
      </c>
      <c r="BT9" s="150"/>
      <c r="BU9" s="41"/>
      <c r="BV9" s="41"/>
      <c r="BW9" s="41"/>
      <c r="BX9" s="41"/>
      <c r="BY9" s="41"/>
      <c r="BZ9" s="41"/>
      <c r="CA9" s="41"/>
      <c r="CB9" s="41"/>
      <c r="CC9" s="41"/>
      <c r="CD9" s="41"/>
      <c r="CE9" s="41"/>
      <c r="CF9" s="41"/>
      <c r="CG9" s="41"/>
      <c r="CH9" s="41"/>
      <c r="CI9" s="41"/>
      <c r="CJ9" s="41"/>
      <c r="CK9" s="41"/>
      <c r="CL9" s="41"/>
      <c r="CM9" s="41"/>
      <c r="CN9" s="41"/>
    </row>
    <row r="10" spans="2:105" ht="17" customHeight="1">
      <c r="B10" s="30"/>
      <c r="C10" s="30"/>
      <c r="I10"/>
      <c r="J10"/>
      <c r="L10" s="42">
        <v>24</v>
      </c>
      <c r="M10" s="142" t="s">
        <v>503</v>
      </c>
      <c r="N10" s="42">
        <v>12</v>
      </c>
      <c r="O10" s="92">
        <f t="shared" si="1"/>
        <v>2</v>
      </c>
      <c r="P10" s="134">
        <v>6</v>
      </c>
      <c r="Q10" s="135">
        <f t="shared" si="2"/>
        <v>12</v>
      </c>
      <c r="R10" s="247">
        <v>0</v>
      </c>
      <c r="S10" s="250">
        <f t="shared" si="3"/>
        <v>0</v>
      </c>
      <c r="AB10" s="53" t="s">
        <v>649</v>
      </c>
      <c r="AC10" s="292">
        <f>+Z63</f>
        <v>0.92487270825194823</v>
      </c>
      <c r="AD10" s="54"/>
      <c r="AE10" s="54"/>
      <c r="AF10" s="52"/>
      <c r="AI10" s="168"/>
      <c r="AJ10" s="169" t="s">
        <v>522</v>
      </c>
      <c r="AK10" s="169"/>
      <c r="AL10" s="170" t="s">
        <v>523</v>
      </c>
      <c r="AM10" s="170"/>
      <c r="AN10" s="170"/>
      <c r="AO10" s="168"/>
      <c r="AP10" s="169" t="s">
        <v>524</v>
      </c>
      <c r="AQ10" s="169"/>
      <c r="AR10" s="171">
        <v>45449</v>
      </c>
      <c r="AS10" s="170"/>
      <c r="AT10" s="170"/>
      <c r="AU10" s="168"/>
      <c r="AV10" s="168"/>
      <c r="BK10" s="146"/>
      <c r="BQ10" s="149" t="s">
        <v>408</v>
      </c>
      <c r="BR10" s="42">
        <v>6</v>
      </c>
      <c r="BS10" s="92" t="s">
        <v>32</v>
      </c>
      <c r="BT10" s="150"/>
      <c r="BU10" s="41"/>
      <c r="BV10" s="41"/>
      <c r="BW10" s="41"/>
      <c r="BX10" s="41"/>
      <c r="BY10" s="41"/>
      <c r="BZ10" s="41"/>
      <c r="CA10" s="41"/>
      <c r="CB10" s="41"/>
      <c r="CC10" s="41"/>
      <c r="CD10" s="41"/>
      <c r="CE10" s="41"/>
      <c r="CF10" s="41"/>
      <c r="CG10" s="41"/>
      <c r="CH10" s="41"/>
      <c r="CI10" s="41"/>
      <c r="CJ10" s="41"/>
      <c r="CK10" s="41"/>
      <c r="CL10" s="41"/>
      <c r="CM10" s="41"/>
      <c r="CN10" s="41"/>
      <c r="CQ10" s="45"/>
      <c r="CR10" s="45"/>
      <c r="CS10" s="45"/>
      <c r="CT10" s="45"/>
      <c r="CU10" s="45"/>
      <c r="CV10" s="45"/>
      <c r="CW10" s="45"/>
      <c r="CX10" s="45"/>
      <c r="CY10" s="45"/>
      <c r="CZ10" s="45"/>
      <c r="DA10" s="45"/>
    </row>
    <row r="11" spans="2:105" ht="17" customHeight="1">
      <c r="B11" s="28" t="s">
        <v>475</v>
      </c>
      <c r="C11" s="29"/>
      <c r="D11" s="29"/>
      <c r="E11" s="29"/>
      <c r="F11" s="29"/>
      <c r="G11" s="86"/>
      <c r="H11" s="86"/>
      <c r="I11"/>
      <c r="J11"/>
      <c r="L11" s="42">
        <v>24</v>
      </c>
      <c r="M11" s="142" t="s">
        <v>503</v>
      </c>
      <c r="N11" s="42">
        <v>18</v>
      </c>
      <c r="O11" s="92">
        <f t="shared" si="1"/>
        <v>3</v>
      </c>
      <c r="P11" s="134">
        <v>6</v>
      </c>
      <c r="Q11" s="135">
        <f t="shared" si="2"/>
        <v>18</v>
      </c>
      <c r="R11" s="247">
        <v>0</v>
      </c>
      <c r="S11" s="250">
        <f t="shared" si="3"/>
        <v>0</v>
      </c>
      <c r="AB11" s="53" t="s">
        <v>651</v>
      </c>
      <c r="AC11" s="294">
        <f>+O43+O87+O95</f>
        <v>1519</v>
      </c>
      <c r="AD11" s="54"/>
      <c r="AE11" s="54"/>
      <c r="AF11" s="52"/>
      <c r="AI11"/>
      <c r="AJ11"/>
      <c r="AK11"/>
      <c r="AL11"/>
      <c r="AM11"/>
      <c r="AN11"/>
      <c r="AO11"/>
      <c r="AP11"/>
      <c r="AQ11"/>
      <c r="AR11"/>
      <c r="AS11"/>
      <c r="AT11"/>
      <c r="AU11"/>
      <c r="AV11"/>
      <c r="BK11" s="146"/>
      <c r="BQ11" s="149" t="s">
        <v>406</v>
      </c>
      <c r="BR11" s="42">
        <v>10</v>
      </c>
      <c r="BS11" s="92" t="s">
        <v>7</v>
      </c>
      <c r="BT11" s="150"/>
      <c r="BU11" s="41"/>
      <c r="BV11" s="41"/>
      <c r="BW11" s="41"/>
      <c r="BX11" s="41"/>
      <c r="BY11" s="41"/>
      <c r="BZ11" s="41"/>
      <c r="CA11" s="41"/>
      <c r="CB11" s="41"/>
      <c r="CC11" s="41"/>
      <c r="CD11" s="41"/>
      <c r="CE11" s="41"/>
      <c r="CF11" s="41"/>
      <c r="CG11" s="41"/>
      <c r="CH11" s="41"/>
      <c r="CI11" s="41"/>
      <c r="CJ11" s="41"/>
      <c r="CK11" s="41"/>
      <c r="CL11" s="41"/>
      <c r="CM11" s="41"/>
      <c r="CN11" s="41"/>
    </row>
    <row r="12" spans="2:105" ht="17" customHeight="1">
      <c r="B12" s="61"/>
      <c r="C12" s="98" t="s">
        <v>410</v>
      </c>
      <c r="D12" s="99"/>
      <c r="E12" s="99"/>
      <c r="F12" s="99"/>
      <c r="G12" s="98" t="s">
        <v>410</v>
      </c>
      <c r="H12" s="63"/>
      <c r="I12"/>
      <c r="J12"/>
      <c r="L12" s="42">
        <v>24</v>
      </c>
      <c r="M12" s="142" t="s">
        <v>503</v>
      </c>
      <c r="N12" s="42">
        <v>24</v>
      </c>
      <c r="O12" s="92">
        <f t="shared" si="1"/>
        <v>4</v>
      </c>
      <c r="P12" s="134">
        <v>6</v>
      </c>
      <c r="Q12" s="135">
        <f t="shared" si="2"/>
        <v>24</v>
      </c>
      <c r="R12" s="247">
        <v>0</v>
      </c>
      <c r="S12" s="250">
        <f t="shared" si="3"/>
        <v>0</v>
      </c>
      <c r="AB12" s="53" t="s">
        <v>654</v>
      </c>
      <c r="AC12" s="54"/>
      <c r="AD12" s="54"/>
      <c r="AE12" s="54"/>
      <c r="AF12" s="52"/>
      <c r="AI12"/>
      <c r="AJ12" s="169" t="s">
        <v>525</v>
      </c>
      <c r="AK12" s="169"/>
      <c r="AL12" s="170" t="str">
        <f>D6</f>
        <v xml:space="preserve">Fayette </v>
      </c>
      <c r="AM12" s="170"/>
      <c r="AN12" s="170"/>
      <c r="AO12"/>
      <c r="AP12" s="169" t="s">
        <v>526</v>
      </c>
      <c r="AQ12" s="169"/>
      <c r="AR12" s="171">
        <f ca="1">H5</f>
        <v>45453</v>
      </c>
      <c r="AS12" s="170"/>
      <c r="AT12" s="170"/>
      <c r="AU12"/>
      <c r="AV12"/>
      <c r="BK12" s="146"/>
      <c r="BQ12" s="149" t="s">
        <v>404</v>
      </c>
      <c r="BR12" s="42">
        <v>9</v>
      </c>
      <c r="BS12" s="92" t="s">
        <v>32</v>
      </c>
      <c r="BT12" s="150"/>
      <c r="BU12" s="41"/>
      <c r="BV12" s="41"/>
      <c r="BW12" s="41"/>
      <c r="BX12" s="41"/>
      <c r="BY12" s="41"/>
      <c r="BZ12" s="41"/>
      <c r="CA12" s="41"/>
      <c r="CB12" s="41"/>
      <c r="CC12" s="41"/>
      <c r="CD12" s="41"/>
      <c r="CE12" s="41"/>
      <c r="CF12" s="41"/>
      <c r="CG12" s="41"/>
      <c r="CH12" s="41"/>
      <c r="CI12" s="41"/>
      <c r="CJ12" s="41"/>
      <c r="CK12" s="41"/>
      <c r="CL12" s="41"/>
      <c r="CM12" s="41"/>
      <c r="CN12" s="41"/>
    </row>
    <row r="13" spans="2:105" ht="17" customHeight="1">
      <c r="B13" s="37" t="s">
        <v>424</v>
      </c>
      <c r="C13" s="100" t="s">
        <v>472</v>
      </c>
      <c r="D13" s="246">
        <v>28.42</v>
      </c>
      <c r="E13" s="54"/>
      <c r="F13" s="54" t="s">
        <v>470</v>
      </c>
      <c r="G13" s="100" t="s">
        <v>471</v>
      </c>
      <c r="H13" s="247">
        <v>2</v>
      </c>
      <c r="I13"/>
      <c r="J13"/>
      <c r="L13" s="42" t="s">
        <v>414</v>
      </c>
      <c r="M13" s="142" t="s">
        <v>503</v>
      </c>
      <c r="N13" s="42"/>
      <c r="O13" s="92">
        <v>6.25</v>
      </c>
      <c r="P13" s="134">
        <v>6</v>
      </c>
      <c r="Q13" s="135">
        <f t="shared" si="2"/>
        <v>37.5</v>
      </c>
      <c r="R13" s="247">
        <v>0</v>
      </c>
      <c r="S13" s="250">
        <f t="shared" si="3"/>
        <v>0</v>
      </c>
      <c r="AB13" s="53"/>
      <c r="AC13" s="54"/>
      <c r="AD13" s="54"/>
      <c r="AE13" s="54"/>
      <c r="AF13" s="52"/>
      <c r="AI13"/>
      <c r="AJ13"/>
      <c r="AK13"/>
      <c r="AL13"/>
      <c r="AM13"/>
      <c r="AN13"/>
      <c r="AO13"/>
      <c r="AP13"/>
      <c r="AQ13"/>
      <c r="AR13"/>
      <c r="AS13"/>
      <c r="AT13"/>
      <c r="AU13"/>
      <c r="AV13"/>
      <c r="BK13" s="147"/>
      <c r="BQ13" s="149" t="s">
        <v>403</v>
      </c>
      <c r="BR13" s="42">
        <v>2</v>
      </c>
      <c r="BS13" s="92" t="s">
        <v>7</v>
      </c>
      <c r="BT13" s="150"/>
      <c r="BU13" s="41"/>
      <c r="BV13" s="41"/>
      <c r="BW13" s="41"/>
      <c r="BX13" s="41"/>
      <c r="BY13" s="41"/>
      <c r="BZ13" s="41"/>
      <c r="CA13" s="41"/>
      <c r="CB13" s="41"/>
      <c r="CC13" s="41"/>
      <c r="CD13" s="41"/>
      <c r="CE13" s="41"/>
      <c r="CF13" s="41"/>
      <c r="CG13" s="41"/>
      <c r="CH13" s="41"/>
      <c r="CI13" s="41"/>
      <c r="CJ13" s="41"/>
      <c r="CK13" s="41"/>
      <c r="CL13" s="41"/>
      <c r="CM13" s="41"/>
      <c r="CN13" s="41"/>
      <c r="CQ13" s="45"/>
      <c r="CR13" s="45"/>
      <c r="CS13" s="45"/>
      <c r="CT13" s="46"/>
      <c r="CU13" s="45"/>
      <c r="CV13" s="46"/>
      <c r="CW13" s="45"/>
      <c r="CX13" s="45"/>
      <c r="CY13" s="45"/>
      <c r="CZ13" s="45"/>
      <c r="DA13" s="45"/>
    </row>
    <row r="14" spans="2:105" ht="17" customHeight="1">
      <c r="B14" s="37" t="s">
        <v>422</v>
      </c>
      <c r="C14" s="100" t="s">
        <v>472</v>
      </c>
      <c r="D14" s="246">
        <v>18.989999999999998</v>
      </c>
      <c r="E14" s="54"/>
      <c r="F14" s="83" t="s">
        <v>407</v>
      </c>
      <c r="G14" s="100" t="s">
        <v>398</v>
      </c>
      <c r="H14" s="247">
        <v>1</v>
      </c>
      <c r="I14"/>
      <c r="J14"/>
      <c r="L14" s="137">
        <v>30</v>
      </c>
      <c r="M14" s="142" t="s">
        <v>503</v>
      </c>
      <c r="N14" s="137">
        <v>15</v>
      </c>
      <c r="O14" s="92">
        <f t="shared" si="1"/>
        <v>3.125</v>
      </c>
      <c r="P14" s="134">
        <v>6</v>
      </c>
      <c r="Q14" s="135">
        <f t="shared" si="2"/>
        <v>18.75</v>
      </c>
      <c r="R14" s="247">
        <v>60</v>
      </c>
      <c r="S14" s="250">
        <f t="shared" si="3"/>
        <v>1125</v>
      </c>
      <c r="AB14" s="53"/>
      <c r="AC14" s="54"/>
      <c r="AD14" s="54"/>
      <c r="AE14" s="54"/>
      <c r="AF14" s="52"/>
      <c r="AI14"/>
      <c r="AJ14" s="169" t="s">
        <v>527</v>
      </c>
      <c r="AK14" s="169"/>
      <c r="AL14" s="170">
        <f>D9</f>
        <v>0</v>
      </c>
      <c r="AM14" s="170"/>
      <c r="AN14" s="170"/>
      <c r="AO14"/>
      <c r="AP14" s="169" t="s">
        <v>528</v>
      </c>
      <c r="AQ14" s="169"/>
      <c r="AR14" s="171">
        <f ca="1">H6</f>
        <v>45633</v>
      </c>
      <c r="AS14" s="170"/>
      <c r="AT14" s="170"/>
      <c r="AU14"/>
      <c r="AV14"/>
      <c r="BQ14" s="149" t="s">
        <v>402</v>
      </c>
      <c r="BR14" s="42">
        <v>5</v>
      </c>
      <c r="BS14" s="92" t="s">
        <v>32</v>
      </c>
      <c r="BT14" s="150"/>
      <c r="BU14" s="41"/>
      <c r="BV14" s="41"/>
      <c r="BW14" s="41"/>
      <c r="BX14" s="41"/>
      <c r="BY14" s="41"/>
      <c r="BZ14" s="41"/>
      <c r="CA14" s="41"/>
      <c r="CB14" s="41"/>
      <c r="CC14" s="41"/>
      <c r="CD14" s="41"/>
      <c r="CE14" s="41"/>
      <c r="CF14" s="41"/>
      <c r="CG14" s="41"/>
      <c r="CH14" s="41"/>
      <c r="CI14" s="41"/>
      <c r="CJ14" s="41"/>
      <c r="CK14" s="41"/>
      <c r="CL14" s="41"/>
      <c r="CM14" s="41"/>
      <c r="CN14" s="41"/>
    </row>
    <row r="15" spans="2:105" ht="17" customHeight="1">
      <c r="B15" s="37" t="s">
        <v>480</v>
      </c>
      <c r="C15" s="100" t="s">
        <v>474</v>
      </c>
      <c r="D15" s="114">
        <f>SUM(D13:D14)</f>
        <v>47.41</v>
      </c>
      <c r="E15" s="54"/>
      <c r="F15" s="54" t="s">
        <v>405</v>
      </c>
      <c r="G15" s="100"/>
      <c r="H15" s="117">
        <f>H13*H14</f>
        <v>2</v>
      </c>
      <c r="I15"/>
      <c r="J15"/>
      <c r="L15" s="42">
        <v>30</v>
      </c>
      <c r="M15" s="142" t="s">
        <v>503</v>
      </c>
      <c r="N15" s="42">
        <v>18</v>
      </c>
      <c r="O15" s="92">
        <f t="shared" si="1"/>
        <v>3.75</v>
      </c>
      <c r="P15" s="134">
        <v>6</v>
      </c>
      <c r="Q15" s="135">
        <f t="shared" si="2"/>
        <v>22.5</v>
      </c>
      <c r="R15" s="247">
        <v>60</v>
      </c>
      <c r="S15" s="250">
        <f t="shared" si="3"/>
        <v>1350</v>
      </c>
      <c r="AB15" s="53"/>
      <c r="AC15" s="54"/>
      <c r="AD15" s="54"/>
      <c r="AE15" s="54"/>
      <c r="AF15" s="52"/>
      <c r="AI15"/>
      <c r="AJ15"/>
      <c r="AK15"/>
      <c r="AL15"/>
      <c r="AM15"/>
      <c r="AN15"/>
      <c r="AO15"/>
      <c r="AP15"/>
      <c r="AQ15"/>
      <c r="AR15"/>
      <c r="AS15"/>
      <c r="AT15"/>
      <c r="AU15"/>
      <c r="AV15"/>
      <c r="BQ15" s="149" t="s">
        <v>401</v>
      </c>
      <c r="BR15" s="42">
        <v>2</v>
      </c>
      <c r="BS15" s="92" t="s">
        <v>7</v>
      </c>
      <c r="BT15" s="150"/>
      <c r="BU15" s="41"/>
      <c r="BV15" s="41"/>
      <c r="BW15" s="41"/>
      <c r="BX15" s="41"/>
      <c r="BY15" s="41"/>
      <c r="BZ15" s="41"/>
      <c r="CA15" s="41"/>
      <c r="CB15" s="41"/>
      <c r="CC15" s="41"/>
      <c r="CD15" s="41"/>
      <c r="CE15" s="41"/>
      <c r="CF15" s="41"/>
      <c r="CG15" s="41"/>
      <c r="CH15" s="41"/>
      <c r="CI15" s="41"/>
      <c r="CJ15" s="41"/>
      <c r="CK15" s="41"/>
      <c r="CL15" s="41"/>
      <c r="CM15" s="41"/>
      <c r="CN15" s="41"/>
    </row>
    <row r="16" spans="2:105" ht="17" customHeight="1">
      <c r="B16" s="53" t="s">
        <v>419</v>
      </c>
      <c r="C16" s="100" t="s">
        <v>469</v>
      </c>
      <c r="D16" s="115">
        <v>0.8</v>
      </c>
      <c r="E16" s="54"/>
      <c r="F16" s="54" t="s">
        <v>400</v>
      </c>
      <c r="G16" s="100" t="s">
        <v>389</v>
      </c>
      <c r="H16" s="126">
        <v>6</v>
      </c>
      <c r="I16"/>
      <c r="J16"/>
      <c r="L16" s="42">
        <v>30</v>
      </c>
      <c r="M16" s="142" t="s">
        <v>503</v>
      </c>
      <c r="N16" s="42">
        <v>24</v>
      </c>
      <c r="O16" s="92">
        <f t="shared" si="1"/>
        <v>5</v>
      </c>
      <c r="P16" s="134">
        <v>6</v>
      </c>
      <c r="Q16" s="135">
        <f t="shared" si="2"/>
        <v>30</v>
      </c>
      <c r="R16" s="247">
        <v>0</v>
      </c>
      <c r="S16" s="250">
        <f t="shared" si="3"/>
        <v>0</v>
      </c>
      <c r="AB16" s="65"/>
      <c r="AC16" s="59"/>
      <c r="AD16" s="59"/>
      <c r="AE16" s="59"/>
      <c r="AF16" s="60"/>
      <c r="AI16"/>
      <c r="AJ16" s="169" t="s">
        <v>529</v>
      </c>
      <c r="AK16" s="169"/>
      <c r="AL16" s="170" t="str">
        <f ca="1">D5</f>
        <v>119409</v>
      </c>
      <c r="AM16" s="170"/>
      <c r="AN16" s="170"/>
      <c r="AO16"/>
      <c r="AP16" s="169" t="s">
        <v>530</v>
      </c>
      <c r="AQ16" s="169"/>
      <c r="AR16" s="170">
        <f ca="1">H7</f>
        <v>180</v>
      </c>
      <c r="AS16" s="170"/>
      <c r="AT16" s="170"/>
      <c r="AU16"/>
      <c r="AV16"/>
      <c r="BQ16" s="149" t="s">
        <v>397</v>
      </c>
      <c r="BR16" s="42">
        <v>6</v>
      </c>
      <c r="BS16" s="92" t="s">
        <v>32</v>
      </c>
      <c r="BT16" s="150"/>
      <c r="BU16" s="41"/>
      <c r="BV16" s="41"/>
      <c r="BW16" s="41"/>
      <c r="BX16" s="41"/>
      <c r="BY16" s="41"/>
      <c r="BZ16" s="41"/>
      <c r="CA16" s="41"/>
      <c r="CB16" s="41"/>
      <c r="CC16" s="41"/>
      <c r="CD16" s="41"/>
      <c r="CE16" s="41"/>
      <c r="CF16" s="41"/>
      <c r="CG16" s="41"/>
      <c r="CH16" s="41"/>
      <c r="CI16" s="41"/>
      <c r="CJ16" s="41"/>
      <c r="CK16" s="41"/>
      <c r="CL16" s="41"/>
      <c r="CM16" s="41"/>
      <c r="CN16" s="41"/>
    </row>
    <row r="17" spans="2:100" ht="17" customHeight="1">
      <c r="B17" s="37" t="s">
        <v>481</v>
      </c>
      <c r="C17" s="88"/>
      <c r="D17" s="114">
        <f>+D15*(1+D16)</f>
        <v>85.337999999999994</v>
      </c>
      <c r="E17" s="54"/>
      <c r="F17" s="54" t="s">
        <v>473</v>
      </c>
      <c r="G17" s="100" t="s">
        <v>471</v>
      </c>
      <c r="H17" s="126">
        <v>2</v>
      </c>
      <c r="I17"/>
      <c r="J17"/>
      <c r="L17" s="42">
        <v>30</v>
      </c>
      <c r="M17" s="142" t="s">
        <v>503</v>
      </c>
      <c r="N17" s="42">
        <v>30</v>
      </c>
      <c r="O17" s="92">
        <f t="shared" si="1"/>
        <v>6.25</v>
      </c>
      <c r="P17" s="134">
        <v>6</v>
      </c>
      <c r="Q17" s="135">
        <f t="shared" si="2"/>
        <v>37.5</v>
      </c>
      <c r="R17" s="247">
        <v>0</v>
      </c>
      <c r="S17" s="250">
        <f t="shared" si="3"/>
        <v>0</v>
      </c>
      <c r="AI17"/>
      <c r="AJ17"/>
      <c r="AK17"/>
      <c r="AL17"/>
      <c r="AM17"/>
      <c r="AN17"/>
      <c r="AO17"/>
      <c r="AP17"/>
      <c r="AQ17"/>
      <c r="AR17"/>
      <c r="AS17"/>
      <c r="AT17"/>
      <c r="AU17"/>
      <c r="AV17"/>
      <c r="BQ17" s="149" t="s">
        <v>395</v>
      </c>
      <c r="BR17" s="42">
        <v>10</v>
      </c>
      <c r="BS17" s="92" t="s">
        <v>7</v>
      </c>
      <c r="BT17" s="150"/>
      <c r="BU17" s="41"/>
      <c r="BV17" s="41"/>
      <c r="BW17" s="41"/>
      <c r="BX17" s="41"/>
      <c r="BY17" s="41"/>
      <c r="BZ17" s="41"/>
      <c r="CA17" s="41"/>
      <c r="CB17" s="41"/>
      <c r="CC17" s="41"/>
      <c r="CD17" s="41"/>
      <c r="CE17" s="41"/>
      <c r="CF17" s="41"/>
      <c r="CG17" s="41"/>
      <c r="CH17" s="41"/>
      <c r="CI17" s="41"/>
      <c r="CJ17" s="41"/>
      <c r="CK17" s="41"/>
      <c r="CL17" s="41"/>
      <c r="CM17" s="41"/>
      <c r="CN17" s="41"/>
      <c r="CS17" s="47"/>
      <c r="CT17" s="47"/>
    </row>
    <row r="18" spans="2:100" ht="17" customHeight="1">
      <c r="B18" s="53" t="s">
        <v>412</v>
      </c>
      <c r="C18" s="100" t="s">
        <v>472</v>
      </c>
      <c r="D18" s="114">
        <v>23</v>
      </c>
      <c r="E18" s="54"/>
      <c r="F18" s="54"/>
      <c r="G18" s="54"/>
      <c r="H18" s="52"/>
      <c r="I18"/>
      <c r="J18"/>
      <c r="L18" s="42" t="s">
        <v>418</v>
      </c>
      <c r="M18" s="142" t="s">
        <v>503</v>
      </c>
      <c r="N18" s="42"/>
      <c r="O18" s="92">
        <v>9</v>
      </c>
      <c r="P18" s="134">
        <v>6</v>
      </c>
      <c r="Q18" s="135">
        <f t="shared" si="2"/>
        <v>54</v>
      </c>
      <c r="R18" s="247">
        <v>0</v>
      </c>
      <c r="S18" s="250">
        <f t="shared" si="3"/>
        <v>0</v>
      </c>
      <c r="U18" s="89" t="s">
        <v>640</v>
      </c>
      <c r="V18" s="89"/>
      <c r="W18" s="89"/>
      <c r="X18" s="89"/>
      <c r="Y18" s="89"/>
      <c r="Z18" s="89"/>
      <c r="AA18" s="89"/>
      <c r="AB18" s="89"/>
      <c r="AC18" s="89"/>
      <c r="AD18" s="89"/>
      <c r="AE18" s="89"/>
      <c r="AF18" s="89"/>
      <c r="AI18" s="172" t="s">
        <v>531</v>
      </c>
      <c r="AJ18" s="173"/>
      <c r="AK18" s="173"/>
      <c r="AL18" s="173"/>
      <c r="AM18" s="173"/>
      <c r="AN18" s="173"/>
      <c r="AO18" s="173"/>
      <c r="AP18" s="173"/>
      <c r="AQ18" s="173"/>
      <c r="AR18" s="173"/>
      <c r="AS18" s="173"/>
      <c r="AT18" s="173"/>
      <c r="AU18" s="173"/>
      <c r="AV18" s="174"/>
      <c r="BQ18" s="149" t="s">
        <v>394</v>
      </c>
      <c r="BR18" s="42">
        <v>2</v>
      </c>
      <c r="BS18" s="92" t="s">
        <v>32</v>
      </c>
      <c r="BT18" s="150"/>
      <c r="BU18" s="41"/>
      <c r="BV18" s="41"/>
      <c r="BW18" s="41"/>
      <c r="BX18" s="41"/>
      <c r="BY18" s="41"/>
      <c r="BZ18" s="41"/>
      <c r="CA18" s="41"/>
      <c r="CB18" s="41"/>
      <c r="CC18" s="41"/>
      <c r="CD18" s="41"/>
      <c r="CE18" s="41"/>
      <c r="CF18" s="41"/>
      <c r="CG18" s="41"/>
      <c r="CH18" s="41"/>
      <c r="CI18" s="41"/>
      <c r="CJ18" s="41"/>
      <c r="CK18" s="41"/>
      <c r="CL18" s="41"/>
      <c r="CM18" s="41"/>
      <c r="CN18" s="41"/>
      <c r="CS18" s="47"/>
      <c r="CT18" s="47"/>
    </row>
    <row r="19" spans="2:100" ht="17" customHeight="1">
      <c r="B19" s="53" t="s">
        <v>411</v>
      </c>
      <c r="C19" s="100" t="s">
        <v>469</v>
      </c>
      <c r="D19" s="116">
        <v>0.42</v>
      </c>
      <c r="E19" s="54"/>
      <c r="F19" s="54"/>
      <c r="G19" s="54"/>
      <c r="H19" s="52"/>
      <c r="I19"/>
      <c r="J19"/>
      <c r="L19" s="42" t="s">
        <v>416</v>
      </c>
      <c r="M19" s="142" t="s">
        <v>503</v>
      </c>
      <c r="N19" s="42"/>
      <c r="O19" s="92">
        <v>7.5</v>
      </c>
      <c r="P19" s="134">
        <v>6</v>
      </c>
      <c r="Q19" s="135">
        <f t="shared" si="2"/>
        <v>45</v>
      </c>
      <c r="R19" s="247">
        <v>0</v>
      </c>
      <c r="S19" s="250">
        <f t="shared" si="3"/>
        <v>0</v>
      </c>
      <c r="AI19" s="175" t="s">
        <v>532</v>
      </c>
      <c r="AJ19" s="176"/>
      <c r="AK19" s="176"/>
      <c r="AL19" s="176"/>
      <c r="AM19" s="176"/>
      <c r="AN19" s="176"/>
      <c r="AO19" s="176"/>
      <c r="AP19" s="176"/>
      <c r="AQ19" s="176"/>
      <c r="AR19" s="176"/>
      <c r="AS19" s="176"/>
      <c r="AT19" s="176"/>
      <c r="AU19" s="176"/>
      <c r="AV19" s="177"/>
      <c r="BQ19" s="149" t="s">
        <v>381</v>
      </c>
      <c r="BR19" s="42">
        <v>1</v>
      </c>
      <c r="BS19" s="92" t="s">
        <v>7</v>
      </c>
      <c r="BT19" s="150"/>
      <c r="BU19" s="41"/>
      <c r="BV19" s="41"/>
      <c r="BW19" s="41"/>
      <c r="BX19" s="41"/>
      <c r="BY19" s="41"/>
      <c r="BZ19" s="41"/>
      <c r="CA19" s="41"/>
      <c r="CB19" s="41"/>
      <c r="CC19" s="41"/>
      <c r="CD19" s="41"/>
      <c r="CE19" s="41"/>
      <c r="CF19" s="41"/>
      <c r="CG19" s="41"/>
      <c r="CH19" s="41"/>
      <c r="CI19" s="41"/>
      <c r="CJ19" s="41"/>
      <c r="CK19" s="41"/>
      <c r="CL19" s="41"/>
      <c r="CM19" s="41"/>
      <c r="CN19" s="41"/>
    </row>
    <row r="20" spans="2:100" ht="17" customHeight="1">
      <c r="B20" s="55" t="s">
        <v>482</v>
      </c>
      <c r="C20" s="102"/>
      <c r="D20" s="114">
        <f>+D18*(1+D19)</f>
        <v>32.659999999999997</v>
      </c>
      <c r="E20" s="59"/>
      <c r="F20" s="59"/>
      <c r="G20" s="59"/>
      <c r="H20" s="52"/>
      <c r="I20"/>
      <c r="J20"/>
      <c r="K20" s="54"/>
      <c r="L20" s="42">
        <v>36</v>
      </c>
      <c r="M20" s="142" t="s">
        <v>503</v>
      </c>
      <c r="N20" s="42">
        <v>12</v>
      </c>
      <c r="O20" s="92">
        <f t="shared" si="1"/>
        <v>3</v>
      </c>
      <c r="P20" s="134">
        <v>6</v>
      </c>
      <c r="Q20" s="135">
        <f t="shared" si="2"/>
        <v>18</v>
      </c>
      <c r="R20" s="247">
        <v>0</v>
      </c>
      <c r="S20" s="250">
        <f t="shared" si="3"/>
        <v>0</v>
      </c>
      <c r="AI20" s="175"/>
      <c r="AJ20" s="176"/>
      <c r="AK20" s="176"/>
      <c r="AL20" s="176"/>
      <c r="AM20" s="176"/>
      <c r="AN20" s="176"/>
      <c r="AO20" s="176"/>
      <c r="AP20" s="176"/>
      <c r="AQ20" s="176"/>
      <c r="AR20" s="176"/>
      <c r="AS20" s="176"/>
      <c r="AT20" s="176"/>
      <c r="AU20" s="176"/>
      <c r="AV20" s="177"/>
      <c r="BQ20" s="149" t="s">
        <v>376</v>
      </c>
      <c r="BR20" s="42">
        <v>8</v>
      </c>
      <c r="BS20" s="92" t="s">
        <v>32</v>
      </c>
      <c r="BT20" s="150"/>
      <c r="BU20" s="41"/>
      <c r="BV20" s="41"/>
      <c r="BW20" s="41"/>
      <c r="BX20" s="41"/>
      <c r="BY20" s="41"/>
      <c r="BZ20" s="41"/>
      <c r="CA20" s="41"/>
      <c r="CB20" s="41"/>
      <c r="CC20" s="41"/>
      <c r="CD20" s="41"/>
      <c r="CE20" s="41"/>
      <c r="CF20" s="41"/>
      <c r="CG20" s="41"/>
      <c r="CH20" s="41"/>
      <c r="CI20" s="41"/>
      <c r="CJ20" s="41"/>
      <c r="CK20" s="41"/>
      <c r="CL20" s="41"/>
      <c r="CM20" s="41"/>
      <c r="CN20" s="41"/>
      <c r="CU20" s="47"/>
      <c r="CV20" s="47"/>
    </row>
    <row r="21" spans="2:100" ht="17" customHeight="1">
      <c r="B21" s="62"/>
      <c r="C21" s="62"/>
      <c r="D21" s="62"/>
      <c r="E21" s="99"/>
      <c r="F21" s="99"/>
      <c r="G21" s="99"/>
      <c r="H21" s="99"/>
      <c r="I21"/>
      <c r="J21"/>
      <c r="K21" s="54"/>
      <c r="L21" s="42">
        <v>36</v>
      </c>
      <c r="M21" s="142" t="s">
        <v>503</v>
      </c>
      <c r="N21" s="42">
        <v>18</v>
      </c>
      <c r="O21" s="92">
        <f t="shared" si="1"/>
        <v>4.5</v>
      </c>
      <c r="P21" s="134">
        <v>6</v>
      </c>
      <c r="Q21" s="135">
        <f t="shared" si="2"/>
        <v>27</v>
      </c>
      <c r="R21" s="247">
        <v>0</v>
      </c>
      <c r="S21" s="250">
        <f t="shared" si="3"/>
        <v>0</v>
      </c>
      <c r="AI21" s="175"/>
      <c r="AJ21" s="176"/>
      <c r="AK21" s="176"/>
      <c r="AL21" s="176"/>
      <c r="AM21" s="176"/>
      <c r="AN21" s="176"/>
      <c r="AO21" s="176"/>
      <c r="AP21" s="176"/>
      <c r="AQ21" s="176"/>
      <c r="AR21" s="176"/>
      <c r="AS21" s="176"/>
      <c r="AT21" s="176"/>
      <c r="AU21" s="176"/>
      <c r="AV21" s="177"/>
      <c r="BQ21" s="149" t="s">
        <v>374</v>
      </c>
      <c r="BR21" s="42">
        <v>8</v>
      </c>
      <c r="BS21" s="92" t="s">
        <v>7</v>
      </c>
      <c r="BT21" s="150"/>
      <c r="BU21" s="41"/>
      <c r="BV21" s="41"/>
      <c r="BW21" s="41"/>
      <c r="BX21" s="41"/>
      <c r="BY21" s="41"/>
      <c r="BZ21" s="41"/>
      <c r="CA21" s="41"/>
      <c r="CB21" s="41"/>
      <c r="CC21" s="41"/>
      <c r="CD21" s="41"/>
      <c r="CE21" s="41"/>
      <c r="CF21" s="41"/>
      <c r="CG21" s="41"/>
      <c r="CH21" s="41"/>
      <c r="CI21" s="41"/>
      <c r="CJ21" s="41"/>
      <c r="CK21" s="41"/>
      <c r="CL21" s="41"/>
      <c r="CM21" s="41"/>
      <c r="CN21" s="41"/>
    </row>
    <row r="22" spans="2:100" ht="17" customHeight="1">
      <c r="B22" s="28" t="s">
        <v>476</v>
      </c>
      <c r="C22" s="29"/>
      <c r="D22" s="29"/>
      <c r="E22" s="29"/>
      <c r="F22" s="29"/>
      <c r="G22" s="29"/>
      <c r="H22" s="106"/>
      <c r="I22"/>
      <c r="J22"/>
      <c r="L22" s="42">
        <v>36</v>
      </c>
      <c r="M22" s="142" t="s">
        <v>503</v>
      </c>
      <c r="N22" s="42">
        <v>24</v>
      </c>
      <c r="O22" s="92">
        <f t="shared" si="1"/>
        <v>6</v>
      </c>
      <c r="P22" s="134">
        <v>6</v>
      </c>
      <c r="Q22" s="135">
        <f t="shared" si="2"/>
        <v>36</v>
      </c>
      <c r="R22" s="247">
        <v>0</v>
      </c>
      <c r="S22" s="250">
        <f t="shared" si="3"/>
        <v>0</v>
      </c>
      <c r="AI22" s="178"/>
      <c r="AJ22" s="179"/>
      <c r="AK22" s="179"/>
      <c r="AL22" s="179"/>
      <c r="AM22" s="179"/>
      <c r="AN22" s="179"/>
      <c r="AO22" s="179"/>
      <c r="AP22" s="179"/>
      <c r="AQ22" s="179"/>
      <c r="AR22" s="179"/>
      <c r="AS22" s="179"/>
      <c r="AT22" s="179"/>
      <c r="AU22" s="179"/>
      <c r="AV22" s="180"/>
      <c r="BQ22" s="149" t="s">
        <v>372</v>
      </c>
      <c r="BR22" s="42">
        <v>6</v>
      </c>
      <c r="BS22" s="92" t="s">
        <v>32</v>
      </c>
      <c r="BT22" s="150"/>
      <c r="BU22" s="41"/>
      <c r="BV22" s="41"/>
      <c r="BW22" s="41"/>
      <c r="BX22" s="41"/>
      <c r="BY22" s="41"/>
      <c r="BZ22" s="41"/>
      <c r="CA22" s="41"/>
      <c r="CB22" s="41"/>
      <c r="CC22" s="41"/>
      <c r="CD22" s="41"/>
      <c r="CE22" s="41"/>
      <c r="CF22" s="41"/>
      <c r="CG22" s="41"/>
      <c r="CH22" s="41"/>
      <c r="CI22" s="41"/>
      <c r="CJ22" s="41"/>
      <c r="CK22" s="41"/>
      <c r="CL22" s="41"/>
      <c r="CM22" s="41"/>
      <c r="CN22" s="41"/>
    </row>
    <row r="23" spans="2:100" ht="17" customHeight="1">
      <c r="B23" s="48"/>
      <c r="C23" s="49"/>
      <c r="D23" s="49"/>
      <c r="E23" s="49"/>
      <c r="F23" s="49"/>
      <c r="G23" s="84"/>
      <c r="H23" s="85"/>
      <c r="I23"/>
      <c r="J23"/>
      <c r="L23" s="42">
        <v>36</v>
      </c>
      <c r="M23" s="142" t="s">
        <v>503</v>
      </c>
      <c r="N23" s="42">
        <v>30</v>
      </c>
      <c r="O23" s="92">
        <f t="shared" si="1"/>
        <v>7.5</v>
      </c>
      <c r="P23" s="134">
        <v>6</v>
      </c>
      <c r="Q23" s="135">
        <f t="shared" si="2"/>
        <v>45</v>
      </c>
      <c r="R23" s="247">
        <v>0</v>
      </c>
      <c r="S23" s="250">
        <f t="shared" si="3"/>
        <v>0</v>
      </c>
      <c r="AI23" s="181"/>
      <c r="AJ23" s="181"/>
      <c r="AK23" s="181"/>
      <c r="AL23" s="181"/>
      <c r="AM23" s="181"/>
      <c r="AN23" s="181"/>
      <c r="AO23" s="181"/>
      <c r="AP23" s="181"/>
      <c r="AQ23" s="181"/>
      <c r="AR23" s="181"/>
      <c r="AS23" s="181"/>
      <c r="AT23" s="181"/>
      <c r="AU23" s="181"/>
      <c r="AV23" s="181"/>
      <c r="BQ23" s="149" t="s">
        <v>369</v>
      </c>
      <c r="BR23" s="42">
        <v>2</v>
      </c>
      <c r="BS23" s="92" t="s">
        <v>7</v>
      </c>
      <c r="BT23" s="150"/>
      <c r="BU23" s="41"/>
      <c r="BV23" s="41"/>
      <c r="BW23" s="41"/>
      <c r="BX23" s="41"/>
      <c r="BY23" s="41"/>
      <c r="BZ23" s="41"/>
      <c r="CA23" s="41"/>
      <c r="CB23" s="41"/>
      <c r="CC23" s="41"/>
      <c r="CD23" s="41"/>
      <c r="CE23" s="41"/>
      <c r="CF23" s="41"/>
      <c r="CG23" s="41"/>
      <c r="CH23" s="41"/>
      <c r="CI23" s="41"/>
      <c r="CJ23" s="41"/>
      <c r="CK23" s="41"/>
      <c r="CL23" s="41"/>
      <c r="CM23" s="41"/>
      <c r="CN23" s="41"/>
    </row>
    <row r="24" spans="2:100" ht="17" customHeight="1">
      <c r="B24" s="50" t="s">
        <v>468</v>
      </c>
      <c r="C24" s="89"/>
      <c r="D24" s="89"/>
      <c r="E24" s="107"/>
      <c r="F24" s="89" t="s">
        <v>452</v>
      </c>
      <c r="G24" s="89"/>
      <c r="H24" s="51"/>
      <c r="I24"/>
      <c r="J24"/>
      <c r="L24" s="42">
        <v>36</v>
      </c>
      <c r="M24" s="142" t="s">
        <v>503</v>
      </c>
      <c r="N24" s="42">
        <v>36</v>
      </c>
      <c r="O24" s="92">
        <f t="shared" si="1"/>
        <v>9</v>
      </c>
      <c r="P24" s="134">
        <v>6</v>
      </c>
      <c r="Q24" s="135">
        <f t="shared" si="2"/>
        <v>54</v>
      </c>
      <c r="R24" s="247">
        <v>0</v>
      </c>
      <c r="S24" s="250">
        <f t="shared" si="3"/>
        <v>0</v>
      </c>
      <c r="AI24" s="182" t="s">
        <v>533</v>
      </c>
      <c r="AJ24" s="182"/>
      <c r="AK24" s="183" t="str">
        <f>D4</f>
        <v>Nelson</v>
      </c>
      <c r="AL24" s="183"/>
      <c r="AM24" s="183"/>
      <c r="AN24" s="183"/>
      <c r="AO24" s="184"/>
      <c r="AP24" s="185"/>
      <c r="AQ24" s="185"/>
      <c r="AR24" s="185"/>
      <c r="AS24" s="185"/>
      <c r="AT24" s="237" t="s">
        <v>624</v>
      </c>
      <c r="AU24" s="237"/>
      <c r="AV24" s="237"/>
      <c r="BQ24" s="149" t="s">
        <v>366</v>
      </c>
      <c r="BR24" s="42">
        <v>1</v>
      </c>
      <c r="BS24" s="92" t="s">
        <v>32</v>
      </c>
      <c r="BT24" s="150"/>
      <c r="BU24" s="41"/>
      <c r="BV24" s="41"/>
      <c r="BW24" s="41"/>
      <c r="BX24" s="41"/>
      <c r="BY24" s="41"/>
      <c r="BZ24" s="41"/>
      <c r="CA24" s="41"/>
      <c r="CB24" s="41"/>
      <c r="CC24" s="41"/>
      <c r="CD24" s="41"/>
      <c r="CE24" s="41"/>
      <c r="CF24" s="41"/>
      <c r="CG24" s="41"/>
      <c r="CH24" s="41"/>
      <c r="CI24" s="41"/>
      <c r="CJ24" s="41"/>
      <c r="CK24" s="41"/>
      <c r="CL24" s="41"/>
      <c r="CM24" s="41"/>
      <c r="CN24" s="41"/>
    </row>
    <row r="25" spans="2:100" ht="17" customHeight="1">
      <c r="B25" s="53" t="s">
        <v>400</v>
      </c>
      <c r="C25" s="108" t="s">
        <v>389</v>
      </c>
      <c r="D25" s="118">
        <f>+H16</f>
        <v>6</v>
      </c>
      <c r="E25" s="88"/>
      <c r="F25" s="54" t="s">
        <v>393</v>
      </c>
      <c r="G25" s="108" t="s">
        <v>389</v>
      </c>
      <c r="H25" s="126">
        <v>2</v>
      </c>
      <c r="I25"/>
      <c r="J25"/>
      <c r="L25" s="42" t="s">
        <v>428</v>
      </c>
      <c r="M25" s="142" t="s">
        <v>503</v>
      </c>
      <c r="N25" s="42"/>
      <c r="O25" s="92">
        <v>9</v>
      </c>
      <c r="P25" s="134">
        <v>6</v>
      </c>
      <c r="Q25" s="135">
        <f t="shared" si="2"/>
        <v>54</v>
      </c>
      <c r="R25" s="247">
        <v>0</v>
      </c>
      <c r="S25" s="250">
        <f t="shared" si="3"/>
        <v>0</v>
      </c>
      <c r="AI25"/>
      <c r="AJ25"/>
      <c r="AK25"/>
      <c r="AL25"/>
      <c r="AM25"/>
      <c r="AN25"/>
      <c r="AO25"/>
      <c r="AP25"/>
      <c r="AQ25"/>
      <c r="AR25"/>
      <c r="AS25"/>
      <c r="AT25" s="237"/>
      <c r="AU25" s="237"/>
      <c r="AV25" s="237"/>
      <c r="BQ25" s="149" t="s">
        <v>365</v>
      </c>
      <c r="BR25" s="42">
        <v>12</v>
      </c>
      <c r="BS25" s="92" t="s">
        <v>7</v>
      </c>
      <c r="BT25" s="150"/>
      <c r="BU25" s="41"/>
      <c r="BV25" s="41"/>
      <c r="BW25" s="41"/>
      <c r="BX25" s="41"/>
      <c r="BY25" s="41"/>
      <c r="BZ25" s="41"/>
      <c r="CA25" s="41"/>
      <c r="CB25" s="41"/>
      <c r="CC25" s="41"/>
      <c r="CD25" s="41"/>
      <c r="CE25" s="41"/>
      <c r="CF25" s="41"/>
      <c r="CG25" s="41"/>
      <c r="CH25" s="41"/>
      <c r="CI25" s="41"/>
      <c r="CJ25" s="41"/>
      <c r="CK25" s="41"/>
      <c r="CL25" s="41"/>
      <c r="CM25" s="41"/>
      <c r="CN25" s="41"/>
    </row>
    <row r="26" spans="2:100" ht="17" customHeight="1" thickBot="1">
      <c r="B26" s="53" t="s">
        <v>399</v>
      </c>
      <c r="C26" s="108" t="s">
        <v>398</v>
      </c>
      <c r="D26" s="119">
        <f>+H17</f>
        <v>2</v>
      </c>
      <c r="E26" s="88"/>
      <c r="F26" s="54" t="s">
        <v>388</v>
      </c>
      <c r="G26" s="126" t="s">
        <v>353</v>
      </c>
      <c r="H26" s="64">
        <f>IF(G26="rate",D17,D20)</f>
        <v>85.337999999999994</v>
      </c>
      <c r="I26"/>
      <c r="J26"/>
      <c r="L26" s="42" t="s">
        <v>427</v>
      </c>
      <c r="M26" s="142" t="s">
        <v>503</v>
      </c>
      <c r="N26" s="42"/>
      <c r="O26" s="92">
        <v>16</v>
      </c>
      <c r="P26" s="134">
        <v>6</v>
      </c>
      <c r="Q26" s="135">
        <f t="shared" si="2"/>
        <v>96</v>
      </c>
      <c r="R26" s="247">
        <v>0</v>
      </c>
      <c r="S26" s="250">
        <f t="shared" si="3"/>
        <v>0</v>
      </c>
      <c r="AI26" s="169" t="s">
        <v>534</v>
      </c>
      <c r="AJ26" s="169"/>
      <c r="AK26" s="186" t="s">
        <v>535</v>
      </c>
      <c r="AL26" s="186"/>
      <c r="AM26" s="186"/>
      <c r="AN26" s="186"/>
      <c r="AO26" s="187"/>
      <c r="AP26" s="188"/>
      <c r="AQ26" s="188"/>
      <c r="AR26" s="188"/>
      <c r="AS26" s="188"/>
      <c r="AT26" s="237"/>
      <c r="AU26" s="237"/>
      <c r="AV26" s="237"/>
      <c r="BQ26" s="149" t="s">
        <v>362</v>
      </c>
      <c r="BR26" s="42">
        <v>1</v>
      </c>
      <c r="BS26" s="92" t="s">
        <v>32</v>
      </c>
      <c r="BT26" s="150"/>
      <c r="BU26" s="41"/>
      <c r="BV26" s="41"/>
      <c r="BW26" s="41"/>
      <c r="BX26" s="41"/>
      <c r="BY26" s="41"/>
      <c r="BZ26" s="41"/>
      <c r="CA26" s="41"/>
      <c r="CB26" s="41"/>
      <c r="CC26" s="41"/>
      <c r="CD26" s="41"/>
      <c r="CE26" s="41"/>
      <c r="CF26" s="41"/>
      <c r="CG26" s="41"/>
      <c r="CH26" s="41"/>
      <c r="CI26" s="41"/>
      <c r="CJ26" s="41"/>
      <c r="CK26" s="41"/>
      <c r="CL26" s="41"/>
      <c r="CM26" s="41"/>
      <c r="CN26" s="41"/>
    </row>
    <row r="27" spans="2:100" ht="17" customHeight="1">
      <c r="B27" s="93" t="str">
        <f>"Total " &amp; B24&amp;""</f>
        <v>Total Crew Travel Cost</v>
      </c>
      <c r="C27" s="94"/>
      <c r="D27" s="95">
        <f>D25*D26*D18*H15</f>
        <v>552</v>
      </c>
      <c r="E27" s="88"/>
      <c r="F27" s="94" t="str">
        <f>"Total " &amp; F24&amp;""</f>
        <v>Total Job Set Up Cost</v>
      </c>
      <c r="G27" s="94"/>
      <c r="H27" s="109">
        <f>H25*H26*$H$15</f>
        <v>341.35199999999998</v>
      </c>
      <c r="I27"/>
      <c r="J27"/>
      <c r="L27" s="42">
        <v>48</v>
      </c>
      <c r="M27" s="142" t="s">
        <v>503</v>
      </c>
      <c r="N27" s="42">
        <v>18</v>
      </c>
      <c r="O27" s="92">
        <f t="shared" si="1"/>
        <v>6</v>
      </c>
      <c r="P27" s="134">
        <v>6</v>
      </c>
      <c r="Q27" s="135">
        <f t="shared" si="2"/>
        <v>36</v>
      </c>
      <c r="R27" s="247">
        <v>0</v>
      </c>
      <c r="S27" s="250">
        <f t="shared" si="3"/>
        <v>0</v>
      </c>
      <c r="AI27"/>
      <c r="AJ27"/>
      <c r="AK27"/>
      <c r="AL27"/>
      <c r="AM27"/>
      <c r="AN27"/>
      <c r="AO27"/>
      <c r="AP27"/>
      <c r="AQ27"/>
      <c r="AR27"/>
      <c r="AS27"/>
      <c r="AT27" s="237"/>
      <c r="AU27" s="237"/>
      <c r="AV27" s="237"/>
      <c r="BQ27" s="149" t="s">
        <v>359</v>
      </c>
      <c r="BR27" s="42">
        <v>8</v>
      </c>
      <c r="BS27" s="92" t="s">
        <v>7</v>
      </c>
      <c r="BT27" s="150"/>
      <c r="BU27" s="41"/>
      <c r="BV27" s="41"/>
      <c r="BW27" s="41"/>
      <c r="BX27" s="41"/>
      <c r="BY27" s="41"/>
      <c r="BZ27" s="41"/>
      <c r="CA27" s="41"/>
      <c r="CB27" s="41"/>
      <c r="CC27" s="41"/>
      <c r="CD27" s="41"/>
      <c r="CE27" s="41"/>
      <c r="CF27" s="41"/>
      <c r="CG27" s="41"/>
      <c r="CH27" s="41"/>
      <c r="CI27" s="41"/>
      <c r="CJ27" s="41"/>
      <c r="CK27" s="41"/>
      <c r="CL27" s="41"/>
      <c r="CM27" s="41"/>
      <c r="CN27" s="41"/>
    </row>
    <row r="28" spans="2:100" ht="17" customHeight="1">
      <c r="B28" s="53"/>
      <c r="C28" s="54"/>
      <c r="D28" s="54"/>
      <c r="E28" s="88"/>
      <c r="F28" s="54"/>
      <c r="G28" s="54"/>
      <c r="H28" s="52"/>
      <c r="I28"/>
      <c r="J28"/>
      <c r="L28" s="42">
        <v>48</v>
      </c>
      <c r="M28" s="142" t="s">
        <v>503</v>
      </c>
      <c r="N28" s="42">
        <v>24</v>
      </c>
      <c r="O28" s="92">
        <f t="shared" si="1"/>
        <v>8</v>
      </c>
      <c r="P28" s="134">
        <v>6</v>
      </c>
      <c r="Q28" s="135">
        <f t="shared" si="2"/>
        <v>48</v>
      </c>
      <c r="R28" s="247">
        <v>0</v>
      </c>
      <c r="S28" s="250">
        <f t="shared" si="3"/>
        <v>0</v>
      </c>
      <c r="AI28" s="169" t="s">
        <v>536</v>
      </c>
      <c r="AJ28" s="169"/>
      <c r="AK28" s="170" t="s">
        <v>537</v>
      </c>
      <c r="AL28" s="170"/>
      <c r="AM28" s="170"/>
      <c r="AN28" s="170"/>
      <c r="AO28"/>
      <c r="AP28" s="189"/>
      <c r="AQ28" s="189"/>
      <c r="AR28" s="189"/>
      <c r="AS28" s="189"/>
      <c r="AT28" s="237"/>
      <c r="AU28" s="237"/>
      <c r="AV28" s="237"/>
      <c r="BQ28" s="149" t="s">
        <v>357</v>
      </c>
      <c r="BR28" s="42">
        <v>9</v>
      </c>
      <c r="BS28" s="92" t="s">
        <v>32</v>
      </c>
      <c r="BT28" s="150"/>
      <c r="BU28" s="41"/>
      <c r="BV28" s="41"/>
      <c r="BW28" s="41"/>
      <c r="BX28" s="41"/>
      <c r="BY28" s="41"/>
      <c r="BZ28" s="41"/>
      <c r="CA28" s="41"/>
      <c r="CB28" s="41"/>
      <c r="CC28" s="41"/>
      <c r="CD28" s="41"/>
      <c r="CE28" s="41"/>
      <c r="CF28" s="41"/>
      <c r="CG28" s="41"/>
      <c r="CH28" s="41"/>
      <c r="CI28" s="41"/>
      <c r="CJ28" s="41"/>
      <c r="CK28" s="41"/>
      <c r="CL28" s="41"/>
      <c r="CM28" s="41"/>
      <c r="CN28" s="41"/>
    </row>
    <row r="29" spans="2:100" ht="17" customHeight="1">
      <c r="B29" s="50" t="s">
        <v>453</v>
      </c>
      <c r="C29" s="89"/>
      <c r="D29" s="89"/>
      <c r="E29" s="107"/>
      <c r="F29" s="89" t="s">
        <v>454</v>
      </c>
      <c r="G29" s="89"/>
      <c r="H29" s="51"/>
      <c r="I29"/>
      <c r="J29"/>
      <c r="L29" s="42">
        <v>48</v>
      </c>
      <c r="M29" s="142" t="s">
        <v>503</v>
      </c>
      <c r="N29" s="42">
        <v>30</v>
      </c>
      <c r="O29" s="92">
        <f t="shared" si="1"/>
        <v>10</v>
      </c>
      <c r="P29" s="134">
        <v>6</v>
      </c>
      <c r="Q29" s="135">
        <f t="shared" si="2"/>
        <v>60</v>
      </c>
      <c r="R29" s="247">
        <v>4</v>
      </c>
      <c r="S29" s="250">
        <f t="shared" si="3"/>
        <v>240</v>
      </c>
      <c r="AI29"/>
      <c r="AJ29"/>
      <c r="AK29"/>
      <c r="AL29"/>
      <c r="AM29"/>
      <c r="AN29"/>
      <c r="AO29"/>
      <c r="AP29"/>
      <c r="AQ29"/>
      <c r="AR29"/>
      <c r="AS29"/>
      <c r="AT29"/>
      <c r="AU29"/>
      <c r="AV29"/>
      <c r="BQ29" s="149" t="s">
        <v>356</v>
      </c>
      <c r="BR29" s="42">
        <v>12</v>
      </c>
      <c r="BS29" s="92" t="s">
        <v>7</v>
      </c>
      <c r="BT29" s="150"/>
      <c r="BU29" s="41"/>
      <c r="BV29" s="41"/>
      <c r="BW29" s="41"/>
      <c r="BX29" s="41"/>
      <c r="BY29" s="41"/>
      <c r="BZ29" s="41"/>
      <c r="CA29" s="41"/>
      <c r="CB29" s="41"/>
      <c r="CC29" s="41"/>
      <c r="CD29" s="41"/>
      <c r="CE29" s="41"/>
      <c r="CF29" s="41"/>
      <c r="CG29" s="41"/>
      <c r="CH29" s="41"/>
      <c r="CI29" s="41"/>
      <c r="CJ29" s="41"/>
      <c r="CK29" s="41"/>
      <c r="CL29" s="41"/>
      <c r="CM29" s="41"/>
      <c r="CN29" s="41"/>
    </row>
    <row r="30" spans="2:100" ht="17" customHeight="1">
      <c r="B30" s="53" t="s">
        <v>393</v>
      </c>
      <c r="C30" s="108" t="s">
        <v>389</v>
      </c>
      <c r="D30" s="126">
        <v>2</v>
      </c>
      <c r="E30" s="88"/>
      <c r="F30" s="54" t="s">
        <v>392</v>
      </c>
      <c r="G30" s="108" t="s">
        <v>389</v>
      </c>
      <c r="H30" s="126">
        <v>2</v>
      </c>
      <c r="I30"/>
      <c r="J30"/>
      <c r="L30" s="42">
        <v>48</v>
      </c>
      <c r="M30" s="142" t="s">
        <v>503</v>
      </c>
      <c r="N30" s="42">
        <v>36</v>
      </c>
      <c r="O30" s="92">
        <f t="shared" si="1"/>
        <v>12</v>
      </c>
      <c r="P30" s="134">
        <v>6</v>
      </c>
      <c r="Q30" s="135">
        <f t="shared" si="2"/>
        <v>72</v>
      </c>
      <c r="R30" s="247">
        <v>0</v>
      </c>
      <c r="S30" s="250">
        <f t="shared" si="3"/>
        <v>0</v>
      </c>
      <c r="AI30"/>
      <c r="AJ30" s="190" t="s">
        <v>538</v>
      </c>
      <c r="AK30" s="190"/>
      <c r="AL30" s="190"/>
      <c r="AM30" s="190"/>
      <c r="AN30" s="190"/>
      <c r="AO30"/>
      <c r="AP30"/>
      <c r="AQ30"/>
      <c r="AR30"/>
      <c r="AS30"/>
      <c r="AT30"/>
      <c r="AU30"/>
      <c r="AV30"/>
      <c r="BQ30" s="149" t="s">
        <v>355</v>
      </c>
      <c r="BR30" s="42">
        <v>9</v>
      </c>
      <c r="BS30" s="92" t="s">
        <v>7</v>
      </c>
      <c r="BT30" s="150"/>
      <c r="BU30" s="41"/>
      <c r="BV30" s="41"/>
      <c r="BW30" s="41"/>
      <c r="BX30" s="41"/>
      <c r="BY30" s="41"/>
      <c r="BZ30" s="41"/>
      <c r="CA30" s="41"/>
      <c r="CB30" s="41"/>
      <c r="CC30" s="41"/>
      <c r="CD30" s="41"/>
      <c r="CE30" s="41"/>
      <c r="CF30" s="41"/>
      <c r="CG30" s="41"/>
      <c r="CH30" s="41"/>
      <c r="CI30" s="41"/>
      <c r="CJ30" s="41"/>
      <c r="CK30" s="41"/>
      <c r="CL30" s="41"/>
      <c r="CM30" s="41"/>
      <c r="CN30" s="41"/>
    </row>
    <row r="31" spans="2:100" ht="17" customHeight="1" thickBot="1">
      <c r="B31" s="53" t="s">
        <v>388</v>
      </c>
      <c r="C31" s="126" t="s">
        <v>353</v>
      </c>
      <c r="D31" s="91">
        <f>IF(C31="rate",D15,D18)</f>
        <v>47.41</v>
      </c>
      <c r="E31" s="88"/>
      <c r="F31" s="54" t="s">
        <v>388</v>
      </c>
      <c r="G31" s="126" t="s">
        <v>353</v>
      </c>
      <c r="H31" s="91">
        <f>IF(G31="rate",D15,D18)</f>
        <v>47.41</v>
      </c>
      <c r="I31"/>
      <c r="J31"/>
      <c r="L31" s="42">
        <v>48</v>
      </c>
      <c r="M31" s="142" t="s">
        <v>503</v>
      </c>
      <c r="N31" s="42">
        <v>48</v>
      </c>
      <c r="O31" s="92">
        <f t="shared" si="1"/>
        <v>16</v>
      </c>
      <c r="P31" s="134">
        <v>6</v>
      </c>
      <c r="Q31" s="135">
        <f t="shared" si="2"/>
        <v>96</v>
      </c>
      <c r="R31" s="247">
        <v>0</v>
      </c>
      <c r="S31" s="250">
        <f t="shared" si="3"/>
        <v>0</v>
      </c>
      <c r="AI31"/>
      <c r="AJ31"/>
      <c r="AK31"/>
      <c r="AL31"/>
      <c r="AM31"/>
      <c r="AN31"/>
      <c r="AO31"/>
      <c r="AP31"/>
      <c r="AQ31"/>
      <c r="AR31"/>
      <c r="AS31"/>
      <c r="AT31"/>
      <c r="AU31"/>
      <c r="AV31"/>
      <c r="BQ31" s="149" t="s">
        <v>351</v>
      </c>
      <c r="BR31" s="42">
        <v>10</v>
      </c>
      <c r="BS31" s="92" t="s">
        <v>32</v>
      </c>
      <c r="BT31" s="150"/>
      <c r="BU31" s="41"/>
      <c r="BV31" s="41"/>
      <c r="BW31" s="41"/>
      <c r="BX31" s="41"/>
      <c r="BY31" s="41"/>
      <c r="BZ31" s="41"/>
      <c r="CA31" s="41"/>
      <c r="CB31" s="41"/>
      <c r="CC31" s="41"/>
      <c r="CD31" s="41"/>
      <c r="CE31" s="41"/>
      <c r="CF31" s="41"/>
      <c r="CG31" s="41"/>
      <c r="CH31" s="41"/>
      <c r="CI31" s="41"/>
      <c r="CJ31" s="41"/>
      <c r="CK31" s="41"/>
      <c r="CL31" s="41"/>
      <c r="CM31" s="41"/>
      <c r="CN31" s="41"/>
    </row>
    <row r="32" spans="2:100" ht="17" customHeight="1" thickBot="1">
      <c r="B32" s="93" t="str">
        <f>"Total " &amp; B29&amp;""</f>
        <v>Total Job Pick Up Cost</v>
      </c>
      <c r="C32" s="94"/>
      <c r="D32" s="95">
        <f>D30*D31*$H$15</f>
        <v>189.64</v>
      </c>
      <c r="E32" s="88"/>
      <c r="F32" s="94" t="str">
        <f>"Total " &amp; F29&amp;""</f>
        <v>Total Job Service Cost</v>
      </c>
      <c r="G32" s="94"/>
      <c r="H32" s="109">
        <f>H30*H31*$H$15</f>
        <v>189.64</v>
      </c>
      <c r="I32"/>
      <c r="J32"/>
      <c r="L32" s="42">
        <v>54</v>
      </c>
      <c r="M32" s="142" t="s">
        <v>503</v>
      </c>
      <c r="N32" s="42">
        <v>36</v>
      </c>
      <c r="O32" s="92">
        <f t="shared" si="1"/>
        <v>13.5</v>
      </c>
      <c r="P32" s="134">
        <v>6</v>
      </c>
      <c r="Q32" s="135">
        <f t="shared" si="2"/>
        <v>81</v>
      </c>
      <c r="R32" s="247">
        <v>0</v>
      </c>
      <c r="S32" s="250">
        <f t="shared" si="3"/>
        <v>0</v>
      </c>
      <c r="AI32" s="191" t="s">
        <v>539</v>
      </c>
      <c r="AJ32" s="192"/>
      <c r="AK32" s="191" t="s">
        <v>540</v>
      </c>
      <c r="AL32" s="193"/>
      <c r="AM32" s="193"/>
      <c r="AN32" s="193"/>
      <c r="AO32" s="193"/>
      <c r="AP32" s="192"/>
      <c r="AQ32" s="194" t="s">
        <v>541</v>
      </c>
      <c r="AR32" s="194" t="s">
        <v>542</v>
      </c>
      <c r="AS32" s="191" t="s">
        <v>543</v>
      </c>
      <c r="AT32" s="192"/>
      <c r="AU32" s="191" t="s">
        <v>544</v>
      </c>
      <c r="AV32" s="192"/>
      <c r="BQ32" s="149" t="s">
        <v>349</v>
      </c>
      <c r="BR32" s="42">
        <v>10</v>
      </c>
      <c r="BS32" s="92" t="s">
        <v>7</v>
      </c>
      <c r="BT32" s="150"/>
      <c r="BU32" s="41"/>
      <c r="BV32" s="41"/>
      <c r="BW32" s="41"/>
      <c r="BX32" s="41"/>
      <c r="BY32" s="41"/>
      <c r="BZ32" s="41"/>
      <c r="CA32" s="41"/>
      <c r="CB32" s="41"/>
      <c r="CC32" s="41"/>
      <c r="CD32" s="41"/>
      <c r="CE32" s="41"/>
      <c r="CF32" s="41"/>
      <c r="CG32" s="41"/>
      <c r="CH32" s="41"/>
      <c r="CI32" s="41"/>
      <c r="CJ32" s="41"/>
      <c r="CK32" s="41"/>
      <c r="CL32" s="41"/>
      <c r="CM32" s="41"/>
      <c r="CN32" s="41"/>
    </row>
    <row r="33" spans="1:92" ht="17" customHeight="1">
      <c r="B33" s="53"/>
      <c r="C33" s="54"/>
      <c r="D33" s="54"/>
      <c r="E33" s="88"/>
      <c r="F33" s="54"/>
      <c r="G33" s="54"/>
      <c r="H33" s="52"/>
      <c r="I33"/>
      <c r="J33"/>
      <c r="L33" s="42">
        <v>60</v>
      </c>
      <c r="M33" s="142" t="s">
        <v>503</v>
      </c>
      <c r="N33" s="42">
        <v>24</v>
      </c>
      <c r="O33" s="92">
        <f t="shared" si="1"/>
        <v>10</v>
      </c>
      <c r="P33" s="134">
        <v>6</v>
      </c>
      <c r="Q33" s="135">
        <f t="shared" si="2"/>
        <v>60</v>
      </c>
      <c r="R33" s="247">
        <v>0</v>
      </c>
      <c r="S33" s="250">
        <f t="shared" si="3"/>
        <v>0</v>
      </c>
      <c r="U33" s="262" t="s">
        <v>648</v>
      </c>
      <c r="V33" s="263"/>
      <c r="W33" s="263"/>
      <c r="X33" s="263"/>
      <c r="Y33" s="263"/>
      <c r="Z33" s="264"/>
      <c r="AB33" s="89" t="s">
        <v>639</v>
      </c>
      <c r="AC33" s="89"/>
      <c r="AI33" s="195" t="s">
        <v>545</v>
      </c>
      <c r="AJ33" s="196"/>
      <c r="AK33" s="197" t="s">
        <v>546</v>
      </c>
      <c r="AL33" s="198"/>
      <c r="AM33" s="198"/>
      <c r="AN33" s="198"/>
      <c r="AO33" s="198"/>
      <c r="AP33" s="199"/>
      <c r="AQ33" s="200">
        <v>1</v>
      </c>
      <c r="AR33" s="200" t="s">
        <v>547</v>
      </c>
      <c r="AS33" s="201">
        <v>1015</v>
      </c>
      <c r="AT33" s="201"/>
      <c r="AU33" s="202">
        <f>SUM(AS33)*AQ33</f>
        <v>1015</v>
      </c>
      <c r="AV33" s="203"/>
      <c r="BQ33" s="149" t="s">
        <v>347</v>
      </c>
      <c r="BR33" s="42">
        <v>2</v>
      </c>
      <c r="BS33" s="92" t="s">
        <v>32</v>
      </c>
      <c r="BT33" s="150"/>
      <c r="BU33" s="41"/>
      <c r="BV33" s="41"/>
      <c r="BW33" s="41"/>
      <c r="BX33" s="41"/>
      <c r="BY33" s="41"/>
      <c r="BZ33" s="41"/>
      <c r="CA33" s="41"/>
      <c r="CB33" s="41"/>
      <c r="CC33" s="41"/>
      <c r="CD33" s="41"/>
      <c r="CE33" s="41"/>
      <c r="CF33" s="41"/>
      <c r="CG33" s="41"/>
      <c r="CH33" s="41"/>
      <c r="CI33" s="41"/>
      <c r="CJ33" s="41"/>
      <c r="CK33" s="41"/>
      <c r="CL33" s="41"/>
      <c r="CM33" s="41"/>
      <c r="CN33" s="41"/>
    </row>
    <row r="34" spans="1:92" ht="17" customHeight="1">
      <c r="B34" s="50" t="s">
        <v>391</v>
      </c>
      <c r="C34" s="89"/>
      <c r="D34" s="89"/>
      <c r="E34" s="88"/>
      <c r="F34" s="89" t="str">
        <f>"TOTAL " &amp; B22&amp;""</f>
        <v>TOTAL LABOR COST SUMMARY</v>
      </c>
      <c r="G34" s="89"/>
      <c r="H34" s="51"/>
      <c r="I34" s="132"/>
      <c r="J34" s="132"/>
      <c r="L34" s="42">
        <v>60</v>
      </c>
      <c r="M34" s="142" t="s">
        <v>503</v>
      </c>
      <c r="N34" s="42">
        <v>30</v>
      </c>
      <c r="O34" s="92">
        <f t="shared" si="1"/>
        <v>12.5</v>
      </c>
      <c r="P34" s="134">
        <v>6</v>
      </c>
      <c r="Q34" s="135">
        <f t="shared" si="2"/>
        <v>75</v>
      </c>
      <c r="R34" s="247">
        <v>0</v>
      </c>
      <c r="S34" s="250">
        <f t="shared" si="3"/>
        <v>0</v>
      </c>
      <c r="U34" s="53"/>
      <c r="V34" s="54" t="s">
        <v>443</v>
      </c>
      <c r="W34" s="54" t="s">
        <v>442</v>
      </c>
      <c r="X34" s="54" t="s">
        <v>441</v>
      </c>
      <c r="Y34" s="54" t="s">
        <v>449</v>
      </c>
      <c r="Z34" s="52" t="s">
        <v>450</v>
      </c>
      <c r="AC34" s="239" t="s">
        <v>367</v>
      </c>
      <c r="AI34" s="204" t="s">
        <v>548</v>
      </c>
      <c r="AJ34" s="205"/>
      <c r="AK34" s="206" t="s">
        <v>549</v>
      </c>
      <c r="AL34" s="207"/>
      <c r="AM34" s="207"/>
      <c r="AN34" s="207"/>
      <c r="AO34" s="207"/>
      <c r="AP34" s="208"/>
      <c r="AQ34" s="209">
        <v>1</v>
      </c>
      <c r="AR34" s="209" t="s">
        <v>547</v>
      </c>
      <c r="AS34" s="210">
        <v>1885</v>
      </c>
      <c r="AT34" s="211"/>
      <c r="AU34" s="210">
        <f t="shared" ref="AU34:AU38" si="6">SUM(AS34)*AQ34</f>
        <v>1885</v>
      </c>
      <c r="AV34" s="212"/>
      <c r="BQ34" s="149" t="s">
        <v>346</v>
      </c>
      <c r="BR34" s="42">
        <v>4</v>
      </c>
      <c r="BS34" s="92" t="s">
        <v>7</v>
      </c>
      <c r="BT34" s="150"/>
      <c r="BU34" s="41"/>
      <c r="BV34" s="41"/>
      <c r="BW34" s="41"/>
      <c r="BX34" s="41"/>
      <c r="BY34" s="41"/>
      <c r="BZ34" s="41"/>
      <c r="CA34" s="41"/>
      <c r="CB34" s="41"/>
      <c r="CC34" s="41"/>
      <c r="CD34" s="41"/>
      <c r="CE34" s="41"/>
      <c r="CF34" s="41"/>
      <c r="CG34" s="41"/>
      <c r="CH34" s="41"/>
      <c r="CI34" s="41"/>
      <c r="CJ34" s="41"/>
      <c r="CK34" s="41"/>
      <c r="CL34" s="41"/>
      <c r="CM34" s="41"/>
      <c r="CN34" s="41"/>
    </row>
    <row r="35" spans="1:92" ht="17" customHeight="1">
      <c r="B35" s="53" t="s">
        <v>390</v>
      </c>
      <c r="C35" s="108" t="s">
        <v>389</v>
      </c>
      <c r="D35" s="126">
        <v>2</v>
      </c>
      <c r="E35" s="88"/>
      <c r="F35" s="120" t="s">
        <v>455</v>
      </c>
      <c r="G35" s="121">
        <f>+D30+D35+H25+H30</f>
        <v>8</v>
      </c>
      <c r="H35" s="139">
        <f>+H27+D32+H32+D37</f>
        <v>910.27199999999993</v>
      </c>
      <c r="I35" s="132"/>
      <c r="J35" s="132"/>
      <c r="L35" s="42">
        <v>60</v>
      </c>
      <c r="M35" s="142" t="s">
        <v>503</v>
      </c>
      <c r="N35" s="42">
        <v>48</v>
      </c>
      <c r="O35" s="92">
        <f t="shared" si="1"/>
        <v>20</v>
      </c>
      <c r="P35" s="134">
        <v>6</v>
      </c>
      <c r="Q35" s="135">
        <f t="shared" si="2"/>
        <v>120</v>
      </c>
      <c r="R35" s="247">
        <v>0</v>
      </c>
      <c r="S35" s="250">
        <f t="shared" si="3"/>
        <v>0</v>
      </c>
      <c r="U35" s="53" t="s">
        <v>479</v>
      </c>
      <c r="V35" s="254">
        <f>+W35*(1+D16)</f>
        <v>1638.4895999999999</v>
      </c>
      <c r="W35" s="254">
        <f>+H35</f>
        <v>910.27199999999993</v>
      </c>
      <c r="X35" s="254">
        <f>+V35-W35</f>
        <v>728.21759999999995</v>
      </c>
      <c r="Y35" s="255">
        <f>IFERROR(X35/V35,"-")</f>
        <v>0.44444444444444442</v>
      </c>
      <c r="Z35" s="110"/>
      <c r="AB35" s="30" t="s">
        <v>650</v>
      </c>
      <c r="AC35" s="117">
        <f>+C54+C55</f>
        <v>25</v>
      </c>
      <c r="AI35" s="204" t="s">
        <v>550</v>
      </c>
      <c r="AJ35" s="205"/>
      <c r="AK35" s="206" t="s">
        <v>551</v>
      </c>
      <c r="AL35" s="207"/>
      <c r="AM35" s="207"/>
      <c r="AN35" s="207"/>
      <c r="AO35" s="207"/>
      <c r="AP35" s="208"/>
      <c r="AQ35" s="209">
        <v>25</v>
      </c>
      <c r="AR35" s="209" t="s">
        <v>552</v>
      </c>
      <c r="AS35" s="210">
        <v>50.4</v>
      </c>
      <c r="AT35" s="211"/>
      <c r="AU35" s="210">
        <f t="shared" si="6"/>
        <v>1260</v>
      </c>
      <c r="AV35" s="212"/>
      <c r="BQ35" s="149" t="s">
        <v>345</v>
      </c>
      <c r="BR35" s="42">
        <v>11</v>
      </c>
      <c r="BS35" s="92" t="s">
        <v>7</v>
      </c>
      <c r="BT35" s="150"/>
      <c r="BU35" s="41"/>
      <c r="BV35" s="41"/>
      <c r="BW35" s="41"/>
      <c r="BX35" s="41"/>
      <c r="BY35" s="41"/>
      <c r="BZ35" s="41"/>
      <c r="CA35" s="41"/>
      <c r="CB35" s="41"/>
      <c r="CC35" s="41"/>
      <c r="CD35" s="41"/>
      <c r="CE35" s="41"/>
      <c r="CF35" s="41"/>
      <c r="CG35" s="41"/>
      <c r="CH35" s="41"/>
      <c r="CI35" s="41"/>
      <c r="CJ35" s="41"/>
      <c r="CK35" s="41"/>
      <c r="CL35" s="41"/>
      <c r="CM35" s="41"/>
      <c r="CN35" s="41"/>
    </row>
    <row r="36" spans="1:92" ht="17" customHeight="1" thickBot="1">
      <c r="B36" s="53" t="s">
        <v>388</v>
      </c>
      <c r="C36" s="126" t="s">
        <v>353</v>
      </c>
      <c r="D36" s="91">
        <f>IF(C36="rate",D15,D18)</f>
        <v>47.41</v>
      </c>
      <c r="E36" s="88"/>
      <c r="F36" s="120" t="s">
        <v>456</v>
      </c>
      <c r="G36" s="123">
        <f>+D25</f>
        <v>6</v>
      </c>
      <c r="H36" s="139">
        <f>+D27</f>
        <v>552</v>
      </c>
      <c r="I36" s="132"/>
      <c r="J36" s="132"/>
      <c r="L36" s="42">
        <v>60</v>
      </c>
      <c r="M36" s="142" t="s">
        <v>503</v>
      </c>
      <c r="N36" s="42">
        <v>60</v>
      </c>
      <c r="O36" s="92">
        <f t="shared" si="1"/>
        <v>25</v>
      </c>
      <c r="P36" s="134">
        <v>6</v>
      </c>
      <c r="Q36" s="135">
        <f t="shared" si="2"/>
        <v>150</v>
      </c>
      <c r="R36" s="247">
        <v>0</v>
      </c>
      <c r="S36" s="250">
        <f t="shared" si="3"/>
        <v>0</v>
      </c>
      <c r="U36" s="53" t="s">
        <v>625</v>
      </c>
      <c r="V36" s="254">
        <f>+W36*(1+D19)</f>
        <v>783.83999999999992</v>
      </c>
      <c r="W36" s="254">
        <f>+H36</f>
        <v>552</v>
      </c>
      <c r="X36" s="254">
        <f>+V36-W36</f>
        <v>231.83999999999992</v>
      </c>
      <c r="Y36" s="255">
        <f>IFERROR(X36/V36,"-")</f>
        <v>0.29577464788732388</v>
      </c>
      <c r="Z36" s="110"/>
      <c r="AB36" s="30" t="s">
        <v>336</v>
      </c>
      <c r="AC36" s="117">
        <f>+C56+C57</f>
        <v>5</v>
      </c>
      <c r="AI36" s="204" t="s">
        <v>553</v>
      </c>
      <c r="AJ36" s="205"/>
      <c r="AK36" s="206" t="s">
        <v>554</v>
      </c>
      <c r="AL36" s="207"/>
      <c r="AM36" s="207"/>
      <c r="AN36" s="207"/>
      <c r="AO36" s="207"/>
      <c r="AP36" s="208"/>
      <c r="AQ36" s="209">
        <v>6</v>
      </c>
      <c r="AR36" s="209" t="s">
        <v>552</v>
      </c>
      <c r="AS36" s="210">
        <v>26</v>
      </c>
      <c r="AT36" s="211"/>
      <c r="AU36" s="210">
        <f t="shared" si="6"/>
        <v>156</v>
      </c>
      <c r="AV36" s="212"/>
      <c r="BQ36" s="149" t="s">
        <v>344</v>
      </c>
      <c r="BR36" s="42">
        <v>8</v>
      </c>
      <c r="BS36" s="92" t="s">
        <v>32</v>
      </c>
      <c r="BT36" s="150"/>
      <c r="BU36" s="41"/>
      <c r="BV36" s="41"/>
      <c r="BW36" s="41"/>
      <c r="BX36" s="41"/>
      <c r="BY36" s="41"/>
      <c r="BZ36" s="41"/>
      <c r="CA36" s="41"/>
      <c r="CB36" s="41"/>
      <c r="CC36" s="41"/>
      <c r="CD36" s="41"/>
      <c r="CE36" s="41"/>
      <c r="CF36" s="41"/>
      <c r="CG36" s="41"/>
      <c r="CH36" s="41"/>
      <c r="CI36" s="41"/>
      <c r="CJ36" s="41"/>
      <c r="CK36" s="41"/>
      <c r="CL36" s="41"/>
      <c r="CM36" s="41"/>
      <c r="CN36" s="41"/>
    </row>
    <row r="37" spans="1:92" ht="17" customHeight="1" thickBot="1">
      <c r="B37" s="93" t="str">
        <f>"Total " &amp; B34&amp;""</f>
        <v>Total Other Job Cost</v>
      </c>
      <c r="C37" s="94"/>
      <c r="D37" s="95">
        <f>D35*D36*$H$15</f>
        <v>189.64</v>
      </c>
      <c r="E37" s="102"/>
      <c r="F37" s="111" t="str">
        <f>" " &amp; F34&amp;""</f>
        <v xml:space="preserve"> TOTAL LABOR COST SUMMARY</v>
      </c>
      <c r="G37" s="112">
        <f>SUM(G35:G36)</f>
        <v>14</v>
      </c>
      <c r="H37" s="138">
        <f>SUM(H35:H36)</f>
        <v>1462.2719999999999</v>
      </c>
      <c r="I37" s="132"/>
      <c r="J37" s="132"/>
      <c r="L37" s="42">
        <v>72</v>
      </c>
      <c r="M37" s="142" t="s">
        <v>503</v>
      </c>
      <c r="N37" s="42">
        <v>36</v>
      </c>
      <c r="O37" s="92">
        <f t="shared" si="1"/>
        <v>18</v>
      </c>
      <c r="P37" s="134">
        <v>6</v>
      </c>
      <c r="Q37" s="135">
        <f t="shared" si="2"/>
        <v>108</v>
      </c>
      <c r="R37" s="247">
        <v>0</v>
      </c>
      <c r="S37" s="250">
        <f t="shared" si="3"/>
        <v>0</v>
      </c>
      <c r="U37" s="53" t="s">
        <v>626</v>
      </c>
      <c r="V37" s="254">
        <f>+(H48*D95)+H44</f>
        <v>150</v>
      </c>
      <c r="W37" s="254">
        <f>+H48</f>
        <v>128.79</v>
      </c>
      <c r="X37" s="254">
        <f>+V37-W37</f>
        <v>21.210000000000008</v>
      </c>
      <c r="Y37" s="255">
        <f>IFERROR(X37/V37,"-")</f>
        <v>0.14140000000000005</v>
      </c>
      <c r="Z37" s="110"/>
      <c r="AB37" s="30" t="str">
        <f>+B58</f>
        <v>H Stands</v>
      </c>
      <c r="AC37" s="117">
        <f>+C58</f>
        <v>3</v>
      </c>
      <c r="AI37" s="204" t="s">
        <v>555</v>
      </c>
      <c r="AJ37" s="205"/>
      <c r="AK37" s="206" t="s">
        <v>556</v>
      </c>
      <c r="AL37" s="207"/>
      <c r="AM37" s="207"/>
      <c r="AN37" s="207"/>
      <c r="AO37" s="207"/>
      <c r="AP37" s="208"/>
      <c r="AQ37" s="209">
        <v>11</v>
      </c>
      <c r="AR37" s="209" t="s">
        <v>557</v>
      </c>
      <c r="AS37" s="210">
        <v>239</v>
      </c>
      <c r="AT37" s="211"/>
      <c r="AU37" s="210">
        <f t="shared" si="6"/>
        <v>2629</v>
      </c>
      <c r="AV37" s="212"/>
      <c r="BQ37" s="149" t="s">
        <v>343</v>
      </c>
      <c r="BR37" s="42">
        <v>5</v>
      </c>
      <c r="BS37" s="92" t="s">
        <v>7</v>
      </c>
      <c r="BT37" s="150"/>
      <c r="BU37" s="41"/>
      <c r="BV37" s="41"/>
      <c r="BW37" s="41"/>
      <c r="BX37" s="41"/>
      <c r="BY37" s="41"/>
      <c r="BZ37" s="41"/>
      <c r="CA37" s="41"/>
      <c r="CB37" s="41"/>
      <c r="CC37" s="41"/>
      <c r="CD37" s="41"/>
      <c r="CE37" s="41"/>
      <c r="CF37" s="41"/>
      <c r="CG37" s="41"/>
      <c r="CH37" s="41"/>
      <c r="CI37" s="41"/>
      <c r="CJ37" s="41"/>
      <c r="CK37" s="41"/>
      <c r="CL37" s="41"/>
      <c r="CM37" s="41"/>
      <c r="CN37" s="41"/>
    </row>
    <row r="38" spans="1:92" ht="17" customHeight="1" thickBot="1">
      <c r="I38"/>
      <c r="J38"/>
      <c r="L38" s="42">
        <v>72</v>
      </c>
      <c r="M38" s="142" t="s">
        <v>503</v>
      </c>
      <c r="N38" s="42">
        <v>48</v>
      </c>
      <c r="O38" s="92">
        <f t="shared" si="1"/>
        <v>24</v>
      </c>
      <c r="P38" s="134">
        <v>6</v>
      </c>
      <c r="Q38" s="135">
        <f t="shared" si="2"/>
        <v>144</v>
      </c>
      <c r="R38" s="247">
        <v>0</v>
      </c>
      <c r="S38" s="250">
        <f t="shared" si="3"/>
        <v>0</v>
      </c>
      <c r="U38" s="53" t="str">
        <f>+B54</f>
        <v>4' Type III | 10' ft Post</v>
      </c>
      <c r="V38" s="254">
        <f>+(1-Z38)*E54</f>
        <v>254.53750000000022</v>
      </c>
      <c r="W38" s="254">
        <f ca="1">+C54*D54/F54*$H$7</f>
        <v>358.64383561643837</v>
      </c>
      <c r="X38" s="254">
        <f t="shared" ref="X38:X46" ca="1" si="7">+V38-W38</f>
        <v>-104.10633561643814</v>
      </c>
      <c r="Y38" s="255">
        <f ca="1">IFERROR(X38/V38,"-")</f>
        <v>-0.40900195694716124</v>
      </c>
      <c r="Z38" s="253">
        <v>0.95</v>
      </c>
      <c r="AB38" s="30" t="str">
        <f>+B59</f>
        <v>Sandbags</v>
      </c>
      <c r="AC38" s="117">
        <f>+C59</f>
        <v>330</v>
      </c>
      <c r="AI38" s="213" t="s">
        <v>558</v>
      </c>
      <c r="AJ38" s="214"/>
      <c r="AK38" s="215" t="s">
        <v>559</v>
      </c>
      <c r="AL38" s="216"/>
      <c r="AM38" s="216"/>
      <c r="AN38" s="216"/>
      <c r="AO38" s="216"/>
      <c r="AP38" s="217"/>
      <c r="AQ38" s="218">
        <v>2</v>
      </c>
      <c r="AR38" s="218" t="s">
        <v>557</v>
      </c>
      <c r="AS38" s="219">
        <v>85</v>
      </c>
      <c r="AT38" s="220"/>
      <c r="AU38" s="219">
        <f t="shared" si="6"/>
        <v>170</v>
      </c>
      <c r="AV38" s="221"/>
      <c r="BQ38" s="149" t="s">
        <v>342</v>
      </c>
      <c r="BR38" s="42">
        <v>4</v>
      </c>
      <c r="BS38" s="92" t="s">
        <v>32</v>
      </c>
      <c r="BT38" s="150"/>
      <c r="BU38" s="41"/>
      <c r="BV38" s="41"/>
      <c r="BW38" s="41"/>
      <c r="BX38" s="41"/>
      <c r="BY38" s="41"/>
      <c r="BZ38" s="41"/>
      <c r="CA38" s="41"/>
      <c r="CB38" s="41"/>
      <c r="CC38" s="41"/>
      <c r="CD38" s="41"/>
      <c r="CE38" s="41"/>
      <c r="CF38" s="41"/>
      <c r="CG38" s="41"/>
      <c r="CH38" s="41"/>
      <c r="CI38" s="41"/>
      <c r="CJ38" s="41"/>
      <c r="CK38" s="41"/>
      <c r="CL38" s="41"/>
      <c r="CM38" s="41"/>
      <c r="CN38" s="41"/>
    </row>
    <row r="39" spans="1:92" ht="17" customHeight="1">
      <c r="A39"/>
      <c r="B39" s="28" t="s">
        <v>483</v>
      </c>
      <c r="C39" s="29"/>
      <c r="D39" s="29"/>
      <c r="E39" s="29"/>
      <c r="F39" s="29"/>
      <c r="G39" s="86"/>
      <c r="H39" s="86"/>
      <c r="I39"/>
      <c r="J39"/>
      <c r="K39"/>
      <c r="L39" s="42">
        <v>72</v>
      </c>
      <c r="M39" s="142" t="s">
        <v>503</v>
      </c>
      <c r="N39" s="42">
        <v>60</v>
      </c>
      <c r="O39" s="92">
        <f t="shared" si="1"/>
        <v>30</v>
      </c>
      <c r="P39" s="134">
        <v>6</v>
      </c>
      <c r="Q39" s="135">
        <f t="shared" si="2"/>
        <v>180</v>
      </c>
      <c r="R39" s="247">
        <v>0</v>
      </c>
      <c r="S39" s="250">
        <f t="shared" si="3"/>
        <v>0</v>
      </c>
      <c r="U39" s="53" t="str">
        <f>+B55</f>
        <v>4' Type III | 12' ft Post</v>
      </c>
      <c r="V39" s="254">
        <f>+(1-Z39)*E55</f>
        <v>0</v>
      </c>
      <c r="W39" s="254">
        <f ca="1">+C55*D55/F55*$H$7</f>
        <v>0</v>
      </c>
      <c r="X39" s="254">
        <f t="shared" ca="1" si="7"/>
        <v>0</v>
      </c>
      <c r="Y39" s="255" t="str">
        <f ca="1">IFERROR(X39/V39,"-")</f>
        <v>-</v>
      </c>
      <c r="Z39" s="253">
        <f>+$Z$38</f>
        <v>0.95</v>
      </c>
      <c r="AB39" s="30" t="str">
        <f>+B60</f>
        <v>Covers</v>
      </c>
      <c r="AC39" s="117">
        <f>+C60</f>
        <v>72</v>
      </c>
      <c r="AI39" s="158" t="s">
        <v>560</v>
      </c>
      <c r="AJ39" s="158"/>
      <c r="AK39" s="158"/>
      <c r="AL39" s="158"/>
      <c r="AM39" s="158"/>
      <c r="AN39" s="158"/>
      <c r="AO39" s="158"/>
      <c r="AP39" s="158"/>
      <c r="AQ39" s="158"/>
      <c r="AR39" s="158"/>
      <c r="AS39" s="158"/>
      <c r="AT39" s="158"/>
      <c r="AU39" s="158"/>
      <c r="AV39" s="158"/>
      <c r="BQ39" s="149" t="s">
        <v>341</v>
      </c>
      <c r="BR39" s="42">
        <v>3</v>
      </c>
      <c r="BS39" s="92" t="s">
        <v>7</v>
      </c>
      <c r="BT39" s="150"/>
      <c r="BU39" s="41"/>
      <c r="BV39" s="41"/>
      <c r="BW39" s="41"/>
      <c r="BX39" s="41"/>
      <c r="BY39" s="41"/>
      <c r="BZ39" s="41"/>
      <c r="CA39" s="41"/>
      <c r="CB39" s="41"/>
      <c r="CC39" s="41"/>
      <c r="CD39" s="41"/>
      <c r="CE39" s="41"/>
      <c r="CF39" s="41"/>
      <c r="CG39" s="41"/>
      <c r="CH39" s="41"/>
      <c r="CI39" s="41"/>
      <c r="CJ39" s="41"/>
      <c r="CK39" s="41"/>
      <c r="CL39" s="41"/>
      <c r="CM39" s="41"/>
      <c r="CN39" s="41"/>
    </row>
    <row r="40" spans="1:92" ht="17" customHeight="1">
      <c r="A40"/>
      <c r="B40" s="103"/>
      <c r="C40" s="98" t="s">
        <v>410</v>
      </c>
      <c r="D40" s="62"/>
      <c r="E40" s="99"/>
      <c r="F40" s="99"/>
      <c r="G40" s="98" t="s">
        <v>410</v>
      </c>
      <c r="H40" s="63"/>
      <c r="I40"/>
      <c r="J40"/>
      <c r="K40"/>
      <c r="L40" s="42">
        <v>96</v>
      </c>
      <c r="M40" s="142" t="s">
        <v>503</v>
      </c>
      <c r="N40" s="42">
        <v>48</v>
      </c>
      <c r="O40" s="92">
        <f t="shared" si="1"/>
        <v>32</v>
      </c>
      <c r="P40" s="134">
        <v>6</v>
      </c>
      <c r="Q40" s="135">
        <f t="shared" si="2"/>
        <v>192</v>
      </c>
      <c r="R40" s="247">
        <v>0</v>
      </c>
      <c r="S40" s="250">
        <f t="shared" si="3"/>
        <v>0</v>
      </c>
      <c r="U40" s="53" t="str">
        <f>+B56</f>
        <v>6' Type III | 10' ft Post</v>
      </c>
      <c r="V40" s="254">
        <f>+(1-Z40)*E56</f>
        <v>54.440000000000047</v>
      </c>
      <c r="W40" s="254">
        <f ca="1">+C56*D56/F56*$H$7</f>
        <v>76.706066536203522</v>
      </c>
      <c r="X40" s="254">
        <f t="shared" ca="1" si="7"/>
        <v>-22.266066536203475</v>
      </c>
      <c r="Y40" s="255">
        <f ca="1">IFERROR(X40/V40,"-")</f>
        <v>-0.40900195694716118</v>
      </c>
      <c r="Z40" s="253">
        <f>+$Z$38</f>
        <v>0.95</v>
      </c>
      <c r="AB40" s="30" t="str">
        <f>+B61</f>
        <v>Spring Loaded Metal Stands</v>
      </c>
      <c r="AC40" s="117">
        <f>+C61</f>
        <v>0</v>
      </c>
      <c r="AI40"/>
      <c r="AJ40"/>
      <c r="AK40"/>
      <c r="AL40"/>
      <c r="AM40"/>
      <c r="AN40"/>
      <c r="AO40"/>
      <c r="AP40"/>
      <c r="AQ40"/>
      <c r="AR40"/>
      <c r="AS40"/>
      <c r="AT40"/>
      <c r="AU40"/>
      <c r="AV40"/>
      <c r="BQ40" s="149" t="s">
        <v>338</v>
      </c>
      <c r="BR40" s="42">
        <v>2</v>
      </c>
      <c r="BS40" s="92" t="s">
        <v>7</v>
      </c>
      <c r="BT40" s="150"/>
      <c r="BU40" s="41"/>
      <c r="BV40" s="41"/>
      <c r="BW40" s="41"/>
      <c r="BX40" s="41"/>
      <c r="BY40" s="41"/>
      <c r="BZ40" s="41"/>
      <c r="CA40" s="41"/>
      <c r="CB40" s="41"/>
      <c r="CC40" s="41"/>
      <c r="CD40" s="41"/>
      <c r="CE40" s="41"/>
      <c r="CF40" s="41"/>
      <c r="CG40" s="41"/>
      <c r="CH40" s="41"/>
      <c r="CI40" s="41"/>
      <c r="CJ40" s="41"/>
      <c r="CK40" s="41"/>
      <c r="CL40" s="41"/>
      <c r="CM40" s="41"/>
      <c r="CN40" s="41"/>
    </row>
    <row r="41" spans="1:92" ht="17" customHeight="1">
      <c r="A41"/>
      <c r="B41" s="89" t="s">
        <v>501</v>
      </c>
      <c r="C41" s="89"/>
      <c r="D41" s="51"/>
      <c r="E41" s="129"/>
      <c r="F41" s="89" t="s">
        <v>502</v>
      </c>
      <c r="G41" s="89"/>
      <c r="H41" s="51"/>
      <c r="I41"/>
      <c r="J41"/>
      <c r="K41"/>
      <c r="L41" s="42">
        <v>45</v>
      </c>
      <c r="M41" s="142"/>
      <c r="N41" s="42">
        <v>36</v>
      </c>
      <c r="O41" s="92">
        <f t="shared" si="1"/>
        <v>11.25</v>
      </c>
      <c r="P41" s="134">
        <v>6</v>
      </c>
      <c r="Q41" s="135">
        <f t="shared" ref="Q41" si="8">+P41*O41</f>
        <v>67.5</v>
      </c>
      <c r="R41" s="247">
        <v>60</v>
      </c>
      <c r="S41" s="250">
        <f t="shared" ref="S41" si="9">+Q41*R41</f>
        <v>4050</v>
      </c>
      <c r="U41" s="53" t="str">
        <f>+B57</f>
        <v>6' Type III | 12' ft Post</v>
      </c>
      <c r="V41" s="254">
        <f>+(1-Z41)*E57</f>
        <v>0</v>
      </c>
      <c r="W41" s="254">
        <f ca="1">+C57*D57/F57*$H$7</f>
        <v>0</v>
      </c>
      <c r="X41" s="254">
        <f t="shared" ca="1" si="7"/>
        <v>0</v>
      </c>
      <c r="Y41" s="255" t="str">
        <f ca="1">IFERROR(X41/V41,"-")</f>
        <v>-</v>
      </c>
      <c r="Z41" s="253">
        <f>+$Z$38</f>
        <v>0.95</v>
      </c>
      <c r="AB41" s="30" t="str">
        <f>+B62</f>
        <v>Posts</v>
      </c>
      <c r="AC41" s="117">
        <f>+C62</f>
        <v>0</v>
      </c>
      <c r="AI41" s="222"/>
      <c r="AJ41" s="222"/>
      <c r="AK41" s="222"/>
      <c r="AL41" s="222"/>
      <c r="AM41" s="222"/>
      <c r="AN41" s="222"/>
      <c r="AO41" s="222"/>
      <c r="AP41" s="222"/>
      <c r="AQ41" s="222"/>
      <c r="AR41" s="222"/>
      <c r="AS41" s="222"/>
      <c r="AT41" s="222"/>
      <c r="AU41" s="222"/>
      <c r="AV41" s="222"/>
      <c r="BQ41" s="149" t="s">
        <v>337</v>
      </c>
      <c r="BR41" s="42">
        <v>1</v>
      </c>
      <c r="BS41" s="92" t="s">
        <v>7</v>
      </c>
      <c r="BT41" s="150"/>
      <c r="BU41" s="41"/>
      <c r="BV41" s="41"/>
      <c r="BW41" s="41"/>
      <c r="BX41" s="41"/>
      <c r="BY41" s="41"/>
      <c r="BZ41" s="41"/>
      <c r="CA41" s="41"/>
      <c r="CB41" s="41"/>
      <c r="CC41" s="41"/>
      <c r="CD41" s="41"/>
      <c r="CE41" s="41"/>
      <c r="CF41" s="41"/>
      <c r="CG41" s="41"/>
      <c r="CH41" s="41"/>
      <c r="CI41" s="41"/>
      <c r="CJ41" s="41"/>
      <c r="CK41" s="41"/>
      <c r="CL41" s="41"/>
      <c r="CM41" s="41"/>
      <c r="CN41" s="41"/>
    </row>
    <row r="42" spans="1:92" ht="17" customHeight="1" thickBot="1">
      <c r="A42"/>
      <c r="B42" s="37" t="s">
        <v>385</v>
      </c>
      <c r="C42" s="100" t="s">
        <v>398</v>
      </c>
      <c r="D42" s="118">
        <f>H14</f>
        <v>1</v>
      </c>
      <c r="E42" s="88"/>
      <c r="F42" s="54" t="s">
        <v>364</v>
      </c>
      <c r="G42" s="54"/>
      <c r="H42" s="244" t="s">
        <v>437</v>
      </c>
      <c r="I42" s="132"/>
      <c r="J42" s="132"/>
      <c r="K42"/>
      <c r="L42" s="42"/>
      <c r="M42" s="142"/>
      <c r="N42" s="42"/>
      <c r="O42" s="92"/>
      <c r="P42" s="134"/>
      <c r="Q42" s="135"/>
      <c r="R42" s="247"/>
      <c r="S42" s="136"/>
      <c r="U42" s="53" t="str">
        <f>+B58</f>
        <v>H Stands</v>
      </c>
      <c r="V42" s="254">
        <f>+(1-Z42)*E58</f>
        <v>9.2010000000000094</v>
      </c>
      <c r="W42" s="254">
        <f ca="1">+C58*D58/F58*$H$7</f>
        <v>12.964227005870841</v>
      </c>
      <c r="X42" s="254">
        <f t="shared" ca="1" si="7"/>
        <v>-3.7632270058708315</v>
      </c>
      <c r="Y42" s="255">
        <f ca="1">IFERROR(X42/V42,"-")</f>
        <v>-0.40900195694716091</v>
      </c>
      <c r="Z42" s="253">
        <f>+$Z$38</f>
        <v>0.95</v>
      </c>
      <c r="AB42" s="30" t="str">
        <f>+B71</f>
        <v>A/C-Lites</v>
      </c>
      <c r="AC42" s="117">
        <f>+D71</f>
        <v>50</v>
      </c>
      <c r="AI42" s="222"/>
      <c r="AJ42" s="222"/>
      <c r="AK42" s="222"/>
      <c r="AL42" s="222"/>
      <c r="AM42" s="222"/>
      <c r="AN42" s="222"/>
      <c r="AO42" s="222"/>
      <c r="AP42" s="222"/>
      <c r="AQ42" s="222"/>
      <c r="AR42" s="222"/>
      <c r="AS42" s="222"/>
      <c r="AT42" s="222"/>
      <c r="AU42" s="222"/>
      <c r="AV42" s="222"/>
      <c r="BQ42" s="149" t="s">
        <v>335</v>
      </c>
      <c r="BR42" s="42">
        <v>2</v>
      </c>
      <c r="BS42" s="92" t="s">
        <v>32</v>
      </c>
      <c r="BT42" s="150"/>
      <c r="BU42" s="41"/>
      <c r="BV42" s="41"/>
      <c r="BW42" s="41"/>
      <c r="BX42" s="41"/>
      <c r="BY42" s="41"/>
      <c r="BZ42" s="41"/>
      <c r="CA42" s="41"/>
      <c r="CB42" s="41"/>
      <c r="CC42" s="41"/>
      <c r="CD42" s="41"/>
      <c r="CE42" s="41"/>
      <c r="CF42" s="41"/>
      <c r="CG42" s="41"/>
      <c r="CH42" s="41"/>
      <c r="CI42" s="41"/>
      <c r="CJ42" s="41"/>
      <c r="CK42" s="41"/>
      <c r="CL42" s="41"/>
      <c r="CM42" s="41"/>
      <c r="CN42" s="41"/>
    </row>
    <row r="43" spans="1:92" ht="17" customHeight="1" thickBot="1">
      <c r="A43"/>
      <c r="B43" s="37" t="s">
        <v>380</v>
      </c>
      <c r="C43" s="100" t="s">
        <v>477</v>
      </c>
      <c r="D43" s="126">
        <v>150</v>
      </c>
      <c r="E43" s="54"/>
      <c r="F43" s="54" t="s">
        <v>361</v>
      </c>
      <c r="G43" s="108" t="s">
        <v>360</v>
      </c>
      <c r="H43" s="245">
        <v>75</v>
      </c>
      <c r="I43" s="132"/>
      <c r="J43" s="132"/>
      <c r="K43"/>
      <c r="L43" s="111" t="s">
        <v>367</v>
      </c>
      <c r="M43" s="112"/>
      <c r="N43" s="130"/>
      <c r="O43" s="131">
        <f>SUMPRODUCT(O5:O42,R5:R42)</f>
        <v>1127.5</v>
      </c>
      <c r="P43" s="112"/>
      <c r="Q43" s="130"/>
      <c r="R43" s="143">
        <f>SUM(R5:R42)</f>
        <v>184</v>
      </c>
      <c r="S43" s="241">
        <f>SUM(S5:S42)</f>
        <v>6765</v>
      </c>
      <c r="U43" s="53" t="str">
        <f>+B59</f>
        <v>Sandbags</v>
      </c>
      <c r="V43" s="254">
        <f>+(1-Z43)*E59</f>
        <v>569.25</v>
      </c>
      <c r="W43" s="254">
        <f ca="1">+C59*D59/F59*$H$7</f>
        <v>280.72602739726028</v>
      </c>
      <c r="X43" s="254">
        <f t="shared" ca="1" si="7"/>
        <v>288.52397260273972</v>
      </c>
      <c r="Y43" s="255">
        <f ca="1">IFERROR(X43/V43,"-")</f>
        <v>0.50684931506849318</v>
      </c>
      <c r="Z43" s="253">
        <v>0.5</v>
      </c>
      <c r="AA43" s="132"/>
      <c r="AB43" s="30" t="str">
        <f>+B72</f>
        <v>B-Lites</v>
      </c>
      <c r="AC43" s="117">
        <f>+D72</f>
        <v>50</v>
      </c>
      <c r="AI43" s="222"/>
      <c r="AJ43" s="222"/>
      <c r="AK43" s="222"/>
      <c r="AL43" s="222"/>
      <c r="AM43" s="222"/>
      <c r="AN43" s="222"/>
      <c r="AO43" s="222"/>
      <c r="AP43" s="222"/>
      <c r="AQ43" s="222"/>
      <c r="AR43" s="222"/>
      <c r="AS43" s="222"/>
      <c r="AT43" s="222"/>
      <c r="AU43" s="222"/>
      <c r="AV43" s="222"/>
      <c r="BQ43" s="149" t="s">
        <v>333</v>
      </c>
      <c r="BR43" s="42">
        <v>5</v>
      </c>
      <c r="BS43" s="92" t="s">
        <v>7</v>
      </c>
      <c r="BT43" s="150"/>
      <c r="BU43" s="41"/>
      <c r="BV43" s="41"/>
      <c r="BW43" s="41"/>
      <c r="BX43" s="41"/>
      <c r="BY43" s="41"/>
      <c r="BZ43" s="41"/>
      <c r="CA43" s="41"/>
      <c r="CB43" s="41"/>
      <c r="CC43" s="41"/>
      <c r="CD43" s="41"/>
      <c r="CE43" s="41"/>
      <c r="CF43" s="41"/>
      <c r="CG43" s="41"/>
      <c r="CH43" s="41"/>
      <c r="CI43" s="41"/>
      <c r="CJ43" s="41"/>
      <c r="CK43" s="41"/>
      <c r="CL43" s="41"/>
      <c r="CM43" s="41"/>
      <c r="CN43" s="41"/>
    </row>
    <row r="44" spans="1:92" ht="17" customHeight="1">
      <c r="A44"/>
      <c r="B44" s="37" t="s">
        <v>375</v>
      </c>
      <c r="C44" s="100" t="s">
        <v>398</v>
      </c>
      <c r="D44" s="118">
        <f>+H17</f>
        <v>2</v>
      </c>
      <c r="E44" s="88"/>
      <c r="F44" s="93" t="s">
        <v>358</v>
      </c>
      <c r="G44" s="94"/>
      <c r="H44" s="109">
        <f>IF(H42="Yes",H43*D44,0)</f>
        <v>150</v>
      </c>
      <c r="I44"/>
      <c r="J44"/>
      <c r="K44"/>
      <c r="U44" s="53" t="str">
        <f>+B60</f>
        <v>Covers</v>
      </c>
      <c r="V44" s="254">
        <f>+(1-Z44)*E60</f>
        <v>172.80000000000015</v>
      </c>
      <c r="W44" s="254">
        <f ca="1">+C60*D60/F60*$H$7</f>
        <v>568.10958904109589</v>
      </c>
      <c r="X44" s="254">
        <f t="shared" ca="1" si="7"/>
        <v>-395.30958904109571</v>
      </c>
      <c r="Y44" s="255">
        <f ca="1">IFERROR(X44/V44,"-")</f>
        <v>-2.287671232876709</v>
      </c>
      <c r="Z44" s="253">
        <f>+$Z$38</f>
        <v>0.95</v>
      </c>
      <c r="AA44" s="132"/>
      <c r="AB44" s="30" t="s">
        <v>652</v>
      </c>
      <c r="AC44" s="117">
        <f>+D73</f>
        <v>50</v>
      </c>
      <c r="AI44" s="222"/>
      <c r="AJ44" s="222"/>
      <c r="AK44" s="222"/>
      <c r="AL44" s="222"/>
      <c r="AM44" s="222"/>
      <c r="AN44" s="222"/>
      <c r="AO44" s="222"/>
      <c r="AP44" s="222"/>
      <c r="AQ44" s="222"/>
      <c r="AR44" s="222"/>
      <c r="AS44" s="222"/>
      <c r="AT44" s="222"/>
      <c r="AU44" s="222"/>
      <c r="AV44" s="222"/>
      <c r="BQ44" s="149" t="s">
        <v>331</v>
      </c>
      <c r="BR44" s="42">
        <v>6</v>
      </c>
      <c r="BS44" s="92" t="s">
        <v>32</v>
      </c>
      <c r="BT44" s="150"/>
      <c r="BU44" s="41"/>
      <c r="BV44" s="41"/>
      <c r="BW44" s="41"/>
      <c r="BX44" s="41"/>
      <c r="BY44" s="41"/>
      <c r="BZ44" s="41"/>
      <c r="CA44" s="41"/>
      <c r="CB44" s="41"/>
      <c r="CC44" s="41"/>
      <c r="CD44" s="41"/>
      <c r="CE44" s="41"/>
      <c r="CF44" s="41"/>
      <c r="CG44" s="41"/>
      <c r="CH44" s="41"/>
      <c r="CI44" s="41"/>
      <c r="CJ44" s="41"/>
      <c r="CK44" s="41"/>
      <c r="CL44" s="41"/>
      <c r="CM44" s="41"/>
      <c r="CN44" s="41"/>
    </row>
    <row r="45" spans="1:92" ht="17" customHeight="1">
      <c r="A45"/>
      <c r="B45" s="93" t="s">
        <v>484</v>
      </c>
      <c r="C45" s="94"/>
      <c r="D45" s="127">
        <f>+D42*D43*D44</f>
        <v>300</v>
      </c>
      <c r="E45" s="88"/>
      <c r="F45" s="88"/>
      <c r="G45" s="88"/>
      <c r="H45" s="57"/>
      <c r="I45"/>
      <c r="J45"/>
      <c r="K45"/>
      <c r="L45" s="29" t="s">
        <v>396</v>
      </c>
      <c r="M45" s="29"/>
      <c r="N45" s="29"/>
      <c r="O45" s="29"/>
      <c r="P45" s="29"/>
      <c r="Q45" s="29"/>
      <c r="R45" s="29"/>
      <c r="S45" s="29"/>
      <c r="U45" s="53" t="str">
        <f>+B61</f>
        <v>Spring Loaded Metal Stands</v>
      </c>
      <c r="V45" s="254">
        <f>+(1-Z45)*E61</f>
        <v>0</v>
      </c>
      <c r="W45" s="254">
        <f ca="1">+C61*D61/F61*$H$7</f>
        <v>0</v>
      </c>
      <c r="X45" s="254">
        <f t="shared" ca="1" si="7"/>
        <v>0</v>
      </c>
      <c r="Y45" s="255" t="str">
        <f ca="1">IFERROR(X45/V45,"-")</f>
        <v>-</v>
      </c>
      <c r="Z45" s="253">
        <f>+$Z$38</f>
        <v>0.95</v>
      </c>
      <c r="AA45" s="132"/>
      <c r="AB45" s="30" t="str">
        <f>+U70</f>
        <v>TMA</v>
      </c>
      <c r="AC45" s="117">
        <f>+W70</f>
        <v>0</v>
      </c>
      <c r="AI45" s="222"/>
      <c r="AJ45" s="222"/>
      <c r="AK45" s="222"/>
      <c r="AL45" s="222"/>
      <c r="AM45" s="222"/>
      <c r="AN45" s="222"/>
      <c r="AO45" s="222"/>
      <c r="AP45" s="222"/>
      <c r="AQ45" s="222"/>
      <c r="AR45" s="222"/>
      <c r="AS45" s="222"/>
      <c r="AT45" s="222"/>
      <c r="AU45" s="222"/>
      <c r="AV45" s="222"/>
      <c r="BQ45" s="149" t="s">
        <v>329</v>
      </c>
      <c r="BR45" s="42">
        <v>5</v>
      </c>
      <c r="BS45" s="92" t="s">
        <v>7</v>
      </c>
      <c r="BT45" s="150"/>
      <c r="BU45" s="41"/>
      <c r="BV45" s="41"/>
      <c r="BW45" s="41"/>
      <c r="BX45" s="41"/>
      <c r="BY45" s="41"/>
      <c r="BZ45" s="41"/>
      <c r="CA45" s="41"/>
      <c r="CB45" s="41"/>
      <c r="CC45" s="41"/>
      <c r="CD45" s="41"/>
      <c r="CE45" s="41"/>
      <c r="CF45" s="41"/>
      <c r="CG45" s="41"/>
      <c r="CH45" s="41"/>
      <c r="CI45" s="41"/>
      <c r="CJ45" s="41"/>
      <c r="CK45" s="41"/>
      <c r="CL45" s="41"/>
      <c r="CM45" s="41"/>
      <c r="CN45" s="41"/>
    </row>
    <row r="46" spans="1:92" ht="17" customHeight="1" thickBot="1">
      <c r="A46"/>
      <c r="B46" s="88"/>
      <c r="C46" s="88"/>
      <c r="D46" s="88"/>
      <c r="E46" s="88"/>
      <c r="F46" s="88"/>
      <c r="G46" s="88"/>
      <c r="H46" s="57"/>
      <c r="I46"/>
      <c r="J46"/>
      <c r="K46"/>
      <c r="L46" s="34" t="s">
        <v>384</v>
      </c>
      <c r="M46" s="34"/>
      <c r="N46" s="34"/>
      <c r="O46" s="34" t="s">
        <v>379</v>
      </c>
      <c r="P46" s="34" t="s">
        <v>378</v>
      </c>
      <c r="Q46" s="34" t="s">
        <v>383</v>
      </c>
      <c r="R46" s="35" t="s">
        <v>382</v>
      </c>
      <c r="S46" s="36" t="s">
        <v>367</v>
      </c>
      <c r="U46" s="53" t="str">
        <f>+B62</f>
        <v>Posts</v>
      </c>
      <c r="V46" s="254">
        <f>+(1-Z46)*E62</f>
        <v>0</v>
      </c>
      <c r="W46" s="254">
        <f ca="1">+C62*D62/F62*$H$7</f>
        <v>0</v>
      </c>
      <c r="X46" s="254">
        <f t="shared" ca="1" si="7"/>
        <v>0</v>
      </c>
      <c r="Y46" s="255" t="str">
        <f ca="1">IFERROR(X46/V46,"-")</f>
        <v>-</v>
      </c>
      <c r="Z46" s="253">
        <f>+$Z$38</f>
        <v>0.95</v>
      </c>
      <c r="AB46" s="30" t="str">
        <f>+U71</f>
        <v>Message Board</v>
      </c>
      <c r="AC46" s="117">
        <f>+W71</f>
        <v>0</v>
      </c>
      <c r="AI46" s="222"/>
      <c r="AJ46" s="222"/>
      <c r="AK46" s="222"/>
      <c r="AL46" s="222"/>
      <c r="AM46" s="222"/>
      <c r="AN46" s="222"/>
      <c r="AO46" s="222"/>
      <c r="AP46" s="222"/>
      <c r="AQ46" s="222"/>
      <c r="AR46" s="222"/>
      <c r="AS46" s="222"/>
      <c r="AT46" s="222"/>
      <c r="AU46" s="222"/>
      <c r="AV46" s="222"/>
      <c r="BQ46" s="149" t="s">
        <v>326</v>
      </c>
      <c r="BR46" s="42">
        <v>5</v>
      </c>
      <c r="BS46" s="92" t="s">
        <v>32</v>
      </c>
      <c r="BT46" s="150"/>
      <c r="BU46" s="41"/>
      <c r="BV46" s="41"/>
      <c r="BW46" s="41"/>
      <c r="BX46" s="41"/>
      <c r="BY46" s="41"/>
      <c r="BZ46" s="41"/>
      <c r="CA46" s="41"/>
      <c r="CB46" s="41"/>
      <c r="CC46" s="41"/>
      <c r="CD46" s="41"/>
      <c r="CE46" s="41"/>
      <c r="CF46" s="41"/>
      <c r="CG46" s="41"/>
      <c r="CH46" s="41"/>
      <c r="CI46" s="41"/>
      <c r="CJ46" s="41"/>
      <c r="CK46" s="41"/>
      <c r="CL46" s="41"/>
      <c r="CM46" s="41"/>
      <c r="CN46" s="41"/>
    </row>
    <row r="47" spans="1:92" ht="17" customHeight="1">
      <c r="A47"/>
      <c r="B47" s="89" t="s">
        <v>500</v>
      </c>
      <c r="C47" s="89"/>
      <c r="D47" s="51"/>
      <c r="E47" s="129"/>
      <c r="F47" s="89" t="str">
        <f>"Total " &amp; B39&amp;""</f>
        <v>Total TRUCK AND FUEL COSTS SUMMARY</v>
      </c>
      <c r="G47" s="89"/>
      <c r="H47" s="51"/>
      <c r="I47"/>
      <c r="J47"/>
      <c r="K47"/>
      <c r="L47" s="34"/>
      <c r="M47" s="34"/>
      <c r="N47" s="34"/>
      <c r="O47" s="34"/>
      <c r="P47" s="34" t="s">
        <v>379</v>
      </c>
      <c r="Q47" s="34" t="s">
        <v>378</v>
      </c>
      <c r="R47" s="35" t="s">
        <v>377</v>
      </c>
      <c r="S47" s="40"/>
      <c r="U47" s="276" t="s">
        <v>628</v>
      </c>
      <c r="V47" s="277">
        <f>SUM(V35:V46)</f>
        <v>3632.5581000000006</v>
      </c>
      <c r="W47" s="278">
        <f ca="1">SUM(W35:W46)</f>
        <v>2888.2117455968692</v>
      </c>
      <c r="X47" s="277">
        <f ca="1">SUM(X35:X46)</f>
        <v>744.3463544031315</v>
      </c>
      <c r="Y47" s="279">
        <f ca="1">IFERROR(X47/V47,"-")</f>
        <v>0.20490969006197901</v>
      </c>
      <c r="Z47" s="280">
        <f>1-SUM(V38:V46)/$E$66</f>
        <v>0.90324678524594204</v>
      </c>
      <c r="AB47" s="30" t="str">
        <f>+U72</f>
        <v>Arrow Panel</v>
      </c>
      <c r="AC47" s="117">
        <f>+W72</f>
        <v>0</v>
      </c>
      <c r="AI47" s="222"/>
      <c r="AJ47" s="222"/>
      <c r="AK47" s="222"/>
      <c r="AL47" s="222"/>
      <c r="AM47" s="222"/>
      <c r="AN47" s="222"/>
      <c r="AO47" s="222"/>
      <c r="AP47" s="222"/>
      <c r="AQ47" s="222"/>
      <c r="AR47" s="222"/>
      <c r="AS47" s="222"/>
      <c r="AT47" s="222"/>
      <c r="AU47" s="222"/>
      <c r="AV47" s="222"/>
      <c r="BQ47" s="149" t="s">
        <v>325</v>
      </c>
      <c r="BR47" s="42">
        <v>3</v>
      </c>
      <c r="BS47" s="92" t="s">
        <v>7</v>
      </c>
      <c r="BT47" s="150"/>
      <c r="BU47" s="41"/>
      <c r="BV47" s="41"/>
      <c r="BW47" s="41"/>
      <c r="BX47" s="41"/>
      <c r="BY47" s="41"/>
      <c r="BZ47" s="41"/>
      <c r="CA47" s="41"/>
      <c r="CB47" s="41"/>
      <c r="CC47" s="41"/>
      <c r="CD47" s="41"/>
      <c r="CE47" s="41"/>
      <c r="CF47" s="41"/>
      <c r="CG47" s="41"/>
      <c r="CH47" s="41"/>
      <c r="CI47" s="41"/>
      <c r="CJ47" s="41"/>
      <c r="CK47" s="41"/>
      <c r="CL47" s="41"/>
      <c r="CM47" s="41"/>
      <c r="CN47" s="41"/>
    </row>
    <row r="48" spans="1:92" ht="17" customHeight="1">
      <c r="A48"/>
      <c r="B48" s="37" t="s">
        <v>478</v>
      </c>
      <c r="C48" s="108" t="s">
        <v>373</v>
      </c>
      <c r="D48" s="118">
        <v>10</v>
      </c>
      <c r="E48" s="88"/>
      <c r="F48" s="120" t="str">
        <f>+B50</f>
        <v>Total Fuel Cost</v>
      </c>
      <c r="G48" s="121"/>
      <c r="H48" s="122">
        <f>+D50</f>
        <v>128.79</v>
      </c>
      <c r="I48"/>
      <c r="J48"/>
      <c r="K48"/>
      <c r="L48" s="137">
        <v>12</v>
      </c>
      <c r="M48" s="142" t="s">
        <v>503</v>
      </c>
      <c r="N48" s="137">
        <v>6</v>
      </c>
      <c r="O48" s="92">
        <f>(L48*N48)/144</f>
        <v>0.5</v>
      </c>
      <c r="P48" s="134">
        <v>6.81</v>
      </c>
      <c r="Q48" s="135">
        <f>+P48*O48</f>
        <v>3.4049999999999998</v>
      </c>
      <c r="R48" s="247">
        <v>0</v>
      </c>
      <c r="S48" s="275">
        <f>+Q48*R48</f>
        <v>0</v>
      </c>
      <c r="T48" s="54"/>
      <c r="U48" s="61"/>
      <c r="V48" s="99"/>
      <c r="W48" s="99"/>
      <c r="X48" s="99"/>
      <c r="Y48" s="99"/>
      <c r="Z48" s="286"/>
      <c r="AB48" s="30" t="str">
        <f>+U73</f>
        <v>Speed Display</v>
      </c>
      <c r="AC48" s="117">
        <f>+W73</f>
        <v>0</v>
      </c>
      <c r="AI48" s="222"/>
      <c r="AJ48" s="222"/>
      <c r="AK48" s="222"/>
      <c r="AL48" s="222"/>
      <c r="AM48" s="222"/>
      <c r="AN48" s="222"/>
      <c r="AO48" s="222"/>
      <c r="AP48" s="222"/>
      <c r="AQ48" s="222"/>
      <c r="AR48" s="222"/>
      <c r="AS48" s="222"/>
      <c r="AT48" s="222"/>
      <c r="AU48" s="222"/>
      <c r="AV48" s="222"/>
      <c r="BQ48" s="149" t="s">
        <v>324</v>
      </c>
      <c r="BR48" s="42">
        <v>8</v>
      </c>
      <c r="BS48" s="92" t="s">
        <v>32</v>
      </c>
      <c r="BT48" s="150"/>
      <c r="BU48" s="41"/>
      <c r="BV48" s="41"/>
      <c r="BW48" s="41"/>
      <c r="BX48" s="41"/>
      <c r="BY48" s="41"/>
      <c r="BZ48" s="41"/>
      <c r="CA48" s="41"/>
      <c r="CB48" s="41"/>
      <c r="CC48" s="41"/>
      <c r="CD48" s="41"/>
      <c r="CE48" s="41"/>
      <c r="CF48" s="41"/>
      <c r="CG48" s="41"/>
      <c r="CH48" s="41"/>
      <c r="CI48" s="41"/>
      <c r="CJ48" s="41"/>
      <c r="CK48" s="41"/>
      <c r="CL48" s="41"/>
      <c r="CM48" s="41"/>
      <c r="CN48" s="41"/>
    </row>
    <row r="49" spans="1:92" ht="17" customHeight="1" thickBot="1">
      <c r="A49"/>
      <c r="B49" s="53" t="s">
        <v>371</v>
      </c>
      <c r="C49" s="108" t="s">
        <v>370</v>
      </c>
      <c r="D49" s="125">
        <v>4.2930000000000001</v>
      </c>
      <c r="E49" s="54"/>
      <c r="F49" s="120" t="str">
        <f>+F44</f>
        <v>Total Dispatch Fee</v>
      </c>
      <c r="G49" s="123"/>
      <c r="H49" s="122">
        <f>+H44</f>
        <v>150</v>
      </c>
      <c r="I49"/>
      <c r="J49"/>
      <c r="K49"/>
      <c r="L49" s="137">
        <v>12</v>
      </c>
      <c r="M49" s="142" t="s">
        <v>503</v>
      </c>
      <c r="N49" s="137">
        <v>12</v>
      </c>
      <c r="O49" s="92">
        <f>(L49*N49)/144</f>
        <v>1</v>
      </c>
      <c r="P49" s="134">
        <v>6.81</v>
      </c>
      <c r="Q49" s="135">
        <f>+P49*O49</f>
        <v>6.81</v>
      </c>
      <c r="R49" s="247">
        <v>0</v>
      </c>
      <c r="S49" s="250">
        <f>+Q49*R49</f>
        <v>0</v>
      </c>
      <c r="U49" s="53" t="str">
        <f>+B71</f>
        <v>A/C-Lites</v>
      </c>
      <c r="V49" s="259">
        <f>+I71</f>
        <v>1656.986301369863</v>
      </c>
      <c r="W49" s="259">
        <f ca="1">+C74*D74/J74*$H$7</f>
        <v>394.52054794520546</v>
      </c>
      <c r="X49" s="259">
        <f t="shared" ref="X49:X55" ca="1" si="10">+V49-W49</f>
        <v>1262.4657534246576</v>
      </c>
      <c r="Y49" s="255">
        <f ca="1">IFERROR(X49/V49,"-")</f>
        <v>0.76190476190476197</v>
      </c>
      <c r="Z49" s="258"/>
      <c r="AI49" s="223" t="s">
        <v>561</v>
      </c>
      <c r="AJ49" s="223"/>
      <c r="AK49" s="223"/>
      <c r="AL49" s="223"/>
      <c r="AM49" s="223"/>
      <c r="AN49" s="223"/>
      <c r="AO49" s="223"/>
      <c r="AP49" s="223"/>
      <c r="AQ49" s="223"/>
      <c r="AR49" s="223"/>
      <c r="AS49" s="223"/>
      <c r="AT49" s="223"/>
      <c r="AU49" s="223"/>
      <c r="AV49" s="223"/>
      <c r="BQ49" s="149" t="s">
        <v>322</v>
      </c>
      <c r="BR49" s="42">
        <v>6</v>
      </c>
      <c r="BS49" s="92" t="s">
        <v>7</v>
      </c>
      <c r="BT49" s="150"/>
      <c r="BU49" s="41"/>
      <c r="BV49" s="41"/>
      <c r="BW49" s="41"/>
      <c r="BX49" s="41"/>
      <c r="BY49" s="41"/>
      <c r="BZ49" s="41"/>
      <c r="CA49" s="41"/>
      <c r="CB49" s="41"/>
      <c r="CC49" s="41"/>
      <c r="CD49" s="41"/>
      <c r="CE49" s="41"/>
      <c r="CF49" s="41"/>
      <c r="CG49" s="41"/>
      <c r="CH49" s="41"/>
      <c r="CI49" s="41"/>
      <c r="CJ49" s="41"/>
      <c r="CK49" s="41"/>
      <c r="CL49" s="41"/>
      <c r="CM49" s="41"/>
      <c r="CN49" s="41"/>
    </row>
    <row r="50" spans="1:92" ht="17" customHeight="1" thickBot="1">
      <c r="A50"/>
      <c r="B50" s="93" t="s">
        <v>368</v>
      </c>
      <c r="C50" s="94"/>
      <c r="D50" s="95">
        <f>D45/D48*D49</f>
        <v>128.79</v>
      </c>
      <c r="E50" s="59"/>
      <c r="F50" s="111" t="str">
        <f>"" &amp; F47&amp;""</f>
        <v>Total TRUCK AND FUEL COSTS SUMMARY</v>
      </c>
      <c r="G50" s="112"/>
      <c r="H50" s="113">
        <f>SUM(H48:H49)</f>
        <v>278.78999999999996</v>
      </c>
      <c r="I50"/>
      <c r="J50"/>
      <c r="K50"/>
      <c r="L50" s="42">
        <v>18</v>
      </c>
      <c r="M50" s="142" t="s">
        <v>503</v>
      </c>
      <c r="N50" s="137">
        <v>12</v>
      </c>
      <c r="O50" s="92">
        <f>(L50*N50)/144</f>
        <v>1.5</v>
      </c>
      <c r="P50" s="134">
        <v>6.81</v>
      </c>
      <c r="Q50" s="135">
        <f>+P50*O50</f>
        <v>10.215</v>
      </c>
      <c r="R50" s="247">
        <v>0</v>
      </c>
      <c r="S50" s="250">
        <f>+Q50*R50</f>
        <v>0</v>
      </c>
      <c r="U50" s="53" t="str">
        <f>+B72</f>
        <v>B-Lites</v>
      </c>
      <c r="V50" s="259">
        <f>+$I$72</f>
        <v>1518.9041095890411</v>
      </c>
      <c r="W50" s="259">
        <f ca="1">+$C$72*$D$72/$J$72*$H$7</f>
        <v>904.10958904109589</v>
      </c>
      <c r="X50" s="259">
        <f t="shared" ca="1" si="10"/>
        <v>614.79452054794524</v>
      </c>
      <c r="Y50" s="255">
        <f t="shared" ref="Y50:Y55" ca="1" si="11">IFERROR(X50/V50,"-")</f>
        <v>0.40476190476190477</v>
      </c>
      <c r="Z50" s="260"/>
      <c r="AA50"/>
      <c r="AI50" s="223"/>
      <c r="AJ50" s="223"/>
      <c r="AK50" s="223"/>
      <c r="AL50" s="223"/>
      <c r="AM50" s="223"/>
      <c r="AN50" s="223"/>
      <c r="AO50" s="223"/>
      <c r="AP50" s="223"/>
      <c r="AQ50" s="223"/>
      <c r="AR50" s="223"/>
      <c r="AS50" s="223"/>
      <c r="AT50" s="223"/>
      <c r="AU50" s="223"/>
      <c r="AV50" s="223"/>
      <c r="BQ50" s="149" t="s">
        <v>321</v>
      </c>
      <c r="BR50" s="42">
        <v>4</v>
      </c>
      <c r="BS50" s="92" t="s">
        <v>32</v>
      </c>
      <c r="BT50" s="150"/>
      <c r="BU50" s="41"/>
      <c r="BV50" s="41"/>
      <c r="BW50" s="41"/>
      <c r="BX50" s="41"/>
      <c r="BY50" s="41"/>
      <c r="BZ50" s="41"/>
      <c r="CA50" s="41"/>
      <c r="CB50" s="41"/>
      <c r="CC50" s="41"/>
      <c r="CD50" s="41"/>
      <c r="CE50" s="41"/>
      <c r="CF50" s="41"/>
      <c r="CG50" s="41"/>
      <c r="CH50" s="41"/>
      <c r="CI50" s="41"/>
      <c r="CJ50" s="41"/>
      <c r="CK50" s="41"/>
      <c r="CL50" s="41"/>
      <c r="CM50" s="41"/>
      <c r="CN50" s="41"/>
    </row>
    <row r="51" spans="1:92" ht="17" customHeight="1">
      <c r="F51" s="90"/>
      <c r="G51" s="90"/>
      <c r="H51" s="90"/>
      <c r="I51" s="90"/>
      <c r="J51" s="90"/>
      <c r="L51" s="42">
        <v>18</v>
      </c>
      <c r="M51" s="142" t="s">
        <v>503</v>
      </c>
      <c r="N51" s="42">
        <v>18</v>
      </c>
      <c r="O51" s="92">
        <f>(L51*N51)/144</f>
        <v>2.25</v>
      </c>
      <c r="P51" s="134">
        <v>6.81</v>
      </c>
      <c r="Q51" s="135">
        <f>+P51*O51</f>
        <v>15.3225</v>
      </c>
      <c r="R51" s="247">
        <v>0</v>
      </c>
      <c r="S51" s="250">
        <f>+Q51*R51</f>
        <v>0</v>
      </c>
      <c r="U51" s="53" t="str">
        <f>+B73</f>
        <v>Vertical Panels (Type 11)</v>
      </c>
      <c r="V51" s="259">
        <f>+I73</f>
        <v>1353.2054794520548</v>
      </c>
      <c r="W51" s="259">
        <f ca="1">+C73*D73/J73*$H$7</f>
        <v>345.20547945205476</v>
      </c>
      <c r="X51" s="259">
        <f t="shared" ca="1" si="10"/>
        <v>1008</v>
      </c>
      <c r="Y51" s="255">
        <f t="shared" ca="1" si="11"/>
        <v>0.74489795918367352</v>
      </c>
      <c r="Z51" s="260"/>
      <c r="AA51"/>
      <c r="AI51" s="224"/>
      <c r="AJ51" s="224"/>
      <c r="AK51" s="224"/>
      <c r="AL51" s="224"/>
      <c r="AM51" s="224"/>
      <c r="AN51" s="224"/>
      <c r="AO51" s="224"/>
      <c r="AP51" s="224"/>
      <c r="AQ51" s="224"/>
      <c r="AR51" s="224"/>
      <c r="AS51" s="224"/>
      <c r="AT51" s="224"/>
      <c r="AU51" s="224"/>
      <c r="AV51" s="224"/>
      <c r="BQ51" s="149" t="s">
        <v>320</v>
      </c>
      <c r="BR51" s="42">
        <v>2</v>
      </c>
      <c r="BS51" s="92" t="s">
        <v>7</v>
      </c>
      <c r="BT51" s="150"/>
      <c r="BU51" s="41"/>
      <c r="BV51" s="41"/>
      <c r="BW51" s="41"/>
      <c r="BX51" s="41"/>
      <c r="BY51" s="41"/>
      <c r="BZ51" s="41"/>
      <c r="CA51" s="41"/>
      <c r="CB51" s="41"/>
      <c r="CC51" s="41"/>
      <c r="CD51" s="41"/>
      <c r="CE51" s="41"/>
      <c r="CF51" s="41"/>
      <c r="CG51" s="41"/>
      <c r="CH51" s="41"/>
      <c r="CI51" s="41"/>
      <c r="CJ51" s="41"/>
      <c r="CK51" s="41"/>
      <c r="CL51" s="41"/>
      <c r="CM51" s="41"/>
      <c r="CN51" s="41"/>
    </row>
    <row r="52" spans="1:92" ht="17" customHeight="1">
      <c r="B52" s="28" t="s">
        <v>499</v>
      </c>
      <c r="C52" s="29"/>
      <c r="D52" s="29"/>
      <c r="E52" s="29"/>
      <c r="F52" s="29"/>
      <c r="G52" s="106"/>
      <c r="I52"/>
      <c r="J52"/>
      <c r="L52" s="42">
        <v>21</v>
      </c>
      <c r="M52" s="142" t="s">
        <v>503</v>
      </c>
      <c r="N52" s="137">
        <v>15</v>
      </c>
      <c r="O52" s="92">
        <f>(L52*N52)/144</f>
        <v>2.1875</v>
      </c>
      <c r="P52" s="134">
        <v>6.81</v>
      </c>
      <c r="Q52" s="135">
        <f>+P52*O52</f>
        <v>14.896875</v>
      </c>
      <c r="R52" s="247">
        <v>0</v>
      </c>
      <c r="S52" s="250">
        <f>+Q52*R52</f>
        <v>0</v>
      </c>
      <c r="U52" s="53" t="str">
        <f>+B74</f>
        <v>Vertical Panels (whats the other type called?)</v>
      </c>
      <c r="V52" s="259">
        <f>+I74</f>
        <v>1546.5205479452056</v>
      </c>
      <c r="W52" s="259">
        <f ca="1">+C74*D74/J74*$H$7</f>
        <v>394.52054794520546</v>
      </c>
      <c r="X52" s="259">
        <f t="shared" ca="1" si="10"/>
        <v>1152.0000000000002</v>
      </c>
      <c r="Y52" s="255">
        <f t="shared" ca="1" si="11"/>
        <v>0.74489795918367352</v>
      </c>
      <c r="Z52" s="260"/>
      <c r="AA52"/>
      <c r="AI52" s="224"/>
      <c r="AJ52" s="224"/>
      <c r="AK52" s="224"/>
      <c r="AL52" s="224"/>
      <c r="AM52" s="224"/>
      <c r="AN52" s="224"/>
      <c r="AO52" s="224"/>
      <c r="AP52" s="224"/>
      <c r="AQ52" s="224"/>
      <c r="AR52" s="224"/>
      <c r="AS52" s="224"/>
      <c r="AT52" s="224"/>
      <c r="AU52" s="224"/>
      <c r="AV52" s="224"/>
      <c r="BQ52" s="149" t="s">
        <v>319</v>
      </c>
      <c r="BR52" s="42">
        <v>5</v>
      </c>
      <c r="BS52" s="92" t="s">
        <v>7</v>
      </c>
      <c r="BT52" s="150"/>
      <c r="BU52" s="41"/>
      <c r="BV52" s="41"/>
      <c r="BW52" s="41"/>
      <c r="BX52" s="41"/>
      <c r="BY52" s="41"/>
      <c r="BZ52" s="41"/>
      <c r="CA52" s="41"/>
      <c r="CB52" s="41"/>
      <c r="CC52" s="41"/>
      <c r="CD52" s="41"/>
      <c r="CE52" s="41"/>
      <c r="CF52" s="41"/>
      <c r="CG52" s="41"/>
      <c r="CH52" s="41"/>
      <c r="CI52" s="41"/>
      <c r="CJ52" s="41"/>
      <c r="CK52" s="41"/>
      <c r="CL52" s="41"/>
      <c r="CM52" s="41"/>
      <c r="CN52" s="41"/>
    </row>
    <row r="53" spans="1:92" ht="17" customHeight="1">
      <c r="B53" s="61"/>
      <c r="C53" s="62" t="s">
        <v>340</v>
      </c>
      <c r="D53" s="62" t="s">
        <v>487</v>
      </c>
      <c r="E53" s="62" t="s">
        <v>339</v>
      </c>
      <c r="F53" s="99" t="s">
        <v>629</v>
      </c>
      <c r="G53" s="63"/>
      <c r="I53" s="54"/>
      <c r="J53" s="54"/>
      <c r="L53" s="42">
        <v>24</v>
      </c>
      <c r="M53" s="142" t="s">
        <v>503</v>
      </c>
      <c r="N53" s="42">
        <v>12</v>
      </c>
      <c r="O53" s="92">
        <f>(L53*N53)/144</f>
        <v>2</v>
      </c>
      <c r="P53" s="134">
        <v>6.81</v>
      </c>
      <c r="Q53" s="135">
        <f>+P53*O53</f>
        <v>13.62</v>
      </c>
      <c r="R53" s="247">
        <v>0</v>
      </c>
      <c r="S53" s="250">
        <f>+Q53*R53</f>
        <v>0</v>
      </c>
      <c r="U53" s="274">
        <f t="shared" ref="U53:U55" si="12">+B75</f>
        <v>0</v>
      </c>
      <c r="V53" s="259">
        <f t="shared" ref="V53:V55" si="13">+I75</f>
        <v>0</v>
      </c>
      <c r="W53" s="259">
        <f t="shared" ref="W53:W55" ca="1" si="14">+C75*D75/J75*$H$7</f>
        <v>0</v>
      </c>
      <c r="X53" s="259">
        <f t="shared" ca="1" si="10"/>
        <v>0</v>
      </c>
      <c r="Y53" s="255" t="str">
        <f t="shared" ca="1" si="11"/>
        <v>-</v>
      </c>
      <c r="Z53" s="52"/>
      <c r="AA53"/>
      <c r="AI53"/>
      <c r="AJ53"/>
      <c r="AK53"/>
      <c r="AL53"/>
      <c r="AM53"/>
      <c r="AN53"/>
      <c r="AO53"/>
      <c r="AP53"/>
      <c r="AQ53"/>
      <c r="AR53"/>
      <c r="AS53" s="225"/>
      <c r="AT53"/>
      <c r="AU53"/>
      <c r="AV53"/>
      <c r="BQ53" s="149" t="s">
        <v>318</v>
      </c>
      <c r="BR53" s="42">
        <v>3</v>
      </c>
      <c r="BS53" s="92" t="s">
        <v>32</v>
      </c>
      <c r="BT53" s="150"/>
      <c r="BU53" s="41"/>
      <c r="BV53" s="41"/>
      <c r="BW53" s="41"/>
      <c r="BX53" s="41"/>
      <c r="BY53" s="41"/>
      <c r="BZ53" s="41"/>
      <c r="CA53" s="41"/>
      <c r="CB53" s="41"/>
      <c r="CC53" s="41"/>
      <c r="CD53" s="41"/>
      <c r="CE53" s="41"/>
      <c r="CF53" s="41"/>
      <c r="CG53" s="41"/>
      <c r="CH53" s="41"/>
      <c r="CI53" s="41"/>
      <c r="CJ53" s="41"/>
      <c r="CK53" s="41"/>
      <c r="CL53" s="41"/>
      <c r="CM53" s="41"/>
      <c r="CN53" s="41"/>
    </row>
    <row r="54" spans="1:92" ht="17" customHeight="1">
      <c r="B54" s="37" t="s">
        <v>495</v>
      </c>
      <c r="C54" s="126">
        <v>25</v>
      </c>
      <c r="D54" s="141">
        <f>G141</f>
        <v>203.63</v>
      </c>
      <c r="E54" s="270">
        <f>C54*D54</f>
        <v>5090.75</v>
      </c>
      <c r="F54" s="242">
        <f>7*365</f>
        <v>2555</v>
      </c>
      <c r="G54" s="52"/>
      <c r="I54" s="54"/>
      <c r="J54" s="54"/>
      <c r="L54" s="42">
        <v>24</v>
      </c>
      <c r="M54" s="142" t="s">
        <v>503</v>
      </c>
      <c r="N54" s="42">
        <v>18</v>
      </c>
      <c r="O54" s="92">
        <f>(L54*N54)/144</f>
        <v>3</v>
      </c>
      <c r="P54" s="134">
        <v>6.81</v>
      </c>
      <c r="Q54" s="135">
        <f>+P54*O54</f>
        <v>20.43</v>
      </c>
      <c r="R54" s="247">
        <v>4</v>
      </c>
      <c r="S54" s="250">
        <f>+Q54*R54</f>
        <v>81.72</v>
      </c>
      <c r="U54" s="274">
        <f t="shared" si="12"/>
        <v>0</v>
      </c>
      <c r="V54" s="259">
        <f t="shared" si="13"/>
        <v>0</v>
      </c>
      <c r="W54" s="259">
        <f t="shared" ca="1" si="14"/>
        <v>0</v>
      </c>
      <c r="X54" s="259">
        <f t="shared" ca="1" si="10"/>
        <v>0</v>
      </c>
      <c r="Y54" s="255" t="str">
        <f t="shared" ca="1" si="11"/>
        <v>-</v>
      </c>
      <c r="Z54" s="52"/>
      <c r="AA54"/>
      <c r="AI54" s="226" t="s">
        <v>562</v>
      </c>
      <c r="AJ54" s="226"/>
      <c r="AK54" s="227"/>
      <c r="AL54" s="227"/>
      <c r="AM54" s="227"/>
      <c r="AN54" s="227"/>
      <c r="AO54" s="227"/>
      <c r="AP54" s="227"/>
      <c r="AQ54" s="227"/>
      <c r="AR54" s="227"/>
      <c r="AS54" s="228" t="s">
        <v>563</v>
      </c>
      <c r="AT54" s="227"/>
      <c r="AU54" s="227"/>
      <c r="AV54" s="227"/>
      <c r="BQ54" s="149" t="s">
        <v>317</v>
      </c>
      <c r="BR54" s="42">
        <v>9</v>
      </c>
      <c r="BS54" s="92" t="s">
        <v>7</v>
      </c>
      <c r="BT54" s="150"/>
      <c r="BU54" s="41"/>
      <c r="BV54" s="41"/>
      <c r="BW54" s="41"/>
      <c r="BX54" s="41"/>
      <c r="BY54" s="41"/>
      <c r="BZ54" s="41"/>
      <c r="CA54" s="41"/>
      <c r="CB54" s="41"/>
      <c r="CC54" s="41"/>
      <c r="CD54" s="41"/>
      <c r="CE54" s="41"/>
      <c r="CF54" s="41"/>
      <c r="CG54" s="41"/>
      <c r="CH54" s="41"/>
      <c r="CI54" s="41"/>
      <c r="CJ54" s="41"/>
      <c r="CK54" s="41"/>
      <c r="CL54" s="41"/>
      <c r="CM54" s="41"/>
      <c r="CN54" s="41"/>
    </row>
    <row r="55" spans="1:92" ht="17" customHeight="1" thickBot="1">
      <c r="B55" s="37" t="s">
        <v>497</v>
      </c>
      <c r="C55" s="126">
        <v>0</v>
      </c>
      <c r="D55" s="141">
        <f>G151</f>
        <v>215.55</v>
      </c>
      <c r="E55" s="270">
        <f t="shared" ref="E55" si="15">C55*D55</f>
        <v>0</v>
      </c>
      <c r="F55" s="242">
        <f>7*365</f>
        <v>2555</v>
      </c>
      <c r="G55" s="52"/>
      <c r="I55" s="54"/>
      <c r="J55" s="54"/>
      <c r="L55" s="42">
        <v>24</v>
      </c>
      <c r="M55" s="142" t="s">
        <v>503</v>
      </c>
      <c r="N55" s="42">
        <v>24</v>
      </c>
      <c r="O55" s="92">
        <f>(L55*N55)/144</f>
        <v>4</v>
      </c>
      <c r="P55" s="134">
        <v>6.81</v>
      </c>
      <c r="Q55" s="135">
        <f>+P55*O55</f>
        <v>27.24</v>
      </c>
      <c r="R55" s="247">
        <v>0</v>
      </c>
      <c r="S55" s="250">
        <f>+Q55*R55</f>
        <v>0</v>
      </c>
      <c r="U55" s="274">
        <f t="shared" si="12"/>
        <v>0</v>
      </c>
      <c r="V55" s="259">
        <f t="shared" si="13"/>
        <v>0</v>
      </c>
      <c r="W55" s="259">
        <f t="shared" ca="1" si="14"/>
        <v>0</v>
      </c>
      <c r="X55" s="259">
        <f t="shared" ca="1" si="10"/>
        <v>0</v>
      </c>
      <c r="Y55" s="255" t="str">
        <f t="shared" ca="1" si="11"/>
        <v>-</v>
      </c>
      <c r="Z55" s="52"/>
      <c r="AA55"/>
      <c r="AI55"/>
      <c r="AJ55"/>
      <c r="AK55"/>
      <c r="AL55"/>
      <c r="AM55"/>
      <c r="AN55"/>
      <c r="AO55"/>
      <c r="AP55"/>
      <c r="AQ55"/>
      <c r="AR55"/>
      <c r="AS55"/>
      <c r="AT55"/>
      <c r="AU55"/>
      <c r="AV55"/>
      <c r="BQ55" s="149" t="s">
        <v>316</v>
      </c>
      <c r="BR55" s="42">
        <v>3</v>
      </c>
      <c r="BS55" s="92" t="s">
        <v>7</v>
      </c>
      <c r="BT55" s="150"/>
      <c r="BU55" s="41"/>
      <c r="BV55" s="41"/>
      <c r="BW55" s="41"/>
      <c r="BX55" s="41"/>
      <c r="BY55" s="41"/>
      <c r="BZ55" s="41"/>
      <c r="CA55" s="41"/>
      <c r="CB55" s="41"/>
      <c r="CC55" s="41"/>
      <c r="CD55" s="41"/>
      <c r="CE55" s="41"/>
      <c r="CF55" s="41"/>
      <c r="CG55" s="41"/>
      <c r="CH55" s="41"/>
      <c r="CI55" s="41"/>
      <c r="CJ55" s="41"/>
      <c r="CK55" s="41"/>
      <c r="CL55" s="41"/>
      <c r="CM55" s="41"/>
      <c r="CN55" s="41"/>
    </row>
    <row r="56" spans="1:92" ht="17" customHeight="1" thickBot="1">
      <c r="B56" s="37" t="s">
        <v>496</v>
      </c>
      <c r="C56" s="126">
        <v>5</v>
      </c>
      <c r="D56" s="141">
        <f>+G161</f>
        <v>217.76</v>
      </c>
      <c r="E56" s="270">
        <f>C56*D56</f>
        <v>1088.8</v>
      </c>
      <c r="F56" s="242">
        <f t="shared" ref="F56:F58" si="16">7*365</f>
        <v>2555</v>
      </c>
      <c r="G56" s="52"/>
      <c r="I56" s="54"/>
      <c r="J56" s="54"/>
      <c r="L56" s="42" t="s">
        <v>414</v>
      </c>
      <c r="M56" s="142" t="s">
        <v>503</v>
      </c>
      <c r="N56" s="42"/>
      <c r="O56" s="92">
        <v>6.25</v>
      </c>
      <c r="P56" s="134">
        <v>6.81</v>
      </c>
      <c r="Q56" s="135">
        <f>+P56*O56</f>
        <v>42.5625</v>
      </c>
      <c r="R56" s="247">
        <v>0</v>
      </c>
      <c r="S56" s="250">
        <f>+Q56*R56</f>
        <v>0</v>
      </c>
      <c r="U56" s="256" t="str">
        <f>+B78</f>
        <v>Total LIGHT AND DRUM RENTAL</v>
      </c>
      <c r="V56" s="241">
        <f>SUM(V49:V55)</f>
        <v>6075.6164383561645</v>
      </c>
      <c r="W56" s="241">
        <f t="shared" ref="W56:X56" ca="1" si="17">SUM(W49:W55)</f>
        <v>2038.3561643835615</v>
      </c>
      <c r="X56" s="241">
        <f t="shared" ca="1" si="17"/>
        <v>4037.2602739726026</v>
      </c>
      <c r="Y56" s="240">
        <f ca="1">IFERROR(X56/V56,"-")</f>
        <v>0.66450216450216448</v>
      </c>
      <c r="Z56" s="260"/>
      <c r="AA56"/>
      <c r="AI56"/>
      <c r="AJ56"/>
      <c r="AK56"/>
      <c r="AL56"/>
      <c r="AM56"/>
      <c r="AN56"/>
      <c r="AO56"/>
      <c r="AP56"/>
      <c r="AQ56"/>
      <c r="AR56"/>
      <c r="AS56"/>
      <c r="AT56"/>
      <c r="AU56"/>
      <c r="AV56"/>
      <c r="BQ56" s="149" t="s">
        <v>315</v>
      </c>
      <c r="BR56" s="42">
        <v>4</v>
      </c>
      <c r="BS56" s="92" t="s">
        <v>7</v>
      </c>
      <c r="BT56" s="150"/>
      <c r="BU56" s="41"/>
      <c r="BV56" s="41"/>
      <c r="BW56" s="41"/>
      <c r="BX56" s="41"/>
      <c r="BY56" s="41"/>
      <c r="BZ56" s="41"/>
      <c r="CA56" s="41"/>
      <c r="CB56" s="41"/>
      <c r="CC56" s="41"/>
      <c r="CD56" s="41"/>
      <c r="CE56" s="41"/>
      <c r="CF56" s="41"/>
      <c r="CG56" s="41"/>
      <c r="CH56" s="41"/>
      <c r="CI56" s="41"/>
      <c r="CJ56" s="41"/>
      <c r="CK56" s="41"/>
      <c r="CL56" s="41"/>
      <c r="CM56" s="41"/>
      <c r="CN56" s="41"/>
    </row>
    <row r="57" spans="1:92" ht="17" customHeight="1">
      <c r="B57" s="37" t="s">
        <v>498</v>
      </c>
      <c r="C57" s="126">
        <v>0</v>
      </c>
      <c r="D57" s="141">
        <f>+G170</f>
        <v>229.68</v>
      </c>
      <c r="E57" s="270">
        <f t="shared" ref="E57" si="18">C57*D57</f>
        <v>0</v>
      </c>
      <c r="F57" s="242">
        <f t="shared" si="16"/>
        <v>2555</v>
      </c>
      <c r="G57" s="52"/>
      <c r="I57" s="54"/>
      <c r="J57" s="54"/>
      <c r="L57" s="137">
        <v>30</v>
      </c>
      <c r="M57" s="142" t="s">
        <v>503</v>
      </c>
      <c r="N57" s="137">
        <v>15</v>
      </c>
      <c r="O57" s="92">
        <f>(L57*N57)/144</f>
        <v>3.125</v>
      </c>
      <c r="P57" s="134">
        <v>6.81</v>
      </c>
      <c r="Q57" s="135">
        <f>+P57*O57</f>
        <v>21.28125</v>
      </c>
      <c r="R57" s="247">
        <v>60</v>
      </c>
      <c r="S57" s="250">
        <f>+Q57*R57</f>
        <v>1276.875</v>
      </c>
      <c r="U57" s="261"/>
      <c r="V57" s="107"/>
      <c r="W57" s="107"/>
      <c r="X57" s="107"/>
      <c r="Y57" s="107"/>
      <c r="Z57" s="260"/>
      <c r="AA57"/>
      <c r="AI57" s="229" t="s">
        <v>564</v>
      </c>
      <c r="AJ57" s="229"/>
      <c r="AK57" s="230"/>
      <c r="AL57"/>
      <c r="AM57" s="230"/>
      <c r="AN57"/>
      <c r="AO57" s="230"/>
      <c r="AP57"/>
      <c r="AQ57"/>
      <c r="AR57"/>
      <c r="AS57"/>
      <c r="AT57"/>
      <c r="AU57"/>
      <c r="AV57"/>
      <c r="BQ57" s="149" t="s">
        <v>314</v>
      </c>
      <c r="BR57" s="42">
        <v>3</v>
      </c>
      <c r="BS57" s="92" t="s">
        <v>32</v>
      </c>
      <c r="BT57" s="150"/>
      <c r="BU57" s="41"/>
      <c r="BV57" s="41"/>
      <c r="BW57" s="41"/>
      <c r="BX57" s="41"/>
      <c r="BY57" s="41"/>
      <c r="BZ57" s="41"/>
      <c r="CA57" s="41"/>
      <c r="CB57" s="41"/>
      <c r="CC57" s="41"/>
      <c r="CD57" s="41"/>
      <c r="CE57" s="41"/>
      <c r="CF57" s="41"/>
      <c r="CG57" s="41"/>
      <c r="CH57" s="41"/>
      <c r="CI57" s="41"/>
      <c r="CJ57" s="41"/>
      <c r="CK57" s="41"/>
      <c r="CL57" s="41"/>
      <c r="CM57" s="41"/>
      <c r="CN57" s="41"/>
    </row>
    <row r="58" spans="1:92" ht="17" customHeight="1">
      <c r="B58" s="37" t="s">
        <v>332</v>
      </c>
      <c r="C58" s="126">
        <v>3</v>
      </c>
      <c r="D58" s="141">
        <f>G135</f>
        <v>61.34</v>
      </c>
      <c r="E58" s="270">
        <f>C58*D58</f>
        <v>184.02</v>
      </c>
      <c r="F58" s="242">
        <f t="shared" si="16"/>
        <v>2555</v>
      </c>
      <c r="G58" s="52"/>
      <c r="H58" s="132"/>
      <c r="I58" s="54"/>
      <c r="J58" s="54"/>
      <c r="L58" s="42">
        <v>30</v>
      </c>
      <c r="M58" s="142" t="s">
        <v>503</v>
      </c>
      <c r="N58" s="42">
        <v>18</v>
      </c>
      <c r="O58" s="92">
        <f>(L58*N58)/144</f>
        <v>3.75</v>
      </c>
      <c r="P58" s="134">
        <v>6.81</v>
      </c>
      <c r="Q58" s="135">
        <f>+P58*O58</f>
        <v>25.537499999999998</v>
      </c>
      <c r="R58" s="247">
        <v>0</v>
      </c>
      <c r="S58" s="250">
        <f>+Q58*R58</f>
        <v>0</v>
      </c>
      <c r="U58" s="53" t="str">
        <f>+L2</f>
        <v>HIGH INTENSITY</v>
      </c>
      <c r="V58" s="254">
        <f>+(1-Z58)*S43</f>
        <v>338.25000000000028</v>
      </c>
      <c r="W58" s="259">
        <f>+S43/365*5</f>
        <v>92.671232876712324</v>
      </c>
      <c r="X58" s="259">
        <f>+V58-W58</f>
        <v>245.57876712328795</v>
      </c>
      <c r="Y58" s="255">
        <f t="shared" ref="Y58:Y60" si="19">IFERROR(X58/V58,"-")</f>
        <v>0.72602739726027421</v>
      </c>
      <c r="Z58" s="253">
        <f>+Z38</f>
        <v>0.95</v>
      </c>
      <c r="AI58" s="168" t="s">
        <v>565</v>
      </c>
      <c r="AJ58" s="168"/>
      <c r="AK58" s="168"/>
      <c r="AL58" s="168"/>
      <c r="AM58" s="168"/>
      <c r="AN58" s="168"/>
      <c r="AO58" s="168"/>
      <c r="AP58" s="168"/>
      <c r="AQ58" s="168"/>
      <c r="AR58" s="168"/>
      <c r="AS58" s="168"/>
      <c r="AT58" s="168"/>
      <c r="AU58" s="168"/>
      <c r="AV58" s="168"/>
      <c r="BQ58" s="149" t="s">
        <v>313</v>
      </c>
      <c r="BR58" s="42">
        <v>3</v>
      </c>
      <c r="BS58" s="92" t="s">
        <v>7</v>
      </c>
      <c r="BT58" s="150"/>
      <c r="BU58" s="41"/>
      <c r="BV58" s="41"/>
      <c r="BW58" s="41"/>
      <c r="BX58" s="41"/>
      <c r="BY58" s="41"/>
      <c r="BZ58" s="41"/>
      <c r="CA58" s="41"/>
      <c r="CB58" s="41"/>
      <c r="CC58" s="41"/>
      <c r="CD58" s="41"/>
      <c r="CE58" s="41"/>
      <c r="CF58" s="41"/>
      <c r="CG58" s="41"/>
      <c r="CH58" s="41"/>
      <c r="CI58" s="41"/>
      <c r="CJ58" s="41"/>
      <c r="CK58" s="41"/>
      <c r="CL58" s="41"/>
      <c r="CM58" s="41"/>
      <c r="CN58" s="41"/>
    </row>
    <row r="59" spans="1:92" ht="17" customHeight="1">
      <c r="B59" s="37" t="s">
        <v>334</v>
      </c>
      <c r="C59" s="118">
        <f>SUM(C54:C57,C58)*10</f>
        <v>330</v>
      </c>
      <c r="D59" s="141">
        <f>D104</f>
        <v>3.45</v>
      </c>
      <c r="E59" s="270">
        <f>C59*D59</f>
        <v>1138.5</v>
      </c>
      <c r="F59" s="242">
        <f>365*2</f>
        <v>730</v>
      </c>
      <c r="G59" s="52"/>
      <c r="H59" s="132"/>
      <c r="I59" s="54"/>
      <c r="J59" s="54"/>
      <c r="L59" s="42">
        <v>30</v>
      </c>
      <c r="M59" s="142" t="s">
        <v>503</v>
      </c>
      <c r="N59" s="42">
        <v>24</v>
      </c>
      <c r="O59" s="92">
        <f>(L59*N59)/144</f>
        <v>5</v>
      </c>
      <c r="P59" s="134">
        <v>6.81</v>
      </c>
      <c r="Q59" s="135">
        <f>+P59*O59</f>
        <v>34.049999999999997</v>
      </c>
      <c r="R59" s="247">
        <v>0</v>
      </c>
      <c r="S59" s="250">
        <f>+Q59*R59</f>
        <v>0</v>
      </c>
      <c r="U59" s="53" t="str">
        <f>+L45</f>
        <v>DIAMOND GRADE</v>
      </c>
      <c r="V59" s="259">
        <f>+(1-Z59)*S87</f>
        <v>133.3057500000001</v>
      </c>
      <c r="W59" s="259">
        <f>+S87/365*5</f>
        <v>36.522123287671228</v>
      </c>
      <c r="X59" s="259">
        <f t="shared" ref="X59:X60" si="20">+V59-W59</f>
        <v>96.783626712328868</v>
      </c>
      <c r="Y59" s="255">
        <f t="shared" si="19"/>
        <v>0.72602739726027421</v>
      </c>
      <c r="Z59" s="253">
        <f>+Z38</f>
        <v>0.95</v>
      </c>
      <c r="AI59" s="231" t="s">
        <v>566</v>
      </c>
      <c r="AJ59" s="168"/>
      <c r="AK59" s="232"/>
      <c r="AL59" s="168"/>
      <c r="AM59" s="232"/>
      <c r="AN59" s="168"/>
      <c r="AO59" s="168"/>
      <c r="AP59" s="168"/>
      <c r="AQ59" s="168"/>
      <c r="AR59" s="168"/>
      <c r="AS59" s="168"/>
      <c r="AT59" s="168"/>
      <c r="AU59" s="168"/>
      <c r="AV59" s="168"/>
      <c r="BQ59" s="149" t="s">
        <v>312</v>
      </c>
      <c r="BR59" s="42">
        <v>1</v>
      </c>
      <c r="BS59" s="92" t="s">
        <v>32</v>
      </c>
      <c r="BT59" s="150"/>
      <c r="BU59" s="41"/>
      <c r="BV59" s="41"/>
      <c r="BW59" s="41"/>
      <c r="BX59" s="41"/>
      <c r="BY59" s="41"/>
      <c r="BZ59" s="41"/>
      <c r="CA59" s="41"/>
      <c r="CB59" s="41"/>
      <c r="CC59" s="41"/>
      <c r="CD59" s="41"/>
      <c r="CE59" s="41"/>
      <c r="CF59" s="41"/>
      <c r="CG59" s="41"/>
      <c r="CH59" s="41"/>
      <c r="CI59" s="41"/>
      <c r="CJ59" s="41"/>
      <c r="CK59" s="41"/>
      <c r="CL59" s="41"/>
      <c r="CM59" s="41"/>
      <c r="CN59" s="41"/>
    </row>
    <row r="60" spans="1:92" ht="17" customHeight="1">
      <c r="B60" s="37" t="s">
        <v>330</v>
      </c>
      <c r="C60" s="126">
        <v>72</v>
      </c>
      <c r="D60" s="141">
        <v>48</v>
      </c>
      <c r="E60" s="270">
        <f>C60*D60</f>
        <v>3456</v>
      </c>
      <c r="F60" s="242">
        <f>365*3</f>
        <v>1095</v>
      </c>
      <c r="G60" s="52"/>
      <c r="H60" s="132"/>
      <c r="I60" s="54"/>
      <c r="J60" s="54"/>
      <c r="L60" s="42">
        <v>30</v>
      </c>
      <c r="M60" s="142" t="s">
        <v>503</v>
      </c>
      <c r="N60" s="42">
        <v>30</v>
      </c>
      <c r="O60" s="92">
        <f>(L60*N60)/144</f>
        <v>6.25</v>
      </c>
      <c r="P60" s="134">
        <v>6.81</v>
      </c>
      <c r="Q60" s="135">
        <f>+P60*O60</f>
        <v>42.5625</v>
      </c>
      <c r="R60" s="247">
        <v>0</v>
      </c>
      <c r="S60" s="250">
        <f>+Q60*R60</f>
        <v>0</v>
      </c>
      <c r="U60" s="65" t="str">
        <f>+L89</f>
        <v>SPECIAL SIGNS</v>
      </c>
      <c r="V60" s="287">
        <f>+(1-Z60)*S88</f>
        <v>0</v>
      </c>
      <c r="W60" s="287">
        <f>+S95/365*3</f>
        <v>0</v>
      </c>
      <c r="X60" s="287">
        <f t="shared" si="20"/>
        <v>0</v>
      </c>
      <c r="Y60" s="288" t="str">
        <f t="shared" si="19"/>
        <v>-</v>
      </c>
      <c r="Z60" s="253">
        <f>+Z38</f>
        <v>0.95</v>
      </c>
      <c r="AI60" s="168" t="s">
        <v>567</v>
      </c>
      <c r="AJ60" s="168"/>
      <c r="AK60" s="232"/>
      <c r="AL60" s="232"/>
      <c r="AM60" s="168"/>
      <c r="AN60" s="168"/>
      <c r="AO60" s="168"/>
      <c r="AP60" s="168"/>
      <c r="AQ60" s="168"/>
      <c r="AR60" s="168"/>
      <c r="AS60" s="168"/>
      <c r="AT60" s="168"/>
      <c r="AU60" s="168"/>
      <c r="AV60" s="168"/>
      <c r="BQ60" s="149" t="s">
        <v>311</v>
      </c>
      <c r="BR60" s="42">
        <v>1</v>
      </c>
      <c r="BS60" s="92" t="s">
        <v>7</v>
      </c>
      <c r="BT60" s="150"/>
      <c r="BU60" s="41"/>
      <c r="BV60" s="41"/>
      <c r="BW60" s="41"/>
      <c r="BX60" s="41"/>
      <c r="BY60" s="41"/>
      <c r="BZ60" s="41"/>
      <c r="CA60" s="41"/>
      <c r="CB60" s="41"/>
      <c r="CC60" s="41"/>
      <c r="CD60" s="41"/>
      <c r="CE60" s="41"/>
      <c r="CF60" s="41"/>
      <c r="CG60" s="41"/>
      <c r="CH60" s="41"/>
      <c r="CI60" s="41"/>
      <c r="CJ60" s="41"/>
      <c r="CK60" s="41"/>
      <c r="CL60" s="41"/>
      <c r="CM60" s="41"/>
      <c r="CN60" s="41"/>
    </row>
    <row r="61" spans="1:92" ht="17" customHeight="1" thickBot="1">
      <c r="B61" s="37" t="s">
        <v>328</v>
      </c>
      <c r="C61" s="126">
        <v>0</v>
      </c>
      <c r="D61" s="141">
        <v>165</v>
      </c>
      <c r="E61" s="270">
        <f>C61*D61</f>
        <v>0</v>
      </c>
      <c r="F61" s="242">
        <f t="shared" ref="F61:F65" si="21">7*365</f>
        <v>2555</v>
      </c>
      <c r="G61" s="52"/>
      <c r="H61" s="132"/>
      <c r="I61" s="54"/>
      <c r="J61" s="54"/>
      <c r="L61" s="42" t="s">
        <v>418</v>
      </c>
      <c r="M61" s="142" t="s">
        <v>503</v>
      </c>
      <c r="N61" s="42"/>
      <c r="O61" s="92">
        <v>9</v>
      </c>
      <c r="P61" s="134">
        <v>6.81</v>
      </c>
      <c r="Q61" s="135">
        <f>+P61*O61</f>
        <v>61.29</v>
      </c>
      <c r="R61" s="247">
        <v>0</v>
      </c>
      <c r="S61" s="250">
        <f>+Q61*R61</f>
        <v>0</v>
      </c>
      <c r="U61" s="281" t="s">
        <v>435</v>
      </c>
      <c r="V61" s="282">
        <f>SUM(V57:V60)</f>
        <v>471.55575000000039</v>
      </c>
      <c r="W61" s="283">
        <f t="shared" ref="W61" si="22">SUM(W57:W60)</f>
        <v>129.19335616438354</v>
      </c>
      <c r="X61" s="282">
        <f t="shared" ref="X61" si="23">SUM(X57:X60)</f>
        <v>342.36239383561679</v>
      </c>
      <c r="Y61" s="284">
        <f>IFERROR(X61/V61,"-")</f>
        <v>0.7260273972602741</v>
      </c>
      <c r="Z61" s="285">
        <f>1-V61/SUM(S43,S87,S95)</f>
        <v>0.95</v>
      </c>
      <c r="AI61" s="168" t="s">
        <v>568</v>
      </c>
      <c r="AJ61" s="168"/>
      <c r="AK61" s="232"/>
      <c r="AL61" s="168"/>
      <c r="AM61" s="168"/>
      <c r="AN61" s="168"/>
      <c r="AO61" s="168"/>
      <c r="AP61" s="168"/>
      <c r="AQ61" s="168"/>
      <c r="AR61" s="168"/>
      <c r="AS61" s="168"/>
      <c r="AT61" s="168"/>
      <c r="AU61" s="168"/>
      <c r="AV61" s="168"/>
      <c r="BQ61" s="149" t="s">
        <v>310</v>
      </c>
      <c r="BR61" s="42">
        <v>12</v>
      </c>
      <c r="BS61" s="92" t="s">
        <v>7</v>
      </c>
      <c r="BT61" s="150"/>
      <c r="BU61" s="41"/>
      <c r="BV61" s="41"/>
      <c r="BW61" s="41"/>
      <c r="BX61" s="41"/>
      <c r="BY61" s="41"/>
      <c r="BZ61" s="41"/>
      <c r="CA61" s="41"/>
      <c r="CB61" s="41"/>
      <c r="CC61" s="41"/>
      <c r="CD61" s="41"/>
      <c r="CE61" s="41"/>
      <c r="CF61" s="41"/>
      <c r="CG61" s="41"/>
      <c r="CH61" s="41"/>
      <c r="CI61" s="41"/>
      <c r="CJ61" s="41"/>
      <c r="CK61" s="41"/>
      <c r="CL61" s="41"/>
      <c r="CM61" s="41"/>
      <c r="CN61" s="41"/>
    </row>
    <row r="62" spans="1:92" ht="17" customHeight="1" thickBot="1">
      <c r="B62" s="37" t="s">
        <v>327</v>
      </c>
      <c r="C62" s="126">
        <v>0</v>
      </c>
      <c r="D62" s="141">
        <f>F135</f>
        <v>30.67</v>
      </c>
      <c r="E62" s="270">
        <f>C62*D62</f>
        <v>0</v>
      </c>
      <c r="F62" s="242">
        <f t="shared" si="21"/>
        <v>2555</v>
      </c>
      <c r="G62" s="52"/>
      <c r="H62" s="132"/>
      <c r="I62" s="54"/>
      <c r="J62" s="54"/>
      <c r="L62" s="42" t="s">
        <v>416</v>
      </c>
      <c r="M62" s="142" t="s">
        <v>503</v>
      </c>
      <c r="N62" s="42"/>
      <c r="O62" s="92">
        <v>7.5</v>
      </c>
      <c r="P62" s="134">
        <v>6.81</v>
      </c>
      <c r="Q62" s="135">
        <f>+P62*O62</f>
        <v>51.074999999999996</v>
      </c>
      <c r="R62" s="247">
        <v>0</v>
      </c>
      <c r="S62" s="250">
        <f>+Q62*R62</f>
        <v>0</v>
      </c>
      <c r="U62" s="53"/>
      <c r="V62" s="54"/>
      <c r="W62" s="54"/>
      <c r="X62" s="54"/>
      <c r="Y62" s="54"/>
      <c r="Z62" s="258"/>
      <c r="AA62" s="132"/>
      <c r="AI62" s="168" t="s">
        <v>569</v>
      </c>
      <c r="AJ62" s="168"/>
      <c r="AK62" s="232"/>
      <c r="AL62" s="168"/>
      <c r="AM62" s="168"/>
      <c r="AN62" s="168"/>
      <c r="AO62" s="168"/>
      <c r="AP62" s="168"/>
      <c r="AQ62" s="168"/>
      <c r="AR62" s="168"/>
      <c r="AS62" s="168"/>
      <c r="AT62" s="168"/>
      <c r="AU62" s="168"/>
      <c r="AV62" s="168"/>
      <c r="BQ62" s="149" t="s">
        <v>309</v>
      </c>
      <c r="BR62" s="42">
        <v>4</v>
      </c>
      <c r="BS62" s="92" t="s">
        <v>32</v>
      </c>
      <c r="BT62" s="150"/>
      <c r="BU62" s="41"/>
      <c r="BV62" s="41"/>
      <c r="BW62" s="41"/>
      <c r="BX62" s="41"/>
      <c r="BY62" s="41"/>
      <c r="BZ62" s="41"/>
      <c r="CA62" s="41"/>
      <c r="CB62" s="41"/>
      <c r="CC62" s="41"/>
      <c r="CD62" s="41"/>
      <c r="CE62" s="41"/>
      <c r="CF62" s="41"/>
      <c r="CG62" s="41"/>
      <c r="CH62" s="41"/>
      <c r="CI62" s="41"/>
      <c r="CJ62" s="41"/>
      <c r="CK62" s="41"/>
      <c r="CL62" s="41"/>
      <c r="CM62" s="41"/>
      <c r="CN62" s="41"/>
    </row>
    <row r="63" spans="1:92" ht="17" customHeight="1" thickBot="1">
      <c r="B63" s="31"/>
      <c r="C63" s="126">
        <v>0</v>
      </c>
      <c r="D63" s="126">
        <v>0</v>
      </c>
      <c r="E63" s="270">
        <f t="shared" ref="E63:E65" si="24">C63*D63</f>
        <v>0</v>
      </c>
      <c r="F63" s="242">
        <f t="shared" si="21"/>
        <v>2555</v>
      </c>
      <c r="G63" s="52"/>
      <c r="L63" s="42">
        <v>36</v>
      </c>
      <c r="M63" s="142" t="s">
        <v>503</v>
      </c>
      <c r="N63" s="42">
        <v>12</v>
      </c>
      <c r="O63" s="92">
        <f>(L63*N63)/144</f>
        <v>3</v>
      </c>
      <c r="P63" s="134">
        <v>6.81</v>
      </c>
      <c r="Q63" s="135">
        <f>+P63*O63</f>
        <v>20.43</v>
      </c>
      <c r="R63" s="247">
        <v>0</v>
      </c>
      <c r="S63" s="250">
        <f>+Q63*R63</f>
        <v>0</v>
      </c>
      <c r="U63" s="256" t="s">
        <v>630</v>
      </c>
      <c r="V63" s="241">
        <f>+V47+V56+V61</f>
        <v>10179.730288356164</v>
      </c>
      <c r="W63" s="243">
        <f ca="1">+W47+W56+W61</f>
        <v>5055.7612661448147</v>
      </c>
      <c r="X63" s="241">
        <f ca="1">+X47+X56+X61</f>
        <v>5123.9690222113504</v>
      </c>
      <c r="Y63" s="299">
        <f ca="1">IFERROR(X63/V63,"-")</f>
        <v>0.50335017501124535</v>
      </c>
      <c r="Z63" s="257">
        <f>1-SUM(V38:V46,V61)/SUM(E66,S43,S87,S95)</f>
        <v>0.92487270825194823</v>
      </c>
      <c r="AI63" s="168" t="s">
        <v>570</v>
      </c>
      <c r="AJ63" s="232"/>
      <c r="AK63" s="168"/>
      <c r="AL63" s="168"/>
      <c r="AM63" s="168"/>
      <c r="AN63" s="168"/>
      <c r="AO63" s="168"/>
      <c r="AP63" s="168"/>
      <c r="AQ63" s="168"/>
      <c r="AR63" s="168"/>
      <c r="AS63" s="168"/>
      <c r="AT63" s="168"/>
      <c r="AU63" s="168"/>
      <c r="AV63" s="168"/>
      <c r="BQ63" s="149" t="s">
        <v>308</v>
      </c>
      <c r="BR63" s="42">
        <v>12</v>
      </c>
      <c r="BS63" s="92" t="s">
        <v>7</v>
      </c>
      <c r="BT63" s="150"/>
      <c r="BU63" s="41"/>
      <c r="BV63" s="41"/>
      <c r="BW63" s="41"/>
      <c r="BX63" s="41"/>
      <c r="BY63" s="41"/>
      <c r="BZ63" s="41"/>
      <c r="CA63" s="41"/>
      <c r="CB63" s="41"/>
      <c r="CC63" s="41"/>
      <c r="CD63" s="41"/>
      <c r="CE63" s="41"/>
      <c r="CF63" s="41"/>
      <c r="CG63" s="41"/>
      <c r="CH63" s="41"/>
      <c r="CI63" s="41"/>
      <c r="CJ63" s="41"/>
      <c r="CK63" s="41"/>
      <c r="CL63" s="41"/>
      <c r="CM63" s="41"/>
      <c r="CN63" s="41"/>
    </row>
    <row r="64" spans="1:92" ht="17" customHeight="1">
      <c r="B64" s="31"/>
      <c r="C64" s="126">
        <v>0</v>
      </c>
      <c r="D64" s="126">
        <v>0</v>
      </c>
      <c r="E64" s="270">
        <f t="shared" si="24"/>
        <v>0</v>
      </c>
      <c r="F64" s="242">
        <f t="shared" si="21"/>
        <v>2555</v>
      </c>
      <c r="G64" s="52"/>
      <c r="L64" s="42">
        <v>36</v>
      </c>
      <c r="M64" s="142" t="s">
        <v>503</v>
      </c>
      <c r="N64" s="42">
        <v>18</v>
      </c>
      <c r="O64" s="92">
        <f>(L64*N64)/144</f>
        <v>4.5</v>
      </c>
      <c r="P64" s="134">
        <v>6.81</v>
      </c>
      <c r="Q64" s="135">
        <f>+P64*O64</f>
        <v>30.645</v>
      </c>
      <c r="R64" s="247">
        <v>0</v>
      </c>
      <c r="S64" s="250">
        <f>+Q64*R64</f>
        <v>0</v>
      </c>
      <c r="U64" s="53"/>
      <c r="V64" s="54"/>
      <c r="W64" s="54"/>
      <c r="X64" s="54"/>
      <c r="Y64" s="54"/>
      <c r="Z64" s="52"/>
      <c r="AI64" s="168" t="s">
        <v>571</v>
      </c>
      <c r="AJ64" s="168"/>
      <c r="AK64" s="168"/>
      <c r="AL64" s="168"/>
      <c r="AM64" s="168"/>
      <c r="AN64" s="168"/>
      <c r="AO64" s="168"/>
      <c r="AP64" s="168"/>
      <c r="AQ64" s="168"/>
      <c r="AR64" s="168"/>
      <c r="AS64" s="168"/>
      <c r="AT64" s="168"/>
      <c r="AU64" s="168"/>
      <c r="AV64" s="168"/>
      <c r="BQ64" s="149" t="s">
        <v>307</v>
      </c>
      <c r="BR64" s="42">
        <v>4</v>
      </c>
      <c r="BS64" s="92" t="s">
        <v>7</v>
      </c>
      <c r="BT64" s="150"/>
      <c r="BU64" s="41"/>
      <c r="BV64" s="41"/>
      <c r="BW64" s="41"/>
      <c r="BX64" s="41"/>
      <c r="BY64" s="41"/>
      <c r="BZ64" s="41"/>
      <c r="CA64" s="41"/>
      <c r="CB64" s="41"/>
      <c r="CC64" s="41"/>
      <c r="CD64" s="41"/>
      <c r="CE64" s="41"/>
      <c r="CF64" s="41"/>
      <c r="CG64" s="41"/>
      <c r="CH64" s="41"/>
      <c r="CI64" s="41"/>
      <c r="CJ64" s="41"/>
      <c r="CK64" s="41"/>
      <c r="CL64" s="41"/>
      <c r="CM64" s="41"/>
      <c r="CN64" s="41"/>
    </row>
    <row r="65" spans="2:92" ht="17" customHeight="1" thickBot="1">
      <c r="B65" s="101"/>
      <c r="C65" s="126">
        <v>0</v>
      </c>
      <c r="D65" s="126">
        <v>0</v>
      </c>
      <c r="E65" s="271">
        <f t="shared" si="24"/>
        <v>0</v>
      </c>
      <c r="F65" s="242">
        <f t="shared" si="21"/>
        <v>2555</v>
      </c>
      <c r="G65" s="52"/>
      <c r="L65" s="42">
        <v>36</v>
      </c>
      <c r="M65" s="142" t="s">
        <v>503</v>
      </c>
      <c r="N65" s="42">
        <v>24</v>
      </c>
      <c r="O65" s="92">
        <f>(L65*N65)/144</f>
        <v>6</v>
      </c>
      <c r="P65" s="134">
        <v>6.81</v>
      </c>
      <c r="Q65" s="135">
        <f>+P65*O65</f>
        <v>40.86</v>
      </c>
      <c r="R65" s="247">
        <v>0</v>
      </c>
      <c r="S65" s="250">
        <f>+Q65*R65</f>
        <v>0</v>
      </c>
      <c r="U65" s="53"/>
      <c r="V65" s="54"/>
      <c r="W65" s="54"/>
      <c r="X65" s="54"/>
      <c r="Y65" s="54"/>
      <c r="Z65" s="52"/>
      <c r="AI65" s="168" t="s">
        <v>572</v>
      </c>
      <c r="AJ65" s="168"/>
      <c r="AK65" s="168"/>
      <c r="AL65" s="168"/>
      <c r="AM65" s="168"/>
      <c r="AN65" s="168"/>
      <c r="AO65" s="168"/>
      <c r="AP65" s="168"/>
      <c r="AQ65" s="168"/>
      <c r="AR65" s="168"/>
      <c r="AS65" s="168"/>
      <c r="AT65" s="168"/>
      <c r="AU65" s="168"/>
      <c r="AV65" s="168"/>
      <c r="BQ65" s="149" t="s">
        <v>306</v>
      </c>
      <c r="BR65" s="42">
        <v>8</v>
      </c>
      <c r="BS65" s="92" t="s">
        <v>7</v>
      </c>
      <c r="BT65" s="150"/>
      <c r="BU65" s="41"/>
      <c r="BV65" s="41"/>
      <c r="BW65" s="41"/>
      <c r="BX65" s="41"/>
      <c r="BY65" s="41"/>
      <c r="BZ65" s="41"/>
      <c r="CA65" s="41"/>
      <c r="CB65" s="41"/>
      <c r="CC65" s="41"/>
      <c r="CD65" s="41"/>
      <c r="CE65" s="41"/>
      <c r="CF65" s="41"/>
      <c r="CG65" s="41"/>
      <c r="CH65" s="41"/>
      <c r="CI65" s="41"/>
      <c r="CJ65" s="41"/>
      <c r="CK65" s="41"/>
      <c r="CL65" s="41"/>
      <c r="CM65" s="41"/>
      <c r="CN65" s="41"/>
    </row>
    <row r="66" spans="2:92" ht="17" customHeight="1" thickBot="1">
      <c r="B66" s="256" t="s">
        <v>367</v>
      </c>
      <c r="C66" s="112"/>
      <c r="D66" s="130"/>
      <c r="E66" s="138">
        <f>SUM(E54:E62)</f>
        <v>10958.07</v>
      </c>
      <c r="F66" s="107"/>
      <c r="G66" s="52"/>
      <c r="L66" s="42">
        <v>36</v>
      </c>
      <c r="M66" s="142" t="s">
        <v>503</v>
      </c>
      <c r="N66" s="42">
        <v>30</v>
      </c>
      <c r="O66" s="92">
        <f>(L66*N66)/144</f>
        <v>7.5</v>
      </c>
      <c r="P66" s="134">
        <v>6.81</v>
      </c>
      <c r="Q66" s="135">
        <f>+P66*O66</f>
        <v>51.074999999999996</v>
      </c>
      <c r="R66" s="247">
        <v>0</v>
      </c>
      <c r="S66" s="250">
        <f>+Q66*R66</f>
        <v>0</v>
      </c>
      <c r="U66" s="65" t="s">
        <v>631</v>
      </c>
      <c r="V66" s="59"/>
      <c r="W66" s="59"/>
      <c r="X66" s="59"/>
      <c r="Y66" s="59"/>
      <c r="Z66" s="60"/>
      <c r="AD66"/>
      <c r="AE66"/>
      <c r="AF66"/>
      <c r="AI66" s="168" t="s">
        <v>573</v>
      </c>
      <c r="AJ66" s="168"/>
      <c r="AK66" s="168"/>
      <c r="AL66" s="168"/>
      <c r="AM66" s="168"/>
      <c r="AN66" s="168"/>
      <c r="AO66" s="168"/>
      <c r="AP66" s="168"/>
      <c r="AQ66" s="168"/>
      <c r="AR66" s="168"/>
      <c r="AS66" s="168"/>
      <c r="AT66" s="168"/>
      <c r="AU66" s="168"/>
      <c r="AV66" s="168"/>
      <c r="CD66" s="41"/>
      <c r="CE66" s="41"/>
      <c r="CF66" s="41"/>
      <c r="CG66" s="41"/>
      <c r="CH66" s="41"/>
      <c r="CI66" s="41"/>
      <c r="CJ66" s="41"/>
      <c r="CK66" s="41"/>
      <c r="CL66" s="41"/>
      <c r="CM66" s="41"/>
      <c r="CN66" s="41"/>
    </row>
    <row r="67" spans="2:92" ht="17" customHeight="1">
      <c r="B67" s="55" t="s">
        <v>627</v>
      </c>
      <c r="C67" s="102"/>
      <c r="D67" s="102"/>
      <c r="E67" s="59"/>
      <c r="F67" s="272"/>
      <c r="G67" s="60"/>
      <c r="L67" s="42">
        <v>36</v>
      </c>
      <c r="M67" s="142" t="s">
        <v>503</v>
      </c>
      <c r="N67" s="42">
        <v>36</v>
      </c>
      <c r="O67" s="92">
        <f>(L67*N67)/144</f>
        <v>9</v>
      </c>
      <c r="P67" s="134">
        <v>6.81</v>
      </c>
      <c r="Q67" s="135">
        <f>+P67*O67</f>
        <v>61.29</v>
      </c>
      <c r="R67" s="247">
        <v>0</v>
      </c>
      <c r="S67" s="250">
        <f>+Q67*R67</f>
        <v>0</v>
      </c>
      <c r="AI67" s="168" t="s">
        <v>574</v>
      </c>
      <c r="AJ67" s="168"/>
      <c r="AK67" s="168"/>
      <c r="AL67" s="168"/>
      <c r="AM67" s="168"/>
      <c r="AN67" s="168"/>
      <c r="AO67" s="168"/>
      <c r="AP67" s="168"/>
      <c r="AQ67" s="168"/>
      <c r="AR67" s="168"/>
      <c r="AS67" s="168"/>
      <c r="AT67" s="168"/>
      <c r="AU67" s="168"/>
      <c r="AV67" s="168"/>
      <c r="CD67" s="41"/>
      <c r="CE67" s="41"/>
      <c r="CF67" s="41"/>
      <c r="CG67" s="41"/>
      <c r="CH67" s="41"/>
      <c r="CI67" s="41"/>
      <c r="CJ67" s="41"/>
      <c r="CK67" s="41"/>
      <c r="CL67" s="41"/>
      <c r="CM67" s="41"/>
      <c r="CN67" s="41"/>
    </row>
    <row r="68" spans="2:92" ht="17" customHeight="1">
      <c r="L68" s="42" t="s">
        <v>428</v>
      </c>
      <c r="M68" s="142" t="s">
        <v>503</v>
      </c>
      <c r="N68" s="42"/>
      <c r="O68" s="92">
        <v>9</v>
      </c>
      <c r="P68" s="134">
        <v>6.81</v>
      </c>
      <c r="Q68" s="135">
        <f>+P68*O68</f>
        <v>61.29</v>
      </c>
      <c r="R68" s="247">
        <v>0</v>
      </c>
      <c r="S68" s="250">
        <f>+Q68*R68</f>
        <v>0</v>
      </c>
      <c r="U68" s="262" t="s">
        <v>634</v>
      </c>
      <c r="V68" s="263"/>
      <c r="W68" s="263"/>
      <c r="X68" s="263"/>
      <c r="Y68" s="263"/>
      <c r="Z68" s="264"/>
      <c r="AI68" s="168" t="s">
        <v>575</v>
      </c>
      <c r="AJ68" s="168"/>
      <c r="AK68" s="168"/>
      <c r="AL68" s="168"/>
      <c r="AM68" s="168"/>
      <c r="AN68" s="168"/>
      <c r="AO68" s="168"/>
      <c r="AP68" s="168"/>
      <c r="AQ68" s="168"/>
      <c r="AR68" s="168"/>
      <c r="AS68" s="168"/>
      <c r="AT68" s="168"/>
      <c r="AU68" s="168"/>
      <c r="AV68" s="168"/>
      <c r="CD68" s="41"/>
      <c r="CE68" s="41"/>
      <c r="CF68" s="41"/>
      <c r="CG68" s="41"/>
      <c r="CH68" s="41"/>
      <c r="CI68" s="41"/>
      <c r="CJ68" s="41"/>
      <c r="CK68" s="41"/>
      <c r="CL68" s="41"/>
      <c r="CM68" s="41"/>
      <c r="CN68" s="41"/>
    </row>
    <row r="69" spans="2:92" ht="17" customHeight="1">
      <c r="B69" s="28" t="s">
        <v>486</v>
      </c>
      <c r="C69" s="29"/>
      <c r="D69" s="29"/>
      <c r="E69" s="29"/>
      <c r="F69" s="29"/>
      <c r="G69" s="86"/>
      <c r="H69" s="86"/>
      <c r="I69" s="86"/>
      <c r="J69" s="86"/>
      <c r="L69" s="42" t="s">
        <v>427</v>
      </c>
      <c r="M69" s="142" t="s">
        <v>503</v>
      </c>
      <c r="N69" s="42"/>
      <c r="O69" s="92">
        <v>16</v>
      </c>
      <c r="P69" s="134">
        <v>6.81</v>
      </c>
      <c r="Q69" s="135">
        <f>+P69*O69</f>
        <v>108.96</v>
      </c>
      <c r="R69" s="247">
        <v>0</v>
      </c>
      <c r="S69" s="250">
        <f>+Q69*R69</f>
        <v>0</v>
      </c>
      <c r="U69" s="30" t="s">
        <v>463</v>
      </c>
      <c r="V69" s="238" t="s">
        <v>487</v>
      </c>
      <c r="W69" s="47" t="s">
        <v>340</v>
      </c>
      <c r="X69" s="47" t="s">
        <v>339</v>
      </c>
      <c r="Y69" s="47" t="s">
        <v>448</v>
      </c>
      <c r="Z69" s="45" t="s">
        <v>352</v>
      </c>
      <c r="AI69" s="168" t="s">
        <v>576</v>
      </c>
      <c r="AJ69" s="168"/>
      <c r="AK69" s="168"/>
      <c r="AL69" s="168"/>
      <c r="AM69" s="168"/>
      <c r="AN69" s="168"/>
      <c r="AO69" s="168"/>
      <c r="AP69" s="168"/>
      <c r="AQ69" s="168"/>
      <c r="AR69" s="168"/>
      <c r="AS69" s="168"/>
      <c r="AT69" s="168"/>
      <c r="AU69" s="168"/>
      <c r="AV69" s="168"/>
      <c r="CD69" s="41"/>
      <c r="CE69" s="41"/>
      <c r="CF69" s="41"/>
      <c r="CG69" s="41"/>
      <c r="CH69" s="41"/>
      <c r="CI69" s="41"/>
      <c r="CJ69" s="41"/>
      <c r="CK69" s="41"/>
      <c r="CL69" s="41"/>
      <c r="CM69" s="41"/>
      <c r="CN69" s="41"/>
    </row>
    <row r="70" spans="2:92" ht="17" customHeight="1">
      <c r="B70" s="61"/>
      <c r="C70" s="62" t="s">
        <v>487</v>
      </c>
      <c r="D70" s="62" t="s">
        <v>457</v>
      </c>
      <c r="E70" s="62" t="s">
        <v>354</v>
      </c>
      <c r="F70" s="62" t="s">
        <v>485</v>
      </c>
      <c r="G70" s="99" t="s">
        <v>488</v>
      </c>
      <c r="H70" s="62" t="s">
        <v>490</v>
      </c>
      <c r="I70" s="99" t="s">
        <v>491</v>
      </c>
      <c r="J70" s="54" t="s">
        <v>629</v>
      </c>
      <c r="L70" s="42">
        <v>48</v>
      </c>
      <c r="M70" s="142" t="s">
        <v>503</v>
      </c>
      <c r="N70" s="42">
        <v>18</v>
      </c>
      <c r="O70" s="92">
        <f>(L70*N70)/144</f>
        <v>6</v>
      </c>
      <c r="P70" s="134">
        <v>6.81</v>
      </c>
      <c r="Q70" s="135">
        <f>+P70*O70</f>
        <v>40.86</v>
      </c>
      <c r="R70" s="247">
        <v>0</v>
      </c>
      <c r="S70" s="250">
        <f>+Q70*R70</f>
        <v>0</v>
      </c>
      <c r="U70" s="30" t="s">
        <v>25</v>
      </c>
      <c r="V70" s="247">
        <v>0</v>
      </c>
      <c r="W70" s="247">
        <v>0</v>
      </c>
      <c r="X70" s="247">
        <v>0</v>
      </c>
      <c r="Y70" s="265">
        <v>6.5000000000000002E-2</v>
      </c>
      <c r="Z70" s="30">
        <f>IFERROR(Y70*X70,"-")</f>
        <v>0</v>
      </c>
      <c r="AA70"/>
      <c r="AB70"/>
      <c r="AI70" s="168" t="s">
        <v>577</v>
      </c>
      <c r="AJ70" s="168"/>
      <c r="AK70" s="168"/>
      <c r="AL70" s="168"/>
      <c r="AM70" s="168"/>
      <c r="AN70" s="168"/>
      <c r="AO70" s="168"/>
      <c r="AP70" s="168"/>
      <c r="AQ70" s="168"/>
      <c r="AR70" s="168"/>
      <c r="AS70" s="168"/>
      <c r="AT70" s="168"/>
      <c r="AU70" s="168"/>
      <c r="AV70" s="168"/>
      <c r="BT70" s="41"/>
      <c r="BU70" s="41"/>
      <c r="BV70" s="41"/>
      <c r="BW70" s="41"/>
      <c r="BX70" s="41"/>
      <c r="BY70" s="41"/>
      <c r="BZ70" s="41"/>
      <c r="CA70" s="41"/>
      <c r="CB70" s="41"/>
      <c r="CC70" s="41"/>
      <c r="CD70" s="41"/>
      <c r="CE70" s="41"/>
      <c r="CF70" s="41"/>
      <c r="CG70" s="41"/>
      <c r="CH70" s="41"/>
      <c r="CI70" s="41"/>
      <c r="CJ70" s="41"/>
      <c r="CK70" s="41"/>
      <c r="CL70" s="41"/>
      <c r="CM70" s="41"/>
      <c r="CN70" s="41"/>
    </row>
    <row r="71" spans="2:92" ht="17" customHeight="1">
      <c r="B71" s="268" t="s">
        <v>350</v>
      </c>
      <c r="C71" s="128">
        <v>120</v>
      </c>
      <c r="D71" s="126">
        <v>50</v>
      </c>
      <c r="E71" s="126">
        <v>180</v>
      </c>
      <c r="F71" s="128">
        <f>(C71*2)/(365*5*0.75)</f>
        <v>0.17534246575342466</v>
      </c>
      <c r="G71" s="140">
        <v>0.05</v>
      </c>
      <c r="H71" s="128">
        <f>+F71*(1+G71)</f>
        <v>0.18410958904109589</v>
      </c>
      <c r="I71" s="290">
        <f>D71*E71*H71</f>
        <v>1656.986301369863</v>
      </c>
      <c r="J71" s="242">
        <f>3*365</f>
        <v>1095</v>
      </c>
      <c r="K71" s="132"/>
      <c r="L71" s="42">
        <v>48</v>
      </c>
      <c r="M71" s="142" t="s">
        <v>503</v>
      </c>
      <c r="N71" s="42">
        <v>24</v>
      </c>
      <c r="O71" s="92">
        <f>(L71*N71)/144</f>
        <v>8</v>
      </c>
      <c r="P71" s="134">
        <v>6.81</v>
      </c>
      <c r="Q71" s="135">
        <f>+P71*O71</f>
        <v>54.48</v>
      </c>
      <c r="R71" s="247">
        <v>0</v>
      </c>
      <c r="S71" s="250">
        <f>+Q71*R71</f>
        <v>0</v>
      </c>
      <c r="U71" s="30" t="s">
        <v>635</v>
      </c>
      <c r="V71" s="247">
        <v>0</v>
      </c>
      <c r="W71" s="247">
        <v>0</v>
      </c>
      <c r="X71" s="247">
        <v>0</v>
      </c>
      <c r="Y71" s="265">
        <v>0.18</v>
      </c>
      <c r="Z71" s="30">
        <f t="shared" ref="Z71:Z75" si="25">IFERROR(Y71*X71,"-")</f>
        <v>0</v>
      </c>
      <c r="AA71"/>
      <c r="AB71"/>
      <c r="AI71" s="168" t="s">
        <v>578</v>
      </c>
      <c r="AJ71" s="168"/>
      <c r="AK71" s="168"/>
      <c r="AL71" s="168"/>
      <c r="AM71" s="168"/>
      <c r="AN71" s="168"/>
      <c r="AO71" s="168"/>
      <c r="AP71" s="168"/>
      <c r="AQ71" s="168"/>
      <c r="AR71" s="168"/>
      <c r="AS71" s="168"/>
      <c r="AT71" s="168"/>
      <c r="AU71" s="168"/>
      <c r="AV71" s="168"/>
      <c r="BT71" s="41"/>
      <c r="BU71" s="41"/>
      <c r="BV71" s="41"/>
      <c r="BW71" s="41"/>
      <c r="BX71" s="41"/>
      <c r="BY71" s="41"/>
      <c r="BZ71" s="41"/>
      <c r="CA71" s="41"/>
      <c r="CB71" s="41"/>
      <c r="CC71" s="41"/>
      <c r="CD71" s="41"/>
      <c r="CE71" s="41"/>
      <c r="CF71" s="41"/>
      <c r="CG71" s="41"/>
      <c r="CH71" s="41"/>
      <c r="CI71" s="41"/>
      <c r="CJ71" s="41"/>
      <c r="CK71" s="41"/>
      <c r="CL71" s="41"/>
      <c r="CM71" s="41"/>
      <c r="CN71" s="41"/>
    </row>
    <row r="72" spans="2:92" ht="17" customHeight="1">
      <c r="B72" s="268" t="s">
        <v>348</v>
      </c>
      <c r="C72" s="128">
        <v>110</v>
      </c>
      <c r="D72" s="126">
        <v>50</v>
      </c>
      <c r="E72" s="126">
        <v>180</v>
      </c>
      <c r="F72" s="128">
        <f>(C72*2)/(365*5*0.75)</f>
        <v>0.16073059360730593</v>
      </c>
      <c r="G72" s="140">
        <v>0.05</v>
      </c>
      <c r="H72" s="128">
        <f>+F72*(1+G72)</f>
        <v>0.16876712328767124</v>
      </c>
      <c r="I72" s="290">
        <f>D72*E72*H72</f>
        <v>1518.9041095890411</v>
      </c>
      <c r="J72" s="242">
        <f>3*365</f>
        <v>1095</v>
      </c>
      <c r="K72" s="132"/>
      <c r="L72" s="42">
        <v>48</v>
      </c>
      <c r="M72" s="142" t="s">
        <v>503</v>
      </c>
      <c r="N72" s="42">
        <v>30</v>
      </c>
      <c r="O72" s="92">
        <f>(L72*N72)/144</f>
        <v>10</v>
      </c>
      <c r="P72" s="134">
        <v>6.81</v>
      </c>
      <c r="Q72" s="135">
        <f>+P72*O72</f>
        <v>68.099999999999994</v>
      </c>
      <c r="R72" s="247">
        <v>0</v>
      </c>
      <c r="S72" s="250">
        <f>+Q72*R72</f>
        <v>0</v>
      </c>
      <c r="U72" s="30" t="s">
        <v>636</v>
      </c>
      <c r="V72" s="247">
        <v>0</v>
      </c>
      <c r="W72" s="247">
        <v>0</v>
      </c>
      <c r="X72" s="247">
        <v>0</v>
      </c>
      <c r="Y72" s="265">
        <v>0.18</v>
      </c>
      <c r="Z72" s="30">
        <f t="shared" si="25"/>
        <v>0</v>
      </c>
      <c r="AI72" s="168" t="s">
        <v>579</v>
      </c>
      <c r="AJ72" s="168"/>
      <c r="AK72" s="168"/>
      <c r="AL72" s="168"/>
      <c r="AM72" s="168"/>
      <c r="AN72" s="168"/>
      <c r="AO72" s="168"/>
      <c r="AP72" s="168"/>
      <c r="AQ72" s="168"/>
      <c r="AR72" s="168"/>
      <c r="AS72" s="168"/>
      <c r="AT72" s="168"/>
      <c r="AU72" s="168"/>
      <c r="AV72" s="168"/>
      <c r="BT72" s="41"/>
      <c r="BU72" s="41"/>
      <c r="BV72" s="41"/>
      <c r="BW72" s="41"/>
      <c r="BX72" s="41"/>
      <c r="BY72" s="41"/>
      <c r="BZ72" s="41"/>
      <c r="CA72" s="41"/>
      <c r="CB72" s="41"/>
      <c r="CC72" s="41"/>
      <c r="CD72" s="41"/>
      <c r="CE72" s="41"/>
      <c r="CF72" s="41"/>
      <c r="CG72" s="41"/>
      <c r="CH72" s="41"/>
      <c r="CI72" s="41"/>
      <c r="CJ72" s="41"/>
      <c r="CK72" s="41"/>
      <c r="CL72" s="41"/>
      <c r="CM72" s="41"/>
      <c r="CN72" s="41"/>
    </row>
    <row r="73" spans="2:92" ht="17" customHeight="1">
      <c r="B73" s="268" t="s">
        <v>458</v>
      </c>
      <c r="C73" s="128">
        <v>98</v>
      </c>
      <c r="D73" s="126">
        <v>50</v>
      </c>
      <c r="E73" s="126">
        <v>180</v>
      </c>
      <c r="F73" s="128">
        <f t="shared" ref="F73:F74" si="26">(C73*2)/(365*5*0.75)</f>
        <v>0.14319634703196346</v>
      </c>
      <c r="G73" s="140">
        <v>0.05</v>
      </c>
      <c r="H73" s="128">
        <f>+F73*(1+G73)</f>
        <v>0.15035616438356164</v>
      </c>
      <c r="I73" s="290">
        <f>D73*E73*H73</f>
        <v>1353.2054794520548</v>
      </c>
      <c r="J73" s="242">
        <f>7*365</f>
        <v>2555</v>
      </c>
      <c r="K73" s="132"/>
      <c r="L73" s="42">
        <v>48</v>
      </c>
      <c r="M73" s="142" t="s">
        <v>503</v>
      </c>
      <c r="N73" s="42">
        <v>36</v>
      </c>
      <c r="O73" s="92">
        <f>(L73*N73)/144</f>
        <v>12</v>
      </c>
      <c r="P73" s="134">
        <v>6.81</v>
      </c>
      <c r="Q73" s="135">
        <f>+P73*O73</f>
        <v>81.72</v>
      </c>
      <c r="R73" s="247">
        <v>0</v>
      </c>
      <c r="S73" s="250">
        <f>+Q73*R73</f>
        <v>0</v>
      </c>
      <c r="U73" s="120" t="s">
        <v>637</v>
      </c>
      <c r="V73" s="247">
        <v>0</v>
      </c>
      <c r="W73" s="247">
        <v>0</v>
      </c>
      <c r="X73" s="247">
        <v>0</v>
      </c>
      <c r="Y73" s="265">
        <v>0.18</v>
      </c>
      <c r="Z73" s="30">
        <f t="shared" si="25"/>
        <v>0</v>
      </c>
      <c r="AI73" s="168" t="s">
        <v>580</v>
      </c>
      <c r="AJ73" s="168"/>
      <c r="AK73" s="168"/>
      <c r="AL73" s="168"/>
      <c r="AM73" s="168"/>
      <c r="AN73" s="168"/>
      <c r="AO73" s="168"/>
      <c r="AP73" s="168"/>
      <c r="AQ73" s="168"/>
      <c r="AR73" s="168"/>
      <c r="AS73" s="168"/>
      <c r="AT73" s="168"/>
      <c r="AU73" s="168"/>
      <c r="AV73" s="168"/>
      <c r="BT73" s="41"/>
      <c r="BU73" s="41"/>
      <c r="BV73" s="41"/>
      <c r="BW73" s="41"/>
      <c r="BX73" s="41"/>
      <c r="BY73" s="41"/>
      <c r="BZ73" s="41"/>
      <c r="CA73" s="41"/>
      <c r="CB73" s="41"/>
      <c r="CC73" s="41"/>
      <c r="CD73" s="41"/>
      <c r="CE73" s="41"/>
      <c r="CF73" s="41"/>
      <c r="CG73" s="41"/>
      <c r="CH73" s="41"/>
      <c r="CI73" s="41"/>
      <c r="CJ73" s="41"/>
      <c r="CK73" s="41"/>
      <c r="CL73" s="41"/>
      <c r="CM73" s="41"/>
      <c r="CN73" s="41"/>
    </row>
    <row r="74" spans="2:92" ht="17" customHeight="1">
      <c r="B74" s="268" t="s">
        <v>459</v>
      </c>
      <c r="C74" s="128">
        <v>112</v>
      </c>
      <c r="D74" s="126">
        <v>50</v>
      </c>
      <c r="E74" s="126">
        <v>180</v>
      </c>
      <c r="F74" s="128">
        <f t="shared" si="26"/>
        <v>0.16365296803652968</v>
      </c>
      <c r="G74" s="140">
        <v>0.05</v>
      </c>
      <c r="H74" s="128">
        <f>+F74*(1+G74)</f>
        <v>0.17183561643835618</v>
      </c>
      <c r="I74" s="298">
        <f>D74*E74*H74</f>
        <v>1546.5205479452056</v>
      </c>
      <c r="J74" s="242">
        <f>7*365</f>
        <v>2555</v>
      </c>
      <c r="K74" s="132"/>
      <c r="L74" s="42">
        <v>48</v>
      </c>
      <c r="M74" s="142" t="s">
        <v>503</v>
      </c>
      <c r="N74" s="42">
        <v>48</v>
      </c>
      <c r="O74" s="92">
        <f>(L74*N74)/144</f>
        <v>16</v>
      </c>
      <c r="P74" s="134">
        <v>6.81</v>
      </c>
      <c r="Q74" s="135">
        <f>+P74*O74</f>
        <v>108.96</v>
      </c>
      <c r="R74" s="247">
        <v>12</v>
      </c>
      <c r="S74" s="250">
        <f>+Q74*R74</f>
        <v>1307.52</v>
      </c>
      <c r="V74" s="247">
        <v>0</v>
      </c>
      <c r="W74" s="247">
        <v>0</v>
      </c>
      <c r="X74" s="247">
        <v>0</v>
      </c>
      <c r="Y74" s="265">
        <v>0.40476190476190477</v>
      </c>
      <c r="Z74" s="30">
        <f t="shared" si="25"/>
        <v>0</v>
      </c>
      <c r="AI74" s="168" t="s">
        <v>581</v>
      </c>
      <c r="AJ74" s="168"/>
      <c r="AK74" s="168"/>
      <c r="AL74" s="168"/>
      <c r="AM74" s="168"/>
      <c r="AN74" s="168"/>
      <c r="AO74" s="168"/>
      <c r="AP74" s="168"/>
      <c r="AQ74" s="168"/>
      <c r="AR74" s="168"/>
      <c r="AS74" s="168"/>
      <c r="AT74" s="168"/>
      <c r="AU74" s="168"/>
      <c r="AV74" s="168"/>
      <c r="BT74" s="41"/>
      <c r="BU74" s="41"/>
      <c r="BV74" s="41"/>
      <c r="BW74" s="41"/>
      <c r="BX74" s="41"/>
      <c r="BY74" s="41"/>
      <c r="BZ74" s="41"/>
      <c r="CA74" s="41"/>
      <c r="CB74" s="41"/>
      <c r="CC74" s="41"/>
      <c r="CD74" s="41"/>
      <c r="CE74" s="41"/>
      <c r="CF74" s="41"/>
      <c r="CG74" s="41"/>
      <c r="CH74" s="41"/>
      <c r="CI74" s="41"/>
      <c r="CJ74" s="41"/>
      <c r="CK74" s="41"/>
      <c r="CL74" s="41"/>
      <c r="CM74" s="41"/>
      <c r="CN74" s="41"/>
    </row>
    <row r="75" spans="2:92" ht="17" customHeight="1" thickBot="1">
      <c r="B75" s="268"/>
      <c r="C75" s="126"/>
      <c r="D75" s="126"/>
      <c r="E75" s="126"/>
      <c r="F75" s="128">
        <f t="shared" ref="F75:F76" si="27">(C75*2)/(365*5*0.75)</f>
        <v>0</v>
      </c>
      <c r="G75" s="140">
        <v>0.05</v>
      </c>
      <c r="H75" s="128">
        <f t="shared" ref="H75:H76" si="28">+F75*(1+G75)</f>
        <v>0</v>
      </c>
      <c r="I75" s="298">
        <f t="shared" ref="I75:I76" si="29">D75*E75*H75</f>
        <v>0</v>
      </c>
      <c r="J75" s="242">
        <f t="shared" ref="J75:J77" si="30">7*365</f>
        <v>2555</v>
      </c>
      <c r="K75" s="132"/>
      <c r="L75" s="42">
        <v>54</v>
      </c>
      <c r="M75" s="142" t="s">
        <v>503</v>
      </c>
      <c r="N75" s="42">
        <v>36</v>
      </c>
      <c r="O75" s="92">
        <f>(L75*N75)/144</f>
        <v>13.5</v>
      </c>
      <c r="P75" s="134">
        <v>6.81</v>
      </c>
      <c r="Q75" s="135">
        <f>+P75*O75</f>
        <v>91.934999999999988</v>
      </c>
      <c r="R75" s="247">
        <v>0</v>
      </c>
      <c r="S75" s="250">
        <f>+Q75*R75</f>
        <v>0</v>
      </c>
      <c r="V75" s="247">
        <v>0</v>
      </c>
      <c r="W75" s="247">
        <v>0</v>
      </c>
      <c r="X75" s="247">
        <v>0</v>
      </c>
      <c r="Y75" s="265">
        <v>0.40476190476190477</v>
      </c>
      <c r="Z75" s="30">
        <f t="shared" si="25"/>
        <v>0</v>
      </c>
      <c r="AI75" s="168" t="s">
        <v>582</v>
      </c>
      <c r="AJ75" s="168"/>
      <c r="AK75" s="168"/>
      <c r="AL75" s="168"/>
      <c r="AM75" s="168"/>
      <c r="AN75" s="168"/>
      <c r="AO75" s="168"/>
      <c r="AP75" s="168"/>
      <c r="AQ75" s="168"/>
      <c r="AR75" s="168"/>
      <c r="AS75" s="168"/>
      <c r="AT75" s="168"/>
      <c r="AU75" s="168"/>
      <c r="AV75" s="168"/>
      <c r="BT75" s="41"/>
      <c r="BU75" s="41"/>
      <c r="BV75" s="41"/>
      <c r="BW75" s="41"/>
      <c r="BX75" s="41"/>
      <c r="BY75" s="41"/>
      <c r="BZ75" s="41"/>
      <c r="CA75" s="41"/>
      <c r="CB75" s="41"/>
      <c r="CC75" s="41"/>
      <c r="CD75" s="41"/>
      <c r="CE75" s="41"/>
      <c r="CF75" s="41"/>
      <c r="CG75" s="41"/>
      <c r="CH75" s="41"/>
      <c r="CI75" s="41"/>
      <c r="CJ75" s="41"/>
      <c r="CK75" s="41"/>
      <c r="CL75" s="41"/>
      <c r="CM75" s="41"/>
      <c r="CN75" s="41"/>
    </row>
    <row r="76" spans="2:92" ht="17" customHeight="1" thickBot="1">
      <c r="B76" s="268"/>
      <c r="C76" s="126"/>
      <c r="D76" s="126"/>
      <c r="E76" s="126"/>
      <c r="F76" s="128">
        <f t="shared" si="27"/>
        <v>0</v>
      </c>
      <c r="G76" s="140">
        <v>0.05</v>
      </c>
      <c r="H76" s="128">
        <f t="shared" si="28"/>
        <v>0</v>
      </c>
      <c r="I76" s="298">
        <f t="shared" si="29"/>
        <v>0</v>
      </c>
      <c r="J76" s="242">
        <f t="shared" si="30"/>
        <v>2555</v>
      </c>
      <c r="K76" s="132"/>
      <c r="L76" s="42">
        <v>60</v>
      </c>
      <c r="M76" s="142" t="s">
        <v>503</v>
      </c>
      <c r="N76" s="42">
        <v>24</v>
      </c>
      <c r="O76" s="92">
        <f>(L76*N76)/144</f>
        <v>10</v>
      </c>
      <c r="P76" s="134">
        <v>6.81</v>
      </c>
      <c r="Q76" s="135">
        <f>+P76*O76</f>
        <v>68.099999999999994</v>
      </c>
      <c r="R76" s="247">
        <v>0</v>
      </c>
      <c r="S76" s="250">
        <f>+Q76*R76</f>
        <v>0</v>
      </c>
      <c r="U76" s="256" t="s">
        <v>638</v>
      </c>
      <c r="V76" s="241"/>
      <c r="W76" s="243"/>
      <c r="X76" s="241">
        <f>SUM(X70:X75)</f>
        <v>0</v>
      </c>
      <c r="Y76" s="240"/>
      <c r="Z76" s="241">
        <f>SUM(Z70:Z75)</f>
        <v>0</v>
      </c>
      <c r="AI76" s="168" t="s">
        <v>583</v>
      </c>
      <c r="AJ76" s="168"/>
      <c r="AK76" s="168"/>
      <c r="AL76" s="168"/>
      <c r="AM76" s="168"/>
      <c r="AN76" s="168"/>
      <c r="AO76" s="168"/>
      <c r="AP76" s="168"/>
      <c r="AQ76" s="168"/>
      <c r="AR76" s="168"/>
      <c r="AS76" s="168"/>
      <c r="AT76" s="168"/>
      <c r="AU76" s="168"/>
      <c r="AV76" s="168"/>
      <c r="BT76" s="41"/>
      <c r="BU76" s="41"/>
      <c r="BV76" s="41"/>
      <c r="BW76" s="41"/>
      <c r="BX76" s="41"/>
      <c r="BY76" s="41"/>
      <c r="BZ76" s="41"/>
      <c r="CA76" s="41"/>
      <c r="CB76" s="41"/>
      <c r="CC76" s="41"/>
      <c r="CD76" s="41"/>
      <c r="CE76" s="41"/>
      <c r="CF76" s="41"/>
      <c r="CG76" s="41"/>
      <c r="CH76" s="41"/>
      <c r="CI76" s="41"/>
      <c r="CJ76" s="41"/>
      <c r="CK76" s="41"/>
      <c r="CL76" s="41"/>
      <c r="CM76" s="41"/>
      <c r="CN76" s="41"/>
    </row>
    <row r="77" spans="2:92" ht="17" customHeight="1" thickBot="1">
      <c r="B77" s="269"/>
      <c r="C77" s="126"/>
      <c r="D77" s="126"/>
      <c r="E77" s="126"/>
      <c r="F77" s="128">
        <f t="shared" ref="F77" si="31">(C77*2)/(365*5*0.75)</f>
        <v>0</v>
      </c>
      <c r="G77" s="140">
        <v>0.05</v>
      </c>
      <c r="H77" s="128">
        <f t="shared" ref="H77" si="32">+F77*(1+G77)</f>
        <v>0</v>
      </c>
      <c r="I77" s="298">
        <f t="shared" ref="I77" si="33">D77*E77*H77</f>
        <v>0</v>
      </c>
      <c r="J77" s="242">
        <f t="shared" si="30"/>
        <v>2555</v>
      </c>
      <c r="K77" s="132"/>
      <c r="L77" s="42">
        <v>60</v>
      </c>
      <c r="M77" s="142" t="s">
        <v>503</v>
      </c>
      <c r="N77" s="42">
        <v>30</v>
      </c>
      <c r="O77" s="92">
        <f>(L77*N77)/144</f>
        <v>12.5</v>
      </c>
      <c r="P77" s="134">
        <v>6.81</v>
      </c>
      <c r="Q77" s="135">
        <f>+P77*O77</f>
        <v>85.125</v>
      </c>
      <c r="R77" s="247">
        <v>0</v>
      </c>
      <c r="S77" s="250">
        <f>+Q77*R77</f>
        <v>0</v>
      </c>
      <c r="AI77" s="168" t="s">
        <v>584</v>
      </c>
      <c r="AJ77" s="168"/>
      <c r="AK77" s="168"/>
      <c r="AL77" s="168"/>
      <c r="AM77" s="168"/>
      <c r="AN77" s="168"/>
      <c r="AO77" s="168"/>
      <c r="AP77" s="168"/>
      <c r="AQ77" s="168"/>
      <c r="AR77" s="168"/>
      <c r="AS77" s="168"/>
      <c r="AT77" s="168"/>
      <c r="AU77" s="168"/>
      <c r="AV77" s="168"/>
      <c r="BT77" s="41"/>
      <c r="BU77" s="41"/>
      <c r="BV77" s="41"/>
      <c r="BW77" s="41"/>
      <c r="BX77" s="41"/>
      <c r="BY77" s="41"/>
      <c r="BZ77" s="41"/>
      <c r="CA77" s="41"/>
      <c r="CB77" s="41"/>
      <c r="CC77" s="41"/>
      <c r="CD77" s="41"/>
      <c r="CE77" s="41"/>
      <c r="CF77" s="41"/>
      <c r="CG77" s="41"/>
      <c r="CH77" s="41"/>
      <c r="CI77" s="41"/>
      <c r="CJ77" s="41"/>
      <c r="CK77" s="41"/>
      <c r="CL77" s="41"/>
      <c r="CM77" s="41"/>
      <c r="CN77" s="41"/>
    </row>
    <row r="78" spans="2:92" ht="17" customHeight="1" thickBot="1">
      <c r="B78" s="111" t="str">
        <f>"Total " &amp; B69&amp;""</f>
        <v>Total LIGHT AND DRUM RENTAL</v>
      </c>
      <c r="C78" s="112"/>
      <c r="D78" s="130"/>
      <c r="E78" s="131"/>
      <c r="F78" s="112"/>
      <c r="G78" s="130"/>
      <c r="H78" s="131"/>
      <c r="I78" s="241">
        <f>SUM(I74:I77)</f>
        <v>1546.5205479452056</v>
      </c>
      <c r="J78"/>
      <c r="L78" s="42">
        <v>60</v>
      </c>
      <c r="M78" s="142" t="s">
        <v>503</v>
      </c>
      <c r="N78" s="42">
        <v>48</v>
      </c>
      <c r="O78" s="92">
        <f>(L78*N78)/144</f>
        <v>20</v>
      </c>
      <c r="P78" s="134">
        <v>6.81</v>
      </c>
      <c r="Q78" s="135">
        <f>+P78*O78</f>
        <v>136.19999999999999</v>
      </c>
      <c r="R78" s="247">
        <v>0</v>
      </c>
      <c r="S78" s="250">
        <f>+Q78*R78</f>
        <v>0</v>
      </c>
      <c r="AI78" s="168" t="s">
        <v>585</v>
      </c>
      <c r="AJ78" s="168"/>
      <c r="AK78" s="168"/>
      <c r="AL78" s="168"/>
      <c r="AM78" s="168"/>
      <c r="AN78" s="168"/>
      <c r="AO78" s="168"/>
      <c r="AP78" s="168"/>
      <c r="AQ78" s="168"/>
      <c r="AR78" s="168"/>
      <c r="AS78" s="168"/>
      <c r="AT78" s="168"/>
      <c r="AU78" s="168"/>
      <c r="AV78" s="168"/>
      <c r="BT78" s="41"/>
      <c r="BU78" s="41"/>
      <c r="BV78" s="41"/>
      <c r="BW78" s="41"/>
      <c r="BX78" s="41"/>
      <c r="BY78" s="41"/>
      <c r="BZ78" s="41"/>
      <c r="CA78" s="41"/>
      <c r="CB78" s="41"/>
      <c r="CC78" s="41"/>
      <c r="CD78" s="41"/>
      <c r="CE78" s="41"/>
      <c r="CF78" s="41"/>
      <c r="CG78" s="41"/>
      <c r="CH78" s="41"/>
      <c r="CI78" s="41"/>
      <c r="CJ78" s="41"/>
      <c r="CK78" s="41"/>
      <c r="CL78" s="41"/>
      <c r="CM78" s="41"/>
      <c r="CN78" s="41"/>
    </row>
    <row r="79" spans="2:92" ht="17" customHeight="1">
      <c r="I79"/>
      <c r="J79"/>
      <c r="L79" s="42">
        <v>60</v>
      </c>
      <c r="M79" s="142" t="s">
        <v>503</v>
      </c>
      <c r="N79" s="42">
        <v>60</v>
      </c>
      <c r="O79" s="92">
        <f>(L79*N79)/144</f>
        <v>25</v>
      </c>
      <c r="P79" s="134">
        <v>6.81</v>
      </c>
      <c r="Q79" s="135">
        <f>+P79*O79</f>
        <v>170.25</v>
      </c>
      <c r="R79" s="247">
        <v>0</v>
      </c>
      <c r="S79" s="250">
        <f>+Q79*R79</f>
        <v>0</v>
      </c>
      <c r="AI79" s="168" t="s">
        <v>586</v>
      </c>
      <c r="AJ79" s="168"/>
      <c r="AK79" s="168"/>
      <c r="AL79" s="168"/>
      <c r="AM79" s="168"/>
      <c r="AN79" s="168"/>
      <c r="AO79" s="168"/>
      <c r="AP79" s="168"/>
      <c r="AQ79" s="168"/>
      <c r="AR79" s="168"/>
      <c r="AS79" s="168"/>
      <c r="AT79" s="168"/>
      <c r="AU79" s="168"/>
      <c r="AV79" s="168"/>
      <c r="BT79" s="41"/>
      <c r="BU79" s="41"/>
      <c r="BV79" s="41"/>
      <c r="BW79" s="41"/>
      <c r="BX79" s="41"/>
      <c r="BY79" s="41"/>
      <c r="BZ79" s="41"/>
      <c r="CA79" s="41"/>
      <c r="CB79" s="41"/>
      <c r="CC79" s="41"/>
      <c r="CD79" s="41"/>
      <c r="CE79" s="41"/>
      <c r="CF79" s="41"/>
      <c r="CG79" s="41"/>
      <c r="CH79" s="41"/>
      <c r="CI79" s="41"/>
      <c r="CJ79" s="41"/>
      <c r="CK79" s="41"/>
      <c r="CL79" s="41"/>
      <c r="CM79" s="41"/>
      <c r="CN79" s="41"/>
    </row>
    <row r="80" spans="2:92" ht="17" customHeight="1">
      <c r="B80" s="28" t="s">
        <v>645</v>
      </c>
      <c r="C80" s="29"/>
      <c r="D80" s="29"/>
      <c r="E80" s="29"/>
      <c r="F80"/>
      <c r="G80"/>
      <c r="I80"/>
      <c r="J80"/>
      <c r="L80" s="42">
        <v>72</v>
      </c>
      <c r="M80" s="142" t="s">
        <v>503</v>
      </c>
      <c r="N80" s="42">
        <v>36</v>
      </c>
      <c r="O80" s="92">
        <f>(L80*N80)/144</f>
        <v>18</v>
      </c>
      <c r="P80" s="134">
        <v>6.81</v>
      </c>
      <c r="Q80" s="135">
        <f>+P80*O80</f>
        <v>122.58</v>
      </c>
      <c r="R80" s="247">
        <v>0</v>
      </c>
      <c r="S80" s="250">
        <f>+Q80*R80</f>
        <v>0</v>
      </c>
      <c r="AI80" s="168" t="s">
        <v>587</v>
      </c>
      <c r="AJ80" s="168"/>
      <c r="AK80" s="168"/>
      <c r="AL80" s="168"/>
      <c r="AM80" s="168"/>
      <c r="AN80" s="168"/>
      <c r="AO80" s="168"/>
      <c r="AP80" s="168"/>
      <c r="AQ80" s="168"/>
      <c r="AR80" s="168"/>
      <c r="AS80" s="168"/>
      <c r="AT80" s="168"/>
      <c r="AU80" s="168"/>
      <c r="AV80" s="168"/>
      <c r="BT80" s="41"/>
      <c r="BU80" s="41"/>
      <c r="BV80" s="41"/>
      <c r="BW80" s="41"/>
      <c r="BX80" s="41"/>
      <c r="BY80" s="41"/>
      <c r="BZ80" s="41"/>
      <c r="CA80" s="41"/>
      <c r="CB80" s="41"/>
      <c r="CC80" s="41"/>
      <c r="CD80" s="41"/>
      <c r="CE80" s="41"/>
      <c r="CF80" s="41"/>
      <c r="CG80" s="41"/>
      <c r="CH80" s="41"/>
      <c r="CI80" s="41"/>
      <c r="CJ80" s="41"/>
      <c r="CK80" s="41"/>
      <c r="CL80" s="41"/>
      <c r="CM80" s="41"/>
      <c r="CN80" s="41"/>
    </row>
    <row r="81" spans="2:92" ht="17" customHeight="1">
      <c r="B81" s="61"/>
      <c r="C81" s="62" t="s">
        <v>352</v>
      </c>
      <c r="D81" s="62" t="s">
        <v>457</v>
      </c>
      <c r="E81" s="63" t="s">
        <v>491</v>
      </c>
      <c r="F81" s="132"/>
      <c r="J81" s="54"/>
      <c r="L81" s="42">
        <v>72</v>
      </c>
      <c r="M81" s="142" t="s">
        <v>503</v>
      </c>
      <c r="N81" s="42">
        <v>48</v>
      </c>
      <c r="O81" s="92">
        <f>(L81*N81)/144</f>
        <v>24</v>
      </c>
      <c r="P81" s="134">
        <v>6.81</v>
      </c>
      <c r="Q81" s="135">
        <f>+P81*O81</f>
        <v>163.44</v>
      </c>
      <c r="R81" s="247">
        <v>0</v>
      </c>
      <c r="S81" s="250">
        <f>+Q81*R81</f>
        <v>0</v>
      </c>
      <c r="AI81" s="168" t="s">
        <v>588</v>
      </c>
      <c r="AJ81" s="168"/>
      <c r="AK81" s="168"/>
      <c r="AL81" s="168"/>
      <c r="AM81" s="168"/>
      <c r="AN81" s="168"/>
      <c r="AO81" s="168"/>
      <c r="AP81" s="168"/>
      <c r="AQ81" s="168"/>
      <c r="AR81" s="168"/>
      <c r="AS81" s="168"/>
      <c r="AT81" s="168"/>
      <c r="AU81" s="168"/>
      <c r="AV81" s="168"/>
      <c r="BT81" s="41"/>
      <c r="BU81" s="41"/>
      <c r="BV81" s="41"/>
      <c r="BW81" s="41"/>
      <c r="BX81" s="41"/>
      <c r="BY81" s="41"/>
      <c r="BZ81" s="41"/>
      <c r="CA81" s="41"/>
      <c r="CB81" s="41"/>
      <c r="CC81" s="41"/>
      <c r="CD81" s="41"/>
      <c r="CE81" s="41"/>
      <c r="CF81" s="41"/>
      <c r="CG81" s="41"/>
      <c r="CH81" s="41"/>
      <c r="CI81" s="41"/>
      <c r="CJ81" s="41"/>
      <c r="CK81" s="41"/>
      <c r="CL81" s="41"/>
      <c r="CM81" s="41"/>
      <c r="CN81" s="41"/>
    </row>
    <row r="82" spans="2:92" ht="17" customHeight="1">
      <c r="B82" s="37" t="s">
        <v>492</v>
      </c>
      <c r="C82" s="267">
        <v>3800</v>
      </c>
      <c r="D82" s="126">
        <v>1</v>
      </c>
      <c r="E82" s="290">
        <f>+C82*D82</f>
        <v>3800</v>
      </c>
      <c r="F82" s="132"/>
      <c r="J82" s="91"/>
      <c r="L82" s="42">
        <v>72</v>
      </c>
      <c r="M82" s="142" t="s">
        <v>503</v>
      </c>
      <c r="N82" s="42">
        <v>60</v>
      </c>
      <c r="O82" s="92">
        <f>(L82*N82)/144</f>
        <v>30</v>
      </c>
      <c r="P82" s="134">
        <v>6.81</v>
      </c>
      <c r="Q82" s="135">
        <f>+P82*O82</f>
        <v>204.29999999999998</v>
      </c>
      <c r="R82" s="247">
        <v>0</v>
      </c>
      <c r="S82" s="250">
        <f>+Q82*R82</f>
        <v>0</v>
      </c>
      <c r="AI82" s="168" t="s">
        <v>589</v>
      </c>
      <c r="AJ82" s="168"/>
      <c r="AK82" s="168"/>
      <c r="AL82" s="168"/>
      <c r="AM82" s="168"/>
      <c r="AN82" s="168"/>
      <c r="AO82" s="168"/>
      <c r="AP82" s="168"/>
      <c r="AQ82" s="168"/>
      <c r="AR82" s="168"/>
      <c r="AS82" s="168"/>
      <c r="AT82" s="168"/>
      <c r="AU82" s="168"/>
      <c r="AV82" s="168"/>
      <c r="BT82" s="41"/>
      <c r="BU82" s="41"/>
      <c r="BV82" s="41"/>
      <c r="BW82" s="41"/>
      <c r="BX82" s="41"/>
      <c r="BY82" s="41"/>
      <c r="BZ82" s="41"/>
      <c r="CA82" s="41"/>
      <c r="CB82" s="41"/>
      <c r="CC82" s="41"/>
      <c r="CD82" s="41"/>
      <c r="CE82" s="41"/>
      <c r="CF82" s="41"/>
      <c r="CG82" s="41"/>
      <c r="CH82" s="41"/>
      <c r="CI82" s="41"/>
      <c r="CJ82" s="41"/>
      <c r="CK82" s="41"/>
      <c r="CL82" s="41"/>
      <c r="CM82" s="41"/>
      <c r="CN82" s="41"/>
    </row>
    <row r="83" spans="2:92" ht="17" customHeight="1">
      <c r="B83" s="37" t="s">
        <v>644</v>
      </c>
      <c r="C83" s="267">
        <v>750</v>
      </c>
      <c r="D83" s="126">
        <v>3</v>
      </c>
      <c r="E83" s="290">
        <f t="shared" ref="E83:E87" si="34">+C83*D83</f>
        <v>2250</v>
      </c>
      <c r="F83" s="132"/>
      <c r="J83" s="91"/>
      <c r="L83" s="42">
        <v>96</v>
      </c>
      <c r="M83" s="142" t="s">
        <v>503</v>
      </c>
      <c r="N83" s="42">
        <v>48</v>
      </c>
      <c r="O83" s="92">
        <f>(L83*N83)/144</f>
        <v>32</v>
      </c>
      <c r="P83" s="134">
        <v>6.81</v>
      </c>
      <c r="Q83" s="135">
        <f>+P83*O83</f>
        <v>217.92</v>
      </c>
      <c r="R83" s="247">
        <v>0</v>
      </c>
      <c r="S83" s="250">
        <f>+Q83*R83</f>
        <v>0</v>
      </c>
      <c r="AI83" s="168" t="s">
        <v>590</v>
      </c>
      <c r="AJ83" s="168"/>
      <c r="AK83" s="168"/>
      <c r="AL83" s="168"/>
      <c r="AM83" s="168"/>
      <c r="AN83" s="168"/>
      <c r="AO83" s="168"/>
      <c r="AP83" s="168"/>
      <c r="AQ83" s="168"/>
      <c r="AR83" s="168"/>
      <c r="AS83" s="168"/>
      <c r="AT83" s="168"/>
      <c r="AU83" s="168"/>
      <c r="AV83" s="168"/>
      <c r="BT83" s="41"/>
      <c r="BU83" s="41"/>
      <c r="BV83" s="41"/>
      <c r="BW83" s="41"/>
      <c r="BX83" s="41"/>
      <c r="BY83" s="41"/>
      <c r="BZ83" s="41"/>
      <c r="CA83" s="41"/>
      <c r="CB83" s="41"/>
      <c r="CC83" s="41"/>
      <c r="CD83" s="41"/>
      <c r="CE83" s="41"/>
      <c r="CF83" s="41"/>
      <c r="CG83" s="41"/>
      <c r="CH83" s="41"/>
      <c r="CI83" s="41"/>
      <c r="CJ83" s="41"/>
      <c r="CK83" s="41"/>
      <c r="CL83" s="41"/>
      <c r="CM83" s="41"/>
      <c r="CN83" s="41"/>
    </row>
    <row r="84" spans="2:92" ht="17" customHeight="1">
      <c r="B84" s="37" t="s">
        <v>635</v>
      </c>
      <c r="C84" s="267">
        <v>750</v>
      </c>
      <c r="D84" s="126">
        <v>3</v>
      </c>
      <c r="E84" s="290">
        <f t="shared" si="34"/>
        <v>2250</v>
      </c>
      <c r="F84" s="132"/>
      <c r="J84" s="91"/>
      <c r="L84" s="42"/>
      <c r="M84" s="142"/>
      <c r="N84" s="42"/>
      <c r="O84" s="92"/>
      <c r="P84" s="134"/>
      <c r="Q84" s="135"/>
      <c r="R84" s="247"/>
      <c r="S84" s="250"/>
      <c r="AI84" s="168" t="s">
        <v>591</v>
      </c>
      <c r="AJ84" s="168"/>
      <c r="AK84" s="168"/>
      <c r="AL84" s="168"/>
      <c r="AM84" s="168"/>
      <c r="AN84" s="168"/>
      <c r="AO84" s="168"/>
      <c r="AP84" s="168"/>
      <c r="AQ84" s="168"/>
      <c r="AR84" s="168"/>
      <c r="AS84" s="168"/>
      <c r="AT84" s="168"/>
      <c r="AU84" s="168"/>
      <c r="AV84" s="168"/>
    </row>
    <row r="85" spans="2:92" ht="17" customHeight="1">
      <c r="B85" s="268"/>
      <c r="C85" s="267"/>
      <c r="D85" s="126"/>
      <c r="E85" s="290">
        <f t="shared" si="34"/>
        <v>0</v>
      </c>
      <c r="F85" s="132"/>
      <c r="J85" s="91"/>
      <c r="L85" s="42"/>
      <c r="M85" s="142"/>
      <c r="N85" s="42"/>
      <c r="O85" s="92"/>
      <c r="P85" s="134"/>
      <c r="Q85" s="135"/>
      <c r="R85" s="247"/>
      <c r="S85" s="250"/>
      <c r="AI85" s="168" t="s">
        <v>592</v>
      </c>
      <c r="AJ85" s="168"/>
      <c r="AK85" s="168"/>
      <c r="AL85" s="168"/>
      <c r="AM85" s="168"/>
      <c r="AN85" s="168"/>
      <c r="AO85" s="168"/>
      <c r="AP85" s="168"/>
      <c r="AQ85" s="168"/>
      <c r="AR85" s="168"/>
      <c r="AS85" s="168"/>
      <c r="AT85" s="168"/>
      <c r="AU85" s="168"/>
      <c r="AV85" s="168"/>
    </row>
    <row r="86" spans="2:92" ht="17" customHeight="1" thickBot="1">
      <c r="B86" s="268"/>
      <c r="C86" s="267"/>
      <c r="D86" s="126"/>
      <c r="E86" s="290">
        <f t="shared" si="34"/>
        <v>0</v>
      </c>
      <c r="F86" s="132"/>
      <c r="L86" s="42"/>
      <c r="M86" s="142"/>
      <c r="N86" s="42"/>
      <c r="O86" s="92"/>
      <c r="P86" s="134"/>
      <c r="Q86" s="135"/>
      <c r="R86" s="247"/>
      <c r="S86" s="250"/>
      <c r="AI86" s="168" t="s">
        <v>593</v>
      </c>
      <c r="AJ86" s="168"/>
      <c r="AK86" s="168"/>
      <c r="AL86" s="168"/>
      <c r="AM86" s="168"/>
      <c r="AN86" s="168"/>
      <c r="AO86" s="168"/>
      <c r="AP86" s="168"/>
      <c r="AQ86" s="168"/>
      <c r="AR86" s="168"/>
      <c r="AS86" s="168"/>
      <c r="AT86" s="168"/>
      <c r="AU86" s="168"/>
      <c r="AV86" s="168"/>
    </row>
    <row r="87" spans="2:92" ht="17" customHeight="1" thickBot="1">
      <c r="B87" s="269"/>
      <c r="C87" s="267"/>
      <c r="D87" s="126"/>
      <c r="E87" s="290">
        <f t="shared" si="34"/>
        <v>0</v>
      </c>
      <c r="F87" s="132"/>
      <c r="L87" s="111" t="s">
        <v>367</v>
      </c>
      <c r="M87" s="112"/>
      <c r="N87" s="130"/>
      <c r="O87" s="131">
        <f>SUMPRODUCT(O49:O86,R49:R86)</f>
        <v>391.5</v>
      </c>
      <c r="P87" s="112"/>
      <c r="Q87" s="130"/>
      <c r="R87" s="143">
        <f>SUM(R49:R86)</f>
        <v>76</v>
      </c>
      <c r="S87" s="241">
        <f>SUM(S49:S86)</f>
        <v>2666.1149999999998</v>
      </c>
      <c r="AI87" s="168" t="s">
        <v>594</v>
      </c>
      <c r="AJ87" s="168"/>
      <c r="AK87" s="168"/>
      <c r="AL87" s="168"/>
      <c r="AM87" s="168"/>
      <c r="AN87" s="168"/>
      <c r="AO87" s="168"/>
      <c r="AP87" s="168"/>
      <c r="AQ87" s="168"/>
      <c r="AR87" s="168"/>
      <c r="AS87" s="168"/>
      <c r="AT87" s="168"/>
      <c r="AU87" s="168"/>
      <c r="AV87" s="168"/>
    </row>
    <row r="88" spans="2:92" ht="17" customHeight="1" thickBot="1">
      <c r="B88" s="111" t="str">
        <f>"Total " &amp; B80&amp;""</f>
        <v>Total CAPITAL EQUIPMENT RENTAL</v>
      </c>
      <c r="C88" s="112"/>
      <c r="D88" s="130"/>
      <c r="E88" s="241">
        <f>SUM(E82:E87)</f>
        <v>8300</v>
      </c>
      <c r="H88"/>
      <c r="I88"/>
      <c r="J88"/>
      <c r="AI88" s="168" t="s">
        <v>595</v>
      </c>
      <c r="AJ88" s="168"/>
      <c r="AK88" s="168"/>
      <c r="AL88" s="168"/>
      <c r="AM88" s="168"/>
      <c r="AN88" s="168"/>
      <c r="AO88" s="168"/>
      <c r="AP88" s="168"/>
      <c r="AQ88" s="168"/>
      <c r="AR88" s="168"/>
      <c r="AS88" s="168"/>
      <c r="AT88" s="168"/>
      <c r="AU88" s="168"/>
      <c r="AV88" s="168"/>
    </row>
    <row r="89" spans="2:92" ht="17" customHeight="1">
      <c r="H89"/>
      <c r="I89"/>
      <c r="J89"/>
      <c r="L89" s="58" t="s">
        <v>386</v>
      </c>
      <c r="M89" s="58"/>
      <c r="N89" s="58"/>
      <c r="O89" s="58"/>
      <c r="P89" s="58"/>
      <c r="Q89" s="58"/>
      <c r="R89" s="58"/>
      <c r="S89" s="58"/>
      <c r="AI89" s="168" t="s">
        <v>596</v>
      </c>
      <c r="AJ89" s="168"/>
      <c r="AK89" s="168"/>
      <c r="AL89" s="168"/>
      <c r="AM89" s="168"/>
      <c r="AN89" s="168"/>
      <c r="AO89" s="168"/>
      <c r="AP89" s="168"/>
      <c r="AQ89" s="168"/>
      <c r="AR89" s="168"/>
      <c r="AS89" s="168"/>
      <c r="AT89" s="168"/>
      <c r="AU89" s="168"/>
      <c r="AV89" s="168"/>
    </row>
    <row r="90" spans="2:92" ht="17" customHeight="1">
      <c r="H90"/>
      <c r="I90"/>
      <c r="J90"/>
      <c r="L90" s="34" t="s">
        <v>384</v>
      </c>
      <c r="M90" s="34"/>
      <c r="N90" s="34"/>
      <c r="O90" s="34" t="s">
        <v>379</v>
      </c>
      <c r="P90" s="34" t="s">
        <v>378</v>
      </c>
      <c r="Q90" s="34" t="s">
        <v>383</v>
      </c>
      <c r="R90" s="35" t="s">
        <v>382</v>
      </c>
      <c r="S90" s="36" t="s">
        <v>367</v>
      </c>
      <c r="AI90" s="168" t="s">
        <v>597</v>
      </c>
      <c r="AJ90" s="168"/>
      <c r="AK90" s="168"/>
      <c r="AL90" s="168"/>
      <c r="AM90" s="168"/>
      <c r="AN90" s="168"/>
      <c r="AO90" s="168"/>
      <c r="AP90" s="168"/>
      <c r="AQ90" s="168"/>
      <c r="AR90" s="168"/>
      <c r="AS90" s="168"/>
      <c r="AT90" s="168"/>
      <c r="AU90" s="168"/>
      <c r="AV90" s="168"/>
    </row>
    <row r="91" spans="2:92" ht="17" customHeight="1">
      <c r="H91"/>
      <c r="L91" s="34"/>
      <c r="M91" s="34"/>
      <c r="N91" s="34"/>
      <c r="O91" s="34"/>
      <c r="P91" s="34" t="s">
        <v>379</v>
      </c>
      <c r="Q91" s="34" t="s">
        <v>378</v>
      </c>
      <c r="R91" s="35" t="s">
        <v>377</v>
      </c>
      <c r="S91" s="40"/>
      <c r="AI91" s="168" t="s">
        <v>598</v>
      </c>
      <c r="AJ91" s="168"/>
      <c r="AK91" s="168"/>
      <c r="AL91" s="168"/>
      <c r="AM91" s="168"/>
      <c r="AN91" s="168"/>
      <c r="AO91" s="168"/>
      <c r="AP91" s="168"/>
      <c r="AQ91" s="168"/>
      <c r="AR91" s="168"/>
      <c r="AS91" s="168"/>
      <c r="AT91" s="168"/>
      <c r="AU91" s="168"/>
      <c r="AV91" s="168"/>
    </row>
    <row r="92" spans="2:92" ht="17" customHeight="1">
      <c r="H92"/>
      <c r="L92" s="247"/>
      <c r="M92" s="247"/>
      <c r="N92" s="247"/>
      <c r="O92" s="92">
        <f>(L92*N92)/144</f>
        <v>0</v>
      </c>
      <c r="P92" s="247">
        <v>2</v>
      </c>
      <c r="Q92" s="135">
        <f>O92*P92</f>
        <v>0</v>
      </c>
      <c r="R92" s="247">
        <v>2</v>
      </c>
      <c r="S92" s="136">
        <f>Q92*R92</f>
        <v>0</v>
      </c>
      <c r="AI92" s="168" t="s">
        <v>599</v>
      </c>
      <c r="AJ92" s="168"/>
      <c r="AK92" s="168"/>
      <c r="AL92" s="168"/>
      <c r="AM92" s="168"/>
      <c r="AN92" s="168"/>
      <c r="AO92" s="168"/>
      <c r="AP92" s="168"/>
      <c r="AQ92" s="168"/>
      <c r="AR92" s="168"/>
      <c r="AS92" s="168"/>
      <c r="AT92" s="168"/>
      <c r="AU92" s="168"/>
      <c r="AV92" s="168"/>
    </row>
    <row r="93" spans="2:92" ht="17" customHeight="1">
      <c r="H93"/>
      <c r="L93" s="247"/>
      <c r="M93" s="247"/>
      <c r="N93" s="247"/>
      <c r="O93" s="92">
        <f>(L93*N93)/144</f>
        <v>0</v>
      </c>
      <c r="P93" s="247">
        <v>2</v>
      </c>
      <c r="Q93" s="135">
        <f>O93*P93</f>
        <v>0</v>
      </c>
      <c r="R93" s="247">
        <v>2</v>
      </c>
      <c r="S93" s="136">
        <f>Q93*R93</f>
        <v>0</v>
      </c>
      <c r="AI93" s="168" t="s">
        <v>600</v>
      </c>
      <c r="AJ93" s="168"/>
      <c r="AK93" s="168"/>
      <c r="AL93" s="168"/>
      <c r="AM93" s="168"/>
      <c r="AN93" s="168"/>
      <c r="AO93" s="168"/>
      <c r="AP93" s="168"/>
      <c r="AQ93" s="168"/>
      <c r="AR93" s="168"/>
      <c r="AS93" s="168"/>
      <c r="AT93" s="168"/>
      <c r="AU93" s="168"/>
      <c r="AV93" s="168"/>
    </row>
    <row r="94" spans="2:92" ht="17" customHeight="1" thickBot="1">
      <c r="L94" s="247"/>
      <c r="M94" s="247"/>
      <c r="N94" s="247"/>
      <c r="O94" s="92">
        <f>(L94*N94)/144</f>
        <v>0</v>
      </c>
      <c r="P94" s="247">
        <v>2</v>
      </c>
      <c r="Q94" s="135">
        <f>O94*P94</f>
        <v>0</v>
      </c>
      <c r="R94" s="247">
        <v>2</v>
      </c>
      <c r="S94" s="136">
        <f>Q94*R94</f>
        <v>0</v>
      </c>
      <c r="AI94" s="168" t="s">
        <v>601</v>
      </c>
      <c r="AJ94" s="168"/>
      <c r="AK94" s="168"/>
      <c r="AL94" s="168"/>
      <c r="AM94" s="168"/>
      <c r="AN94" s="168"/>
      <c r="AO94" s="168"/>
      <c r="AP94" s="168"/>
      <c r="AQ94" s="168"/>
      <c r="AR94" s="168"/>
      <c r="AS94" s="168"/>
      <c r="AT94" s="168"/>
      <c r="AU94" s="168"/>
      <c r="AV94" s="168"/>
    </row>
    <row r="95" spans="2:92" ht="17" customHeight="1" thickBot="1">
      <c r="L95" s="111" t="s">
        <v>367</v>
      </c>
      <c r="M95" s="112"/>
      <c r="N95" s="130"/>
      <c r="O95" s="249">
        <f>SUMPRODUCT(O92:O94,R92:R94)</f>
        <v>0</v>
      </c>
      <c r="P95" s="112"/>
      <c r="Q95" s="130"/>
      <c r="R95" s="143">
        <f>SUM(R92:R94)</f>
        <v>6</v>
      </c>
      <c r="S95" s="241">
        <f>SUM(S92:S94)</f>
        <v>0</v>
      </c>
      <c r="AI95" s="168" t="s">
        <v>602</v>
      </c>
      <c r="AJ95" s="168"/>
      <c r="AK95" s="168"/>
      <c r="AL95" s="168"/>
      <c r="AM95" s="168"/>
      <c r="AN95" s="168"/>
      <c r="AO95" s="168"/>
      <c r="AP95" s="168"/>
      <c r="AQ95" s="168"/>
      <c r="AR95" s="168"/>
      <c r="AS95" s="168"/>
      <c r="AT95" s="168"/>
      <c r="AU95" s="168"/>
      <c r="AV95" s="168"/>
      <c r="BK95" s="44"/>
      <c r="BL95" s="44"/>
      <c r="BM95" s="32"/>
      <c r="BN95" s="32"/>
    </row>
    <row r="96" spans="2:92" ht="17" customHeight="1">
      <c r="AI96" s="233"/>
      <c r="AJ96" s="233"/>
      <c r="AK96" s="233"/>
      <c r="AL96" s="233"/>
      <c r="AM96" s="233"/>
      <c r="AN96" s="233"/>
      <c r="AO96" s="233"/>
      <c r="AP96" s="233"/>
      <c r="AQ96" s="233"/>
      <c r="AR96" s="233"/>
      <c r="AS96" s="233"/>
      <c r="AT96" s="233"/>
      <c r="AU96" s="233"/>
      <c r="AV96" s="233"/>
    </row>
    <row r="97" spans="2:66" ht="17" customHeight="1">
      <c r="B97" s="28" t="s">
        <v>493</v>
      </c>
      <c r="C97" s="29"/>
      <c r="D97" s="29"/>
      <c r="E97" s="29"/>
      <c r="F97" s="29"/>
      <c r="G97" s="86"/>
      <c r="H97" s="86"/>
      <c r="L97"/>
      <c r="M97"/>
      <c r="N97"/>
      <c r="O97"/>
      <c r="P97"/>
      <c r="Q97"/>
      <c r="R97"/>
      <c r="S97"/>
      <c r="AI97"/>
      <c r="AJ97"/>
      <c r="AK97"/>
      <c r="AL97"/>
      <c r="AM97"/>
      <c r="AN97"/>
      <c r="AO97"/>
      <c r="AP97"/>
      <c r="AQ97"/>
      <c r="AR97"/>
      <c r="AS97"/>
      <c r="AT97"/>
      <c r="AU97"/>
      <c r="AV97"/>
    </row>
    <row r="98" spans="2:66" ht="17" customHeight="1">
      <c r="C98" s="98" t="s">
        <v>410</v>
      </c>
      <c r="I98"/>
      <c r="J98"/>
      <c r="K98"/>
      <c r="AI98" s="229" t="s">
        <v>603</v>
      </c>
      <c r="AJ98" s="229"/>
      <c r="AK98" s="229"/>
      <c r="AL98" s="229"/>
      <c r="AM98"/>
      <c r="AN98"/>
      <c r="AO98"/>
      <c r="AP98"/>
      <c r="AQ98"/>
      <c r="AR98"/>
      <c r="AS98"/>
      <c r="AT98"/>
      <c r="AU98"/>
      <c r="AV98"/>
    </row>
    <row r="99" spans="2:66" ht="17" customHeight="1">
      <c r="B99" s="38" t="s">
        <v>494</v>
      </c>
      <c r="C99" s="100" t="s">
        <v>398</v>
      </c>
      <c r="I99"/>
      <c r="J99"/>
      <c r="K99"/>
      <c r="AI99" s="234" t="s">
        <v>604</v>
      </c>
      <c r="AJ99" s="234"/>
      <c r="AK99" s="234"/>
      <c r="AL99" s="234"/>
      <c r="AM99" s="234"/>
      <c r="AN99" s="234"/>
      <c r="AO99" s="234"/>
      <c r="AP99" s="234"/>
      <c r="AQ99" s="234"/>
      <c r="AR99" s="234"/>
      <c r="AS99" s="234"/>
      <c r="AT99" s="234"/>
      <c r="AU99" s="234"/>
      <c r="AV99" s="234"/>
    </row>
    <row r="100" spans="2:66" ht="17" customHeight="1">
      <c r="B100" s="38" t="s">
        <v>291</v>
      </c>
      <c r="C100" s="100" t="s">
        <v>477</v>
      </c>
      <c r="I100"/>
      <c r="J100"/>
      <c r="K100"/>
      <c r="AI100" s="235" t="s">
        <v>605</v>
      </c>
      <c r="AJ100" s="234"/>
      <c r="AK100" s="234"/>
      <c r="AL100" s="234"/>
      <c r="AM100" s="234"/>
      <c r="AN100" s="234"/>
      <c r="AO100" s="234"/>
      <c r="AP100" s="234"/>
      <c r="AQ100" s="234"/>
      <c r="AR100" s="234"/>
      <c r="AS100" s="234"/>
      <c r="AT100" s="234"/>
      <c r="AU100" s="234"/>
      <c r="AV100" s="234"/>
    </row>
    <row r="101" spans="2:66" ht="17" customHeight="1">
      <c r="C101" s="100" t="s">
        <v>477</v>
      </c>
      <c r="I101"/>
      <c r="J101"/>
      <c r="K101"/>
      <c r="AI101" s="235"/>
      <c r="AJ101" s="234"/>
      <c r="AK101" s="234"/>
      <c r="AL101" s="234"/>
      <c r="AM101" s="234"/>
      <c r="AN101" s="234"/>
      <c r="AO101" s="234"/>
      <c r="AP101" s="234"/>
      <c r="AQ101" s="234"/>
      <c r="AR101" s="234"/>
      <c r="AS101" s="234"/>
      <c r="AT101" s="234"/>
      <c r="AU101" s="234"/>
      <c r="AV101" s="234"/>
    </row>
    <row r="102" spans="2:66" ht="17" customHeight="1">
      <c r="C102" s="100" t="s">
        <v>477</v>
      </c>
      <c r="I102"/>
      <c r="J102"/>
      <c r="K102"/>
      <c r="AI102" s="234" t="s">
        <v>606</v>
      </c>
      <c r="AJ102" s="234"/>
      <c r="AK102" s="234"/>
      <c r="AL102" s="234"/>
      <c r="AM102" s="234"/>
      <c r="AN102" s="234"/>
      <c r="AO102" s="234"/>
      <c r="AP102" s="234"/>
      <c r="AQ102" s="234"/>
      <c r="AR102" s="234"/>
      <c r="AS102" s="234"/>
      <c r="AT102" s="234"/>
      <c r="AU102" s="234"/>
      <c r="AV102" s="234"/>
    </row>
    <row r="103" spans="2:66" ht="17" customHeight="1">
      <c r="B103" s="54" t="s">
        <v>431</v>
      </c>
      <c r="C103" s="100" t="s">
        <v>477</v>
      </c>
      <c r="D103" s="39">
        <v>1.1499999999999999</v>
      </c>
      <c r="I103"/>
      <c r="J103"/>
      <c r="K103"/>
      <c r="AI103" s="234" t="s">
        <v>607</v>
      </c>
      <c r="AJ103" s="234"/>
      <c r="AK103" s="234"/>
      <c r="AL103" s="234"/>
      <c r="AM103" s="234"/>
      <c r="AN103" s="234"/>
      <c r="AO103" s="234"/>
      <c r="AP103" s="234"/>
      <c r="AQ103" s="234"/>
      <c r="AR103" s="234"/>
      <c r="AS103" s="234"/>
      <c r="AT103" s="234"/>
      <c r="AU103" s="234"/>
      <c r="AV103" s="234"/>
    </row>
    <row r="104" spans="2:66" ht="17" customHeight="1">
      <c r="B104" s="54" t="s">
        <v>451</v>
      </c>
      <c r="C104" s="100" t="s">
        <v>477</v>
      </c>
      <c r="D104" s="39">
        <v>3.45</v>
      </c>
      <c r="I104"/>
      <c r="J104"/>
      <c r="K104"/>
      <c r="AI104" s="234" t="s">
        <v>608</v>
      </c>
      <c r="AJ104" s="234"/>
      <c r="AK104" s="234"/>
      <c r="AL104" s="234"/>
      <c r="AM104" s="234"/>
      <c r="AN104" s="234"/>
      <c r="AO104" s="234"/>
      <c r="AP104" s="234"/>
      <c r="AQ104" s="234"/>
      <c r="AR104" s="234"/>
      <c r="AS104" s="234"/>
      <c r="AT104" s="234"/>
      <c r="AU104" s="234"/>
      <c r="AV104" s="234"/>
    </row>
    <row r="105" spans="2:66" ht="17" customHeight="1">
      <c r="B105" s="83" t="s">
        <v>432</v>
      </c>
      <c r="C105" s="100" t="s">
        <v>477</v>
      </c>
      <c r="D105" s="56">
        <v>10</v>
      </c>
      <c r="I105"/>
      <c r="J105"/>
      <c r="K105"/>
      <c r="L105"/>
      <c r="M105"/>
      <c r="N105"/>
      <c r="O105"/>
      <c r="P105"/>
      <c r="Q105"/>
      <c r="R105"/>
      <c r="S105"/>
      <c r="AI105" s="234"/>
      <c r="AJ105" s="234"/>
      <c r="AK105" s="234"/>
      <c r="AL105" s="234"/>
      <c r="AM105" s="234"/>
      <c r="AN105" s="234"/>
      <c r="AO105" s="234"/>
      <c r="AP105" s="234"/>
      <c r="AQ105" s="234"/>
      <c r="AR105" s="234"/>
      <c r="AS105" s="234"/>
      <c r="AT105" s="234"/>
      <c r="AU105" s="234"/>
      <c r="AV105" s="234"/>
      <c r="BK105" s="44"/>
      <c r="BL105" s="44"/>
      <c r="BM105" s="32"/>
      <c r="BN105" s="32"/>
    </row>
    <row r="106" spans="2:66" ht="17" customHeight="1">
      <c r="B106"/>
      <c r="C106"/>
      <c r="H106"/>
      <c r="I106"/>
      <c r="J106"/>
      <c r="K106"/>
      <c r="L106"/>
      <c r="M106"/>
      <c r="N106"/>
      <c r="O106"/>
      <c r="P106"/>
      <c r="Q106"/>
      <c r="R106"/>
      <c r="S106"/>
      <c r="AI106" s="234" t="s">
        <v>609</v>
      </c>
      <c r="AJ106" s="234"/>
      <c r="AK106" s="234"/>
      <c r="AL106" s="234"/>
      <c r="AM106" s="234"/>
      <c r="AN106" s="234"/>
      <c r="AO106" s="234"/>
      <c r="AP106" s="234"/>
      <c r="AQ106" s="234"/>
      <c r="AR106" s="234"/>
      <c r="AS106" s="234"/>
      <c r="AT106" s="234"/>
      <c r="AU106" s="234"/>
      <c r="AV106" s="234"/>
      <c r="BK106" s="44"/>
      <c r="BL106" s="44"/>
      <c r="BM106" s="32"/>
      <c r="BN106" s="32"/>
    </row>
    <row r="107" spans="2:66" ht="17" customHeight="1">
      <c r="B107"/>
      <c r="C107"/>
      <c r="H107"/>
      <c r="I107"/>
      <c r="J107"/>
      <c r="K107"/>
      <c r="L107"/>
      <c r="M107"/>
      <c r="N107"/>
      <c r="O107"/>
      <c r="P107"/>
      <c r="Q107"/>
      <c r="R107"/>
      <c r="S107"/>
      <c r="AI107" s="234" t="s">
        <v>610</v>
      </c>
      <c r="AJ107" s="234"/>
      <c r="AK107" s="234"/>
      <c r="AL107" s="234"/>
      <c r="AM107" s="234"/>
      <c r="AN107" s="234"/>
      <c r="AO107" s="234"/>
      <c r="AP107" s="234"/>
      <c r="AQ107" s="234"/>
      <c r="AR107" s="234"/>
      <c r="AS107" s="234"/>
      <c r="AT107" s="234"/>
      <c r="AU107" s="234"/>
      <c r="AV107" s="234"/>
    </row>
    <row r="108" spans="2:66" ht="17" customHeight="1">
      <c r="B108"/>
      <c r="C108"/>
      <c r="H108"/>
      <c r="I108"/>
      <c r="J108"/>
      <c r="K108"/>
      <c r="L108"/>
      <c r="M108"/>
      <c r="N108"/>
      <c r="O108"/>
      <c r="P108"/>
      <c r="Q108"/>
      <c r="R108"/>
      <c r="S108"/>
      <c r="AI108" s="234"/>
      <c r="AJ108" s="234"/>
      <c r="AK108" s="234"/>
      <c r="AL108" s="234"/>
      <c r="AM108" s="234"/>
      <c r="AN108" s="234"/>
      <c r="AO108" s="234"/>
      <c r="AP108" s="234"/>
      <c r="AQ108" s="234"/>
      <c r="AR108" s="234"/>
      <c r="AS108" s="234"/>
      <c r="AT108" s="234"/>
      <c r="AU108" s="234"/>
      <c r="AV108" s="234"/>
    </row>
    <row r="109" spans="2:66" ht="17" customHeight="1">
      <c r="B109"/>
      <c r="C109"/>
      <c r="H109"/>
      <c r="I109"/>
      <c r="J109"/>
      <c r="K109"/>
      <c r="L109"/>
      <c r="M109"/>
      <c r="N109"/>
      <c r="O109"/>
      <c r="P109"/>
      <c r="Q109"/>
      <c r="R109"/>
      <c r="S109"/>
      <c r="AI109" s="234" t="s">
        <v>611</v>
      </c>
      <c r="AJ109" s="234"/>
      <c r="AK109" s="234"/>
      <c r="AL109" s="234"/>
      <c r="AM109" s="234"/>
      <c r="AN109" s="234"/>
      <c r="AO109" s="234"/>
      <c r="AP109" s="234"/>
      <c r="AQ109" s="234"/>
      <c r="AR109" s="234"/>
      <c r="AS109" s="234"/>
      <c r="AT109" s="234"/>
      <c r="AU109" s="234"/>
      <c r="AV109" s="234"/>
    </row>
    <row r="110" spans="2:66" ht="17" customHeight="1">
      <c r="H110"/>
      <c r="I110"/>
      <c r="J110"/>
      <c r="K110"/>
      <c r="L110"/>
      <c r="M110"/>
      <c r="N110"/>
      <c r="O110"/>
      <c r="P110"/>
      <c r="Q110"/>
      <c r="R110"/>
      <c r="S110"/>
      <c r="AI110" s="234" t="s">
        <v>612</v>
      </c>
      <c r="AJ110" s="234"/>
      <c r="AK110" s="234"/>
      <c r="AL110" s="234"/>
      <c r="AM110" s="234"/>
      <c r="AN110" s="234"/>
      <c r="AO110" s="234"/>
      <c r="AP110" s="234"/>
      <c r="AQ110" s="234"/>
      <c r="AR110" s="234"/>
      <c r="AS110" s="234"/>
      <c r="AT110" s="234"/>
      <c r="AU110" s="234"/>
      <c r="AV110" s="234"/>
      <c r="BK110" s="44"/>
      <c r="BL110" s="44"/>
      <c r="BM110" s="32"/>
      <c r="BN110" s="32"/>
    </row>
    <row r="111" spans="2:66" ht="17" customHeight="1">
      <c r="H111"/>
      <c r="I111"/>
      <c r="J111"/>
      <c r="K111"/>
      <c r="L111"/>
      <c r="M111"/>
      <c r="N111"/>
      <c r="O111"/>
      <c r="P111"/>
      <c r="Q111"/>
      <c r="R111"/>
      <c r="S111"/>
      <c r="AI111" s="234" t="s">
        <v>613</v>
      </c>
      <c r="AJ111" s="234"/>
      <c r="AK111" s="234"/>
      <c r="AL111" s="234"/>
      <c r="AM111" s="234"/>
      <c r="AN111" s="234"/>
      <c r="AO111" s="234"/>
      <c r="AP111" s="234"/>
      <c r="AQ111" s="234"/>
      <c r="AR111" s="234"/>
      <c r="AS111" s="234"/>
      <c r="AT111" s="234"/>
      <c r="AU111" s="234"/>
      <c r="AV111" s="234"/>
      <c r="BK111" s="44"/>
      <c r="BL111" s="44"/>
      <c r="BM111" s="32"/>
      <c r="BN111" s="32"/>
    </row>
    <row r="112" spans="2:66" ht="17" customHeight="1">
      <c r="L112"/>
      <c r="M112"/>
      <c r="N112"/>
      <c r="O112"/>
      <c r="P112"/>
      <c r="Q112"/>
      <c r="R112"/>
      <c r="S112"/>
      <c r="AI112" s="234"/>
      <c r="AJ112" s="234"/>
      <c r="AK112" s="234"/>
      <c r="AL112" s="234"/>
      <c r="AM112" s="234"/>
      <c r="AN112" s="234"/>
      <c r="AO112" s="234"/>
      <c r="AP112" s="234"/>
      <c r="AQ112" s="234"/>
      <c r="AR112" s="234"/>
      <c r="AS112" s="234"/>
      <c r="AT112" s="234"/>
      <c r="AU112" s="234"/>
      <c r="AV112" s="234"/>
      <c r="BK112" s="44"/>
      <c r="BL112" s="44"/>
      <c r="BM112" s="32"/>
      <c r="BN112" s="32"/>
    </row>
    <row r="113" spans="9:48" ht="17" customHeight="1">
      <c r="I113" s="133"/>
      <c r="J113" s="133"/>
      <c r="L113"/>
      <c r="M113"/>
      <c r="N113"/>
      <c r="O113"/>
      <c r="P113"/>
      <c r="Q113"/>
      <c r="R113"/>
      <c r="S113"/>
      <c r="AI113" s="234" t="s">
        <v>614</v>
      </c>
      <c r="AJ113" s="234"/>
      <c r="AK113" s="234"/>
      <c r="AL113" s="234"/>
      <c r="AM113" s="234"/>
      <c r="AN113" s="234"/>
      <c r="AO113" s="234"/>
      <c r="AP113" s="234"/>
      <c r="AQ113" s="234"/>
      <c r="AR113" s="234"/>
      <c r="AS113" s="234"/>
      <c r="AT113" s="234"/>
      <c r="AU113" s="234"/>
      <c r="AV113" s="234"/>
    </row>
    <row r="114" spans="9:48" ht="17" customHeight="1">
      <c r="L114"/>
      <c r="M114"/>
      <c r="N114"/>
      <c r="O114"/>
      <c r="P114"/>
      <c r="Q114"/>
      <c r="R114"/>
      <c r="S114"/>
      <c r="AI114" s="234"/>
      <c r="AJ114" s="234"/>
      <c r="AK114" s="234"/>
      <c r="AL114" s="234"/>
      <c r="AM114" s="234"/>
      <c r="AN114" s="234"/>
      <c r="AO114" s="234"/>
      <c r="AP114" s="234"/>
      <c r="AQ114" s="234"/>
      <c r="AR114" s="234"/>
      <c r="AS114" s="234"/>
      <c r="AT114" s="234"/>
      <c r="AU114" s="234"/>
      <c r="AV114" s="234"/>
    </row>
    <row r="115" spans="9:48" ht="17" customHeight="1">
      <c r="L115"/>
      <c r="M115"/>
      <c r="N115"/>
      <c r="O115"/>
      <c r="P115"/>
      <c r="Q115"/>
      <c r="R115"/>
      <c r="S115"/>
      <c r="AI115" s="236" t="s">
        <v>615</v>
      </c>
      <c r="AJ115" s="234"/>
      <c r="AK115" s="234"/>
      <c r="AL115" s="234"/>
      <c r="AM115" s="234"/>
      <c r="AN115" s="234"/>
      <c r="AO115" s="234"/>
      <c r="AP115" s="234"/>
      <c r="AQ115" s="234"/>
      <c r="AR115" s="234"/>
      <c r="AS115" s="234"/>
      <c r="AT115" s="234"/>
      <c r="AU115" s="234"/>
      <c r="AV115" s="234"/>
    </row>
    <row r="116" spans="9:48" ht="17" customHeight="1">
      <c r="L116"/>
      <c r="M116"/>
      <c r="N116"/>
      <c r="O116"/>
      <c r="P116"/>
      <c r="Q116"/>
      <c r="R116"/>
      <c r="S116"/>
      <c r="AI116" s="236" t="s">
        <v>616</v>
      </c>
      <c r="AJ116" s="234"/>
      <c r="AK116" s="234"/>
      <c r="AL116" s="234"/>
      <c r="AM116" s="234"/>
      <c r="AN116" s="234"/>
      <c r="AO116" s="234"/>
      <c r="AP116" s="234"/>
      <c r="AQ116" s="234"/>
      <c r="AR116" s="234"/>
      <c r="AS116" s="234"/>
      <c r="AT116" s="234"/>
      <c r="AU116" s="234"/>
      <c r="AV116" s="234"/>
    </row>
    <row r="117" spans="9:48" ht="17" customHeight="1">
      <c r="AI117" s="236" t="s">
        <v>617</v>
      </c>
      <c r="AJ117" s="234"/>
      <c r="AK117" s="234"/>
      <c r="AL117" s="234"/>
      <c r="AM117" s="234"/>
      <c r="AN117" s="234"/>
      <c r="AO117" s="234"/>
      <c r="AP117" s="234"/>
      <c r="AQ117" s="234"/>
      <c r="AR117" s="234"/>
      <c r="AS117" s="234"/>
      <c r="AT117" s="234"/>
      <c r="AU117" s="234"/>
      <c r="AV117" s="234"/>
    </row>
    <row r="118" spans="9:48" ht="17" customHeight="1">
      <c r="AI118" s="236" t="s">
        <v>618</v>
      </c>
      <c r="AJ118" s="234"/>
      <c r="AK118" s="234"/>
      <c r="AL118" s="234"/>
      <c r="AM118" s="234"/>
      <c r="AN118" s="234"/>
      <c r="AO118" s="234"/>
      <c r="AP118" s="234"/>
      <c r="AQ118" s="234"/>
      <c r="AR118" s="234"/>
      <c r="AS118" s="234"/>
      <c r="AT118" s="234"/>
      <c r="AU118" s="234"/>
      <c r="AV118" s="234"/>
    </row>
    <row r="119" spans="9:48" ht="17" customHeight="1">
      <c r="AI119" s="236"/>
      <c r="AJ119" s="234"/>
      <c r="AK119" s="234"/>
      <c r="AL119" s="234"/>
      <c r="AM119" s="234"/>
      <c r="AN119" s="234"/>
      <c r="AO119" s="234"/>
      <c r="AP119" s="234"/>
      <c r="AQ119" s="234"/>
      <c r="AR119" s="234"/>
      <c r="AS119" s="234"/>
      <c r="AT119" s="234"/>
      <c r="AU119" s="234"/>
      <c r="AV119" s="234"/>
    </row>
    <row r="120" spans="9:48" ht="17" customHeight="1">
      <c r="AI120" s="234" t="s">
        <v>619</v>
      </c>
      <c r="AJ120" s="234"/>
      <c r="AK120" s="234"/>
      <c r="AL120" s="234"/>
      <c r="AM120" s="234"/>
      <c r="AN120" s="234"/>
      <c r="AO120" s="234"/>
      <c r="AP120" s="234"/>
      <c r="AQ120" s="234"/>
      <c r="AR120" s="234"/>
      <c r="AS120" s="234"/>
      <c r="AT120" s="234"/>
      <c r="AU120" s="234"/>
      <c r="AV120" s="234"/>
    </row>
    <row r="121" spans="9:48" ht="17" customHeight="1">
      <c r="AI121" s="234" t="s">
        <v>620</v>
      </c>
      <c r="AJ121" s="234"/>
      <c r="AK121" s="234"/>
      <c r="AL121" s="234"/>
      <c r="AM121" s="234"/>
      <c r="AN121" s="234"/>
      <c r="AO121" s="234"/>
      <c r="AP121" s="234"/>
      <c r="AQ121" s="234"/>
      <c r="AR121" s="234"/>
      <c r="AS121" s="234"/>
      <c r="AT121" s="234"/>
      <c r="AU121" s="234"/>
      <c r="AV121" s="234"/>
    </row>
    <row r="122" spans="9:48" ht="17" customHeight="1">
      <c r="AI122" s="234" t="s">
        <v>621</v>
      </c>
      <c r="AJ122" s="234"/>
      <c r="AK122" s="234"/>
      <c r="AL122" s="234"/>
      <c r="AM122" s="234"/>
      <c r="AN122" s="234"/>
      <c r="AO122" s="234"/>
      <c r="AP122" s="234"/>
      <c r="AQ122" s="234"/>
      <c r="AR122" s="234"/>
      <c r="AS122" s="234"/>
      <c r="AT122" s="234"/>
      <c r="AU122" s="234"/>
      <c r="AV122" s="234"/>
    </row>
    <row r="123" spans="9:48" ht="17" customHeight="1">
      <c r="AI123" s="234"/>
      <c r="AJ123" s="234"/>
      <c r="AK123" s="234"/>
      <c r="AL123" s="234"/>
      <c r="AM123" s="234"/>
      <c r="AN123" s="234"/>
      <c r="AO123" s="234"/>
      <c r="AP123" s="234"/>
      <c r="AQ123" s="234"/>
      <c r="AR123" s="234"/>
      <c r="AS123" s="234"/>
      <c r="AT123" s="234"/>
      <c r="AU123" s="234"/>
      <c r="AV123" s="234"/>
    </row>
    <row r="124" spans="9:48" ht="17" customHeight="1">
      <c r="AI124" s="234" t="s">
        <v>622</v>
      </c>
      <c r="AJ124" s="234"/>
      <c r="AK124" s="234"/>
      <c r="AL124" s="234"/>
      <c r="AM124" s="234"/>
      <c r="AN124" s="234"/>
      <c r="AO124" s="234"/>
      <c r="AP124" s="234"/>
      <c r="AQ124" s="234"/>
      <c r="AR124" s="234"/>
      <c r="AS124" s="234"/>
      <c r="AT124" s="234"/>
      <c r="AU124" s="234"/>
      <c r="AV124" s="234"/>
    </row>
    <row r="125" spans="9:48" ht="17" customHeight="1">
      <c r="AI125" s="234" t="s">
        <v>623</v>
      </c>
      <c r="AJ125" s="234"/>
      <c r="AK125" s="234"/>
      <c r="AL125" s="234"/>
      <c r="AM125" s="234"/>
      <c r="AN125" s="234"/>
      <c r="AO125" s="234"/>
      <c r="AP125" s="234"/>
      <c r="AQ125" s="234"/>
      <c r="AR125" s="234"/>
      <c r="AS125" s="234"/>
      <c r="AT125" s="234"/>
      <c r="AU125" s="234"/>
      <c r="AV125" s="234"/>
    </row>
    <row r="131" spans="2:14" ht="17" customHeight="1">
      <c r="B131" s="28" t="s">
        <v>323</v>
      </c>
      <c r="C131" s="29"/>
      <c r="D131" s="29"/>
      <c r="E131" s="29"/>
      <c r="F131" s="29"/>
      <c r="G131" s="29"/>
    </row>
    <row r="133" spans="2:14" ht="17" customHeight="1">
      <c r="B133" s="66" t="s">
        <v>464</v>
      </c>
      <c r="C133" s="66"/>
      <c r="D133" s="66"/>
      <c r="E133" s="67"/>
      <c r="F133" s="67"/>
      <c r="G133" s="68"/>
    </row>
    <row r="134" spans="2:14" ht="17" customHeight="1">
      <c r="B134" s="70" t="s">
        <v>463</v>
      </c>
      <c r="E134" s="70" t="s">
        <v>304</v>
      </c>
      <c r="F134" s="69" t="s">
        <v>302</v>
      </c>
      <c r="G134" s="69" t="s">
        <v>301</v>
      </c>
    </row>
    <row r="135" spans="2:14" ht="17" customHeight="1">
      <c r="B135" s="27" t="s">
        <v>305</v>
      </c>
      <c r="E135" s="20">
        <v>2</v>
      </c>
      <c r="F135" s="79">
        <v>30.67</v>
      </c>
      <c r="G135" s="79">
        <f>+F135*E135</f>
        <v>61.34</v>
      </c>
    </row>
    <row r="136" spans="2:14" ht="17" customHeight="1">
      <c r="B136" s="27" t="s">
        <v>299</v>
      </c>
      <c r="E136" s="20">
        <v>2</v>
      </c>
      <c r="F136" s="79">
        <v>21.64</v>
      </c>
      <c r="G136" s="79">
        <f>+F136*E136</f>
        <v>43.28</v>
      </c>
    </row>
    <row r="137" spans="2:14" ht="17" customHeight="1">
      <c r="B137" s="27" t="s">
        <v>298</v>
      </c>
      <c r="E137" s="20">
        <v>2</v>
      </c>
      <c r="F137" s="79">
        <v>6.04</v>
      </c>
      <c r="G137" s="79">
        <f>+F137*E137</f>
        <v>12.08</v>
      </c>
    </row>
    <row r="138" spans="2:14" s="43" customFormat="1" ht="17" customHeight="1">
      <c r="B138" s="27" t="s">
        <v>297</v>
      </c>
      <c r="C138" s="32"/>
      <c r="D138" s="32"/>
      <c r="E138" s="20">
        <v>1</v>
      </c>
      <c r="F138" s="79">
        <v>7.11</v>
      </c>
      <c r="G138" s="79">
        <f>+F138*E138</f>
        <v>7.11</v>
      </c>
      <c r="H138" s="30"/>
      <c r="I138" s="30"/>
      <c r="J138" s="30"/>
      <c r="K138" s="30"/>
      <c r="L138" s="30"/>
      <c r="M138" s="30"/>
      <c r="N138" s="30"/>
    </row>
    <row r="139" spans="2:14" ht="17" customHeight="1">
      <c r="B139" s="27" t="s">
        <v>296</v>
      </c>
      <c r="E139" s="20">
        <v>3</v>
      </c>
      <c r="F139" s="79">
        <v>9.94</v>
      </c>
      <c r="G139" s="79">
        <f>+F139*E139</f>
        <v>29.82</v>
      </c>
    </row>
    <row r="140" spans="2:14" ht="17" customHeight="1">
      <c r="B140" s="27" t="s">
        <v>295</v>
      </c>
      <c r="E140" s="20">
        <v>1</v>
      </c>
      <c r="F140" s="79">
        <v>50</v>
      </c>
      <c r="G140" s="79">
        <f>+F140*E140</f>
        <v>50</v>
      </c>
    </row>
    <row r="141" spans="2:14" ht="17" customHeight="1">
      <c r="B141" s="73" t="s">
        <v>294</v>
      </c>
      <c r="E141" s="74"/>
      <c r="F141" s="75" t="s">
        <v>293</v>
      </c>
      <c r="G141" s="75">
        <f>SUM(G135:G140)</f>
        <v>203.63</v>
      </c>
    </row>
    <row r="142" spans="2:14" ht="17" customHeight="1">
      <c r="B142" s="30"/>
      <c r="C142" s="30"/>
      <c r="D142" s="30"/>
      <c r="F142"/>
      <c r="G142"/>
    </row>
    <row r="143" spans="2:14" ht="17" customHeight="1">
      <c r="B143" s="66" t="s">
        <v>465</v>
      </c>
      <c r="C143" s="66"/>
      <c r="D143" s="66"/>
      <c r="E143" s="67"/>
      <c r="F143" s="67"/>
      <c r="G143" s="68"/>
    </row>
    <row r="144" spans="2:14" ht="17" customHeight="1">
      <c r="B144" s="77"/>
      <c r="E144" s="76" t="s">
        <v>304</v>
      </c>
      <c r="F144" s="78" t="s">
        <v>302</v>
      </c>
      <c r="G144" s="78" t="s">
        <v>301</v>
      </c>
    </row>
    <row r="145" spans="2:15" ht="17" customHeight="1">
      <c r="B145" s="27" t="s">
        <v>300</v>
      </c>
      <c r="E145" s="20">
        <v>2</v>
      </c>
      <c r="F145" s="71">
        <v>36.630000000000003</v>
      </c>
      <c r="G145" s="71">
        <v>73.260000000000005</v>
      </c>
    </row>
    <row r="146" spans="2:15" ht="17" customHeight="1">
      <c r="B146" s="27" t="s">
        <v>299</v>
      </c>
      <c r="E146" s="20">
        <v>2</v>
      </c>
      <c r="F146" s="71">
        <v>21.64</v>
      </c>
      <c r="G146" s="71">
        <v>43.28</v>
      </c>
    </row>
    <row r="147" spans="2:15" ht="17" customHeight="1">
      <c r="B147" s="27" t="s">
        <v>298</v>
      </c>
      <c r="E147" s="20">
        <v>2</v>
      </c>
      <c r="F147" s="71">
        <v>6.04</v>
      </c>
      <c r="G147" s="71">
        <v>12.08</v>
      </c>
    </row>
    <row r="148" spans="2:15" ht="17" customHeight="1">
      <c r="B148" s="27" t="s">
        <v>297</v>
      </c>
      <c r="E148" s="20">
        <v>1</v>
      </c>
      <c r="F148" s="71">
        <v>7.11</v>
      </c>
      <c r="G148" s="71">
        <v>7.11</v>
      </c>
    </row>
    <row r="149" spans="2:15" ht="17" customHeight="1">
      <c r="B149" s="27" t="s">
        <v>296</v>
      </c>
      <c r="E149" s="20">
        <v>3</v>
      </c>
      <c r="F149" s="71">
        <v>9.94</v>
      </c>
      <c r="G149" s="71">
        <v>29.82</v>
      </c>
    </row>
    <row r="150" spans="2:15" ht="17" customHeight="1">
      <c r="B150" s="27" t="s">
        <v>295</v>
      </c>
      <c r="E150" s="20">
        <v>1</v>
      </c>
      <c r="F150" s="72">
        <v>50</v>
      </c>
      <c r="G150" s="71">
        <v>50</v>
      </c>
    </row>
    <row r="151" spans="2:15" ht="17" customHeight="1">
      <c r="B151" s="73"/>
      <c r="E151" s="73" t="s">
        <v>294</v>
      </c>
      <c r="F151" s="75" t="s">
        <v>293</v>
      </c>
      <c r="G151" s="75">
        <v>215.55</v>
      </c>
    </row>
    <row r="152" spans="2:15" ht="17" customHeight="1">
      <c r="B152" s="80"/>
      <c r="C152" s="81"/>
      <c r="D152" s="82"/>
      <c r="E152" s="82"/>
      <c r="F152"/>
      <c r="G152"/>
    </row>
    <row r="153" spans="2:15" ht="17" customHeight="1">
      <c r="B153" s="66" t="s">
        <v>466</v>
      </c>
      <c r="E153" s="67"/>
      <c r="F153" s="67"/>
      <c r="G153" s="68"/>
    </row>
    <row r="154" spans="2:15" ht="17" customHeight="1">
      <c r="B154" s="77"/>
      <c r="E154" s="76" t="s">
        <v>304</v>
      </c>
      <c r="F154" s="78" t="s">
        <v>302</v>
      </c>
      <c r="G154" s="78" t="s">
        <v>301</v>
      </c>
    </row>
    <row r="155" spans="2:15" ht="17" customHeight="1">
      <c r="B155" s="19" t="s">
        <v>305</v>
      </c>
      <c r="E155" s="20">
        <v>2</v>
      </c>
      <c r="F155" s="71">
        <v>30.67</v>
      </c>
      <c r="G155" s="71">
        <v>61.34</v>
      </c>
    </row>
    <row r="156" spans="2:15" ht="17" customHeight="1">
      <c r="B156" s="19" t="s">
        <v>299</v>
      </c>
      <c r="E156" s="20">
        <v>2</v>
      </c>
      <c r="F156" s="71">
        <v>21.64</v>
      </c>
      <c r="G156" s="71">
        <v>43.28</v>
      </c>
      <c r="O156" s="73"/>
    </row>
    <row r="157" spans="2:15" ht="17" customHeight="1">
      <c r="B157" s="19" t="s">
        <v>298</v>
      </c>
      <c r="E157" s="20">
        <v>2</v>
      </c>
      <c r="F157" s="71">
        <v>6.04</v>
      </c>
      <c r="G157" s="71">
        <v>12.08</v>
      </c>
    </row>
    <row r="158" spans="2:15" ht="17" customHeight="1">
      <c r="B158" s="19" t="s">
        <v>297</v>
      </c>
      <c r="E158" s="20">
        <v>1</v>
      </c>
      <c r="F158" s="71">
        <v>7.11</v>
      </c>
      <c r="G158" s="71">
        <v>7.11</v>
      </c>
    </row>
    <row r="159" spans="2:15" ht="17" customHeight="1">
      <c r="B159" s="19" t="s">
        <v>296</v>
      </c>
      <c r="E159" s="20">
        <v>3</v>
      </c>
      <c r="F159" s="71">
        <v>14.65</v>
      </c>
      <c r="G159" s="71">
        <v>43.95</v>
      </c>
    </row>
    <row r="160" spans="2:15" ht="17" customHeight="1">
      <c r="B160" s="19" t="s">
        <v>295</v>
      </c>
      <c r="E160" s="20">
        <v>1</v>
      </c>
      <c r="F160" s="72">
        <v>75</v>
      </c>
      <c r="G160" s="71">
        <v>50</v>
      </c>
    </row>
    <row r="161" spans="2:7" ht="17" customHeight="1">
      <c r="B161" s="74"/>
      <c r="E161" s="73" t="s">
        <v>294</v>
      </c>
      <c r="F161" s="75" t="s">
        <v>293</v>
      </c>
      <c r="G161" s="75">
        <v>217.76</v>
      </c>
    </row>
    <row r="162" spans="2:7" ht="17" customHeight="1">
      <c r="B162" s="66" t="s">
        <v>467</v>
      </c>
      <c r="E162" s="67"/>
      <c r="F162" s="67"/>
      <c r="G162" s="68"/>
    </row>
    <row r="163" spans="2:7" ht="17" customHeight="1">
      <c r="B163" s="77" t="s">
        <v>303</v>
      </c>
      <c r="E163" s="76" t="s">
        <v>304</v>
      </c>
      <c r="F163" s="78" t="s">
        <v>302</v>
      </c>
      <c r="G163" s="78" t="s">
        <v>301</v>
      </c>
    </row>
    <row r="164" spans="2:7" ht="17" customHeight="1">
      <c r="B164" s="19" t="s">
        <v>300</v>
      </c>
      <c r="E164" s="20">
        <v>2</v>
      </c>
      <c r="F164" s="71">
        <v>36.630000000000003</v>
      </c>
      <c r="G164" s="71">
        <v>73.260000000000005</v>
      </c>
    </row>
    <row r="165" spans="2:7" ht="17" customHeight="1">
      <c r="B165" s="19" t="s">
        <v>299</v>
      </c>
      <c r="E165" s="20">
        <v>2</v>
      </c>
      <c r="F165" s="71">
        <v>21.64</v>
      </c>
      <c r="G165" s="71">
        <v>43.28</v>
      </c>
    </row>
    <row r="166" spans="2:7" ht="17" customHeight="1">
      <c r="B166" s="19" t="s">
        <v>298</v>
      </c>
      <c r="E166" s="20">
        <v>2</v>
      </c>
      <c r="F166" s="71">
        <v>6.04</v>
      </c>
      <c r="G166" s="71">
        <v>12.08</v>
      </c>
    </row>
    <row r="167" spans="2:7" ht="17" customHeight="1">
      <c r="B167" s="19" t="s">
        <v>297</v>
      </c>
      <c r="E167" s="20">
        <v>1</v>
      </c>
      <c r="F167" s="71">
        <v>7.11</v>
      </c>
      <c r="G167" s="71">
        <v>7.11</v>
      </c>
    </row>
    <row r="168" spans="2:7" ht="17" customHeight="1">
      <c r="B168" s="19" t="s">
        <v>296</v>
      </c>
      <c r="E168" s="20">
        <v>3</v>
      </c>
      <c r="F168" s="71">
        <v>14.65</v>
      </c>
      <c r="G168" s="71">
        <v>43.95</v>
      </c>
    </row>
    <row r="169" spans="2:7" ht="17" customHeight="1">
      <c r="B169" s="19" t="s">
        <v>295</v>
      </c>
      <c r="E169" s="20">
        <v>1</v>
      </c>
      <c r="F169" s="72">
        <v>75</v>
      </c>
      <c r="G169" s="71">
        <v>50</v>
      </c>
    </row>
    <row r="170" spans="2:7" ht="17" customHeight="1">
      <c r="E170" s="73"/>
      <c r="F170" s="75" t="s">
        <v>293</v>
      </c>
      <c r="G170" s="75">
        <v>229.68</v>
      </c>
    </row>
    <row r="468" spans="11:16" ht="17" customHeight="1">
      <c r="K468" s="30">
        <f>+K467*3</f>
        <v>0</v>
      </c>
      <c r="L468" s="30">
        <f>+L467*3</f>
        <v>0</v>
      </c>
    </row>
    <row r="469" spans="11:16" ht="17" customHeight="1">
      <c r="L469" s="30" t="e">
        <f>+L468/K468</f>
        <v>#DIV/0!</v>
      </c>
    </row>
    <row r="472" spans="11:16" ht="17" customHeight="1">
      <c r="K472" s="30">
        <f>K468*2</f>
        <v>0</v>
      </c>
      <c r="L472" s="30">
        <f>365*5</f>
        <v>1825</v>
      </c>
      <c r="O472" s="30">
        <f>+L472*0.75</f>
        <v>1368.75</v>
      </c>
      <c r="P472" s="30">
        <f>+O472*O473</f>
        <v>0</v>
      </c>
    </row>
    <row r="473" spans="11:16" ht="17" customHeight="1">
      <c r="L473" s="30">
        <f>+K472/L472</f>
        <v>0</v>
      </c>
      <c r="O473" s="30">
        <f>+K472/O472</f>
        <v>0</v>
      </c>
      <c r="P473" s="30" t="e">
        <f>+P472/K468</f>
        <v>#DIV/0!</v>
      </c>
    </row>
    <row r="474" spans="11:16" ht="17" customHeight="1">
      <c r="L474" s="30" t="e">
        <f>+K468/L473</f>
        <v>#DIV/0!</v>
      </c>
    </row>
    <row r="476" spans="11:16" ht="17" customHeight="1">
      <c r="L476" s="30">
        <f>+L473*O472</f>
        <v>0</v>
      </c>
    </row>
    <row r="477" spans="11:16" ht="17" customHeight="1">
      <c r="L477" s="30" t="e">
        <f>+L476/K468</f>
        <v>#DIV/0!</v>
      </c>
      <c r="O477" s="30">
        <f>+O472/365</f>
        <v>3.75</v>
      </c>
    </row>
  </sheetData>
  <scenarios current="0">
    <scenario name="title" count="4" user="Valued Customer" comment="Created by Valued Customer on 2/13/97_x000a_Modified by Valued Customer on 2/13/97">
      <inputCells r="Y141" val="Size"/>
      <inputCells r="AB141" val="TotalUnits"/>
      <inputCells r="R52" val="List Price"/>
      <inputCells r="S52" val="Total"/>
    </scenario>
  </scenarios>
  <mergeCells count="75">
    <mergeCell ref="AI54:AJ54"/>
    <mergeCell ref="AI57:AJ57"/>
    <mergeCell ref="AI98:AL98"/>
    <mergeCell ref="AI38:AJ38"/>
    <mergeCell ref="AK38:AP38"/>
    <mergeCell ref="AS38:AT38"/>
    <mergeCell ref="AU38:AV38"/>
    <mergeCell ref="AI39:AV39"/>
    <mergeCell ref="AI49:AV50"/>
    <mergeCell ref="AI36:AJ36"/>
    <mergeCell ref="AK36:AP36"/>
    <mergeCell ref="AS36:AT36"/>
    <mergeCell ref="AU36:AV36"/>
    <mergeCell ref="AI37:AJ37"/>
    <mergeCell ref="AK37:AP37"/>
    <mergeCell ref="AS37:AT37"/>
    <mergeCell ref="AU37:AV37"/>
    <mergeCell ref="AI34:AJ34"/>
    <mergeCell ref="AK34:AP34"/>
    <mergeCell ref="AS34:AT34"/>
    <mergeCell ref="AU34:AV34"/>
    <mergeCell ref="AI35:AJ35"/>
    <mergeCell ref="AK35:AP35"/>
    <mergeCell ref="AS35:AT35"/>
    <mergeCell ref="AU35:AV35"/>
    <mergeCell ref="AJ30:AN30"/>
    <mergeCell ref="AI32:AJ32"/>
    <mergeCell ref="AK32:AP32"/>
    <mergeCell ref="AS32:AT32"/>
    <mergeCell ref="AU32:AV32"/>
    <mergeCell ref="AI33:AJ33"/>
    <mergeCell ref="AK33:AP33"/>
    <mergeCell ref="AS33:AT33"/>
    <mergeCell ref="AU33:AV33"/>
    <mergeCell ref="AI24:AJ24"/>
    <mergeCell ref="AK24:AN24"/>
    <mergeCell ref="AP24:AS24"/>
    <mergeCell ref="AT24:AV28"/>
    <mergeCell ref="AI26:AJ26"/>
    <mergeCell ref="AK26:AN26"/>
    <mergeCell ref="AP26:AS26"/>
    <mergeCell ref="AI28:AJ28"/>
    <mergeCell ref="AK28:AN28"/>
    <mergeCell ref="AP28:AS28"/>
    <mergeCell ref="AJ16:AK16"/>
    <mergeCell ref="AL16:AN16"/>
    <mergeCell ref="AP16:AQ16"/>
    <mergeCell ref="AR16:AT16"/>
    <mergeCell ref="AI18:AV18"/>
    <mergeCell ref="AI19:AV22"/>
    <mergeCell ref="AJ12:AK12"/>
    <mergeCell ref="AL12:AN12"/>
    <mergeCell ref="AP12:AQ12"/>
    <mergeCell ref="AR12:AT12"/>
    <mergeCell ref="AJ14:AK14"/>
    <mergeCell ref="AL14:AN14"/>
    <mergeCell ref="AP14:AQ14"/>
    <mergeCell ref="AR14:AT14"/>
    <mergeCell ref="AS7:AV7"/>
    <mergeCell ref="AO8:AQ8"/>
    <mergeCell ref="AS8:AV8"/>
    <mergeCell ref="AJ10:AK10"/>
    <mergeCell ref="AL10:AN10"/>
    <mergeCell ref="AP10:AQ10"/>
    <mergeCell ref="AR10:AT10"/>
    <mergeCell ref="AI2:AL2"/>
    <mergeCell ref="AO2:AQ3"/>
    <mergeCell ref="AS2:AV4"/>
    <mergeCell ref="AI3:AL7"/>
    <mergeCell ref="AO4:AQ4"/>
    <mergeCell ref="AO5:AQ5"/>
    <mergeCell ref="AS5:AV5"/>
    <mergeCell ref="AO6:AQ6"/>
    <mergeCell ref="AS6:AV6"/>
    <mergeCell ref="AO7:AQ7"/>
  </mergeCells>
  <dataValidations count="5">
    <dataValidation type="list" allowBlank="1" showInputMessage="1" showErrorMessage="1" sqref="D4" xr:uid="{6946E9A6-A940-4001-9210-AC811CD2EAA2}">
      <formula1>#REF!</formula1>
    </dataValidation>
    <dataValidation type="list" allowBlank="1" showInputMessage="1" showErrorMessage="1" sqref="C31 G26 C36 G31" xr:uid="{B15DAE2C-B259-4209-96AF-E16D0D969E85}">
      <formula1>#REF!</formula1>
    </dataValidation>
    <dataValidation type="list" allowBlank="1" showInputMessage="1" showErrorMessage="1" sqref="D6" xr:uid="{DA94B192-2BB1-4CA7-BBE3-3C56BF7018B6}">
      <formula1>#REF!</formula1>
    </dataValidation>
    <dataValidation type="list" allowBlank="1" showInputMessage="1" showErrorMessage="1" sqref="H4" xr:uid="{DE60505E-EF51-41F9-8536-97172EFC074A}">
      <formula1>$BK$3:$BK$5</formula1>
    </dataValidation>
    <dataValidation type="list" allowBlank="1" showInputMessage="1" showErrorMessage="1" sqref="H8 H42" xr:uid="{A77CD8F0-710C-41DF-BB02-077360B93CBB}">
      <formula1>$BM$3:$BM$4</formula1>
    </dataValidation>
  </dataValidations>
  <hyperlinks>
    <hyperlink ref="AK26" r:id="rId1" xr:uid="{60515A8B-7F6E-4A01-92BC-D5023958C50D}"/>
  </hyperlinks>
  <printOptions verticalCentered="1" gridLinesSet="0"/>
  <pageMargins left="0.75" right="0.75" top="0.97" bottom="0" header="0" footer="0"/>
  <pageSetup orientation="landscape" horizontalDpi="4294967292" verticalDpi="300" r:id="rId2"/>
  <headerFooter alignWithMargins="0">
    <oddHeader>&amp;L&amp;"Arial,Bold"Hi Int. Signs&amp;C&amp;"Arial,Bold"&amp;11Bid Sheet Office #02
Job#_________
Cust#_________
Cust._____________</oddHeader>
  </headerFooter>
  <drawing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V221"/>
  <sheetViews>
    <sheetView topLeftCell="B7" workbookViewId="0"/>
    <sheetView workbookViewId="1"/>
  </sheetViews>
  <sheetFormatPr defaultColWidth="14.453125" defaultRowHeight="15" customHeight="1"/>
  <cols>
    <col min="3" max="3" width="29.453125" customWidth="1"/>
    <col min="4" max="4" width="42.81640625" customWidth="1"/>
    <col min="6" max="6" width="22.08984375" customWidth="1"/>
    <col min="7" max="7" width="19.08984375" customWidth="1"/>
  </cols>
  <sheetData>
    <row r="1" spans="2:22">
      <c r="H1" s="16" t="s">
        <v>98</v>
      </c>
    </row>
    <row r="2" spans="2:22">
      <c r="B2" s="16"/>
      <c r="C2" s="16"/>
      <c r="D2" s="16"/>
      <c r="E2" s="16"/>
      <c r="F2" s="17"/>
      <c r="H2" s="16" t="s">
        <v>99</v>
      </c>
      <c r="I2" s="16" t="s">
        <v>100</v>
      </c>
      <c r="J2" s="16" t="s">
        <v>101</v>
      </c>
      <c r="K2" s="16" t="s">
        <v>102</v>
      </c>
      <c r="L2" s="16" t="s">
        <v>103</v>
      </c>
      <c r="M2" s="16" t="s">
        <v>99</v>
      </c>
      <c r="N2" s="16" t="s">
        <v>100</v>
      </c>
      <c r="O2" s="16" t="s">
        <v>101</v>
      </c>
      <c r="P2" s="16" t="s">
        <v>102</v>
      </c>
      <c r="Q2" s="16" t="s">
        <v>103</v>
      </c>
      <c r="R2" s="16" t="s">
        <v>99</v>
      </c>
      <c r="S2" s="16" t="s">
        <v>100</v>
      </c>
      <c r="T2" s="16" t="s">
        <v>101</v>
      </c>
      <c r="U2" s="16" t="s">
        <v>102</v>
      </c>
      <c r="V2" s="16" t="s">
        <v>103</v>
      </c>
    </row>
    <row r="3" spans="2:22">
      <c r="B3" s="16"/>
      <c r="C3" s="16"/>
      <c r="D3" s="16"/>
      <c r="E3" s="16"/>
      <c r="F3" s="17">
        <v>45408</v>
      </c>
      <c r="H3" s="17">
        <f>F3+3</f>
        <v>45411</v>
      </c>
      <c r="I3" s="17">
        <f>H3+1</f>
        <v>45412</v>
      </c>
      <c r="J3" s="17">
        <f>I3+1</f>
        <v>45413</v>
      </c>
      <c r="K3" s="17">
        <f>J3+1</f>
        <v>45414</v>
      </c>
      <c r="L3" s="17">
        <f>K3+1</f>
        <v>45415</v>
      </c>
      <c r="M3" s="17">
        <f>L3+3</f>
        <v>45418</v>
      </c>
      <c r="N3" s="17">
        <f>M3+1</f>
        <v>45419</v>
      </c>
      <c r="O3" s="17">
        <f>N3+1</f>
        <v>45420</v>
      </c>
      <c r="P3" s="17">
        <f>O3+1</f>
        <v>45421</v>
      </c>
      <c r="Q3" s="17">
        <f>P3+1</f>
        <v>45422</v>
      </c>
      <c r="R3" s="17">
        <f>Q3+3</f>
        <v>45425</v>
      </c>
      <c r="S3" s="17">
        <f>R3+1</f>
        <v>45426</v>
      </c>
      <c r="T3" s="17">
        <f>S3+1</f>
        <v>45427</v>
      </c>
      <c r="U3" s="17">
        <f>T3+1</f>
        <v>45428</v>
      </c>
      <c r="V3" s="17">
        <f>U3+1</f>
        <v>45429</v>
      </c>
    </row>
    <row r="4" spans="2:22">
      <c r="B4" s="16" t="s">
        <v>104</v>
      </c>
      <c r="C4" s="16" t="s">
        <v>105</v>
      </c>
      <c r="D4" s="16" t="s">
        <v>106</v>
      </c>
      <c r="E4" s="16" t="s">
        <v>107</v>
      </c>
      <c r="F4" s="16" t="s">
        <v>108</v>
      </c>
      <c r="G4" s="16" t="s">
        <v>109</v>
      </c>
    </row>
    <row r="5" spans="2:22">
      <c r="B5" s="16" t="s">
        <v>110</v>
      </c>
      <c r="C5" s="18" t="s">
        <v>111</v>
      </c>
      <c r="D5" s="18" t="s">
        <v>112</v>
      </c>
      <c r="E5" s="16" t="s">
        <v>113</v>
      </c>
      <c r="F5" s="16">
        <v>47</v>
      </c>
      <c r="G5" s="16">
        <f>F5+SUM(H5:AA5)</f>
        <v>44</v>
      </c>
      <c r="H5" s="16">
        <v>-3</v>
      </c>
    </row>
    <row r="6" spans="2:22">
      <c r="B6" s="16" t="s">
        <v>110</v>
      </c>
      <c r="C6" s="18" t="s">
        <v>114</v>
      </c>
      <c r="D6" s="18" t="s">
        <v>115</v>
      </c>
      <c r="E6" s="16" t="s">
        <v>116</v>
      </c>
      <c r="F6" s="16">
        <v>23</v>
      </c>
    </row>
    <row r="7" spans="2:22">
      <c r="B7" s="16" t="s">
        <v>110</v>
      </c>
      <c r="C7" s="18" t="s">
        <v>117</v>
      </c>
      <c r="D7" s="18" t="s">
        <v>118</v>
      </c>
      <c r="E7" s="16" t="s">
        <v>119</v>
      </c>
      <c r="F7" s="16">
        <v>66</v>
      </c>
    </row>
    <row r="8" spans="2:22">
      <c r="B8" s="16" t="s">
        <v>110</v>
      </c>
      <c r="C8" s="18" t="s">
        <v>120</v>
      </c>
      <c r="D8" s="18" t="s">
        <v>121</v>
      </c>
      <c r="E8" s="16" t="s">
        <v>122</v>
      </c>
      <c r="F8" s="16">
        <v>30</v>
      </c>
    </row>
    <row r="9" spans="2:22">
      <c r="B9" s="16" t="s">
        <v>110</v>
      </c>
      <c r="C9" s="18" t="s">
        <v>123</v>
      </c>
      <c r="D9" s="18" t="s">
        <v>124</v>
      </c>
      <c r="E9" s="16" t="s">
        <v>125</v>
      </c>
      <c r="F9" s="16">
        <v>27</v>
      </c>
    </row>
    <row r="10" spans="2:22">
      <c r="B10" s="16" t="s">
        <v>110</v>
      </c>
      <c r="C10" s="18" t="s">
        <v>126</v>
      </c>
      <c r="D10" s="18" t="s">
        <v>127</v>
      </c>
      <c r="E10" s="16" t="s">
        <v>128</v>
      </c>
      <c r="F10" s="16">
        <v>22</v>
      </c>
    </row>
    <row r="11" spans="2:22">
      <c r="B11" s="16" t="s">
        <v>110</v>
      </c>
      <c r="C11" s="18" t="s">
        <v>129</v>
      </c>
      <c r="D11" s="18" t="s">
        <v>130</v>
      </c>
      <c r="E11" s="16" t="s">
        <v>131</v>
      </c>
      <c r="F11" s="16">
        <v>34</v>
      </c>
    </row>
    <row r="12" spans="2:22">
      <c r="B12" s="16" t="s">
        <v>110</v>
      </c>
      <c r="C12" s="18" t="s">
        <v>132</v>
      </c>
      <c r="D12" s="18" t="s">
        <v>133</v>
      </c>
      <c r="E12" s="16" t="s">
        <v>134</v>
      </c>
      <c r="F12" s="16">
        <v>7</v>
      </c>
    </row>
    <row r="13" spans="2:22">
      <c r="B13" s="16" t="s">
        <v>110</v>
      </c>
      <c r="C13" s="18" t="s">
        <v>135</v>
      </c>
      <c r="D13" s="18" t="s">
        <v>136</v>
      </c>
      <c r="E13" s="16" t="s">
        <v>137</v>
      </c>
      <c r="F13" s="16">
        <v>89</v>
      </c>
    </row>
    <row r="14" spans="2:22">
      <c r="B14" s="16" t="s">
        <v>110</v>
      </c>
      <c r="C14" s="18" t="s">
        <v>138</v>
      </c>
      <c r="D14" s="18" t="s">
        <v>139</v>
      </c>
      <c r="E14" s="16" t="s">
        <v>140</v>
      </c>
      <c r="F14" s="16">
        <v>15</v>
      </c>
    </row>
    <row r="15" spans="2:22">
      <c r="B15" s="16" t="s">
        <v>110</v>
      </c>
      <c r="C15" s="18" t="s">
        <v>141</v>
      </c>
      <c r="D15" s="18" t="s">
        <v>142</v>
      </c>
      <c r="E15" s="16" t="s">
        <v>143</v>
      </c>
    </row>
    <row r="16" spans="2:22">
      <c r="B16" s="16" t="s">
        <v>110</v>
      </c>
      <c r="C16" s="18" t="s">
        <v>144</v>
      </c>
      <c r="D16" s="18" t="s">
        <v>145</v>
      </c>
      <c r="E16" s="16" t="s">
        <v>146</v>
      </c>
    </row>
    <row r="17" spans="2:6">
      <c r="B17" s="16" t="s">
        <v>110</v>
      </c>
      <c r="C17" s="18" t="s">
        <v>147</v>
      </c>
      <c r="D17" s="18" t="s">
        <v>148</v>
      </c>
      <c r="E17" s="16" t="s">
        <v>149</v>
      </c>
      <c r="F17" s="16">
        <v>84</v>
      </c>
    </row>
    <row r="18" spans="2:6">
      <c r="B18" s="16" t="s">
        <v>110</v>
      </c>
      <c r="C18" s="18" t="s">
        <v>150</v>
      </c>
      <c r="D18" s="18" t="s">
        <v>151</v>
      </c>
      <c r="E18" s="16" t="s">
        <v>152</v>
      </c>
      <c r="F18" s="16">
        <v>61</v>
      </c>
    </row>
    <row r="19" spans="2:6">
      <c r="B19" s="16" t="s">
        <v>110</v>
      </c>
      <c r="C19" s="25" t="s">
        <v>153</v>
      </c>
      <c r="D19" s="26"/>
    </row>
    <row r="20" spans="2:6">
      <c r="E20" s="16" t="s">
        <v>154</v>
      </c>
      <c r="F20" s="16">
        <v>78</v>
      </c>
    </row>
    <row r="21" spans="2:6">
      <c r="D21" s="16" t="s">
        <v>155</v>
      </c>
      <c r="E21" s="16" t="s">
        <v>154</v>
      </c>
      <c r="F21" s="16">
        <v>3</v>
      </c>
    </row>
    <row r="22" spans="2:6">
      <c r="D22" s="16" t="s">
        <v>156</v>
      </c>
      <c r="E22" s="16" t="s">
        <v>154</v>
      </c>
      <c r="F22" s="16">
        <v>9</v>
      </c>
    </row>
    <row r="23" spans="2:6">
      <c r="E23" s="16" t="s">
        <v>157</v>
      </c>
      <c r="F23" s="16">
        <v>9</v>
      </c>
    </row>
    <row r="24" spans="2:6">
      <c r="E24" s="16" t="s">
        <v>158</v>
      </c>
      <c r="F24" s="16">
        <v>8</v>
      </c>
    </row>
    <row r="25" spans="2:6">
      <c r="E25" s="16" t="s">
        <v>159</v>
      </c>
      <c r="F25" s="16">
        <v>8</v>
      </c>
    </row>
    <row r="26" spans="2:6">
      <c r="E26" s="16" t="s">
        <v>160</v>
      </c>
      <c r="F26" s="16">
        <v>4</v>
      </c>
    </row>
    <row r="27" spans="2:6">
      <c r="E27" s="16" t="s">
        <v>161</v>
      </c>
      <c r="F27" s="16">
        <v>5</v>
      </c>
    </row>
    <row r="28" spans="2:6">
      <c r="E28" s="16" t="s">
        <v>162</v>
      </c>
      <c r="F28" s="16">
        <v>13</v>
      </c>
    </row>
    <row r="29" spans="2:6">
      <c r="E29" s="16" t="s">
        <v>163</v>
      </c>
    </row>
    <row r="30" spans="2:6">
      <c r="E30" s="16" t="s">
        <v>164</v>
      </c>
    </row>
    <row r="31" spans="2:6">
      <c r="E31" s="16" t="s">
        <v>165</v>
      </c>
    </row>
    <row r="32" spans="2:6">
      <c r="E32" s="16" t="s">
        <v>166</v>
      </c>
    </row>
    <row r="33" spans="5:6">
      <c r="E33" s="16" t="s">
        <v>167</v>
      </c>
    </row>
    <row r="34" spans="5:6">
      <c r="E34" s="16" t="s">
        <v>168</v>
      </c>
    </row>
    <row r="35" spans="5:6">
      <c r="E35" s="16" t="s">
        <v>169</v>
      </c>
    </row>
    <row r="36" spans="5:6">
      <c r="E36" s="16" t="s">
        <v>170</v>
      </c>
    </row>
    <row r="37" spans="5:6">
      <c r="E37" s="16" t="s">
        <v>171</v>
      </c>
    </row>
    <row r="38" spans="5:6">
      <c r="E38" s="16" t="s">
        <v>172</v>
      </c>
      <c r="F38" s="16">
        <v>64</v>
      </c>
    </row>
    <row r="39" spans="5:6">
      <c r="E39" s="16" t="s">
        <v>173</v>
      </c>
      <c r="F39" s="16">
        <v>19</v>
      </c>
    </row>
    <row r="40" spans="5:6">
      <c r="E40" s="16" t="s">
        <v>174</v>
      </c>
      <c r="F40" s="16">
        <v>18</v>
      </c>
    </row>
    <row r="41" spans="5:6">
      <c r="E41" s="16" t="s">
        <v>175</v>
      </c>
      <c r="F41" s="16">
        <v>33</v>
      </c>
    </row>
    <row r="42" spans="5:6">
      <c r="E42" s="16" t="s">
        <v>176</v>
      </c>
      <c r="F42" s="16">
        <v>50</v>
      </c>
    </row>
    <row r="43" spans="5:6">
      <c r="E43" s="16" t="s">
        <v>177</v>
      </c>
      <c r="F43" s="16">
        <v>68</v>
      </c>
    </row>
    <row r="44" spans="5:6">
      <c r="E44" s="16" t="s">
        <v>178</v>
      </c>
      <c r="F44" s="16">
        <v>24</v>
      </c>
    </row>
    <row r="45" spans="5:6">
      <c r="E45" s="16" t="s">
        <v>179</v>
      </c>
      <c r="F45" s="16">
        <v>150</v>
      </c>
    </row>
    <row r="46" spans="5:6">
      <c r="E46" s="16" t="s">
        <v>180</v>
      </c>
      <c r="F46" s="16">
        <v>77</v>
      </c>
    </row>
    <row r="47" spans="5:6">
      <c r="E47" s="16" t="s">
        <v>181</v>
      </c>
      <c r="F47" s="16">
        <v>33</v>
      </c>
    </row>
    <row r="48" spans="5:6">
      <c r="E48" s="16" t="s">
        <v>182</v>
      </c>
      <c r="F48" s="16">
        <v>17</v>
      </c>
    </row>
    <row r="49" spans="4:6">
      <c r="E49" s="16" t="s">
        <v>183</v>
      </c>
      <c r="F49" s="16">
        <v>39</v>
      </c>
    </row>
    <row r="50" spans="4:6">
      <c r="E50" s="16" t="s">
        <v>184</v>
      </c>
      <c r="F50" s="16">
        <v>16</v>
      </c>
    </row>
    <row r="51" spans="4:6">
      <c r="E51" s="16" t="s">
        <v>185</v>
      </c>
      <c r="F51" s="16">
        <v>0</v>
      </c>
    </row>
    <row r="52" spans="4:6">
      <c r="E52" s="16" t="s">
        <v>186</v>
      </c>
      <c r="F52" s="16">
        <v>0</v>
      </c>
    </row>
    <row r="53" spans="4:6">
      <c r="E53" s="16" t="s">
        <v>187</v>
      </c>
      <c r="F53" s="16">
        <v>12</v>
      </c>
    </row>
    <row r="54" spans="4:6">
      <c r="E54" s="16" t="s">
        <v>188</v>
      </c>
      <c r="F54" s="16">
        <v>9</v>
      </c>
    </row>
    <row r="55" spans="4:6">
      <c r="E55" s="16" t="s">
        <v>189</v>
      </c>
      <c r="F55" s="16">
        <v>8</v>
      </c>
    </row>
    <row r="56" spans="4:6">
      <c r="D56" s="16" t="s">
        <v>190</v>
      </c>
      <c r="E56" s="16" t="s">
        <v>131</v>
      </c>
      <c r="F56" s="16">
        <v>0</v>
      </c>
    </row>
    <row r="57" spans="4:6">
      <c r="D57" s="16" t="s">
        <v>191</v>
      </c>
      <c r="E57" s="16" t="s">
        <v>157</v>
      </c>
      <c r="F57" s="16">
        <v>26</v>
      </c>
    </row>
    <row r="58" spans="4:6">
      <c r="D58" s="16" t="s">
        <v>191</v>
      </c>
      <c r="E58" s="16" t="s">
        <v>158</v>
      </c>
      <c r="F58" s="16">
        <v>35</v>
      </c>
    </row>
    <row r="59" spans="4:6">
      <c r="D59" s="16" t="s">
        <v>191</v>
      </c>
      <c r="E59" s="16" t="s">
        <v>159</v>
      </c>
      <c r="F59" s="16">
        <v>49</v>
      </c>
    </row>
    <row r="60" spans="4:6">
      <c r="D60" s="16" t="s">
        <v>191</v>
      </c>
      <c r="E60" s="16" t="s">
        <v>160</v>
      </c>
      <c r="F60" s="16">
        <v>46</v>
      </c>
    </row>
    <row r="61" spans="4:6">
      <c r="D61" s="16" t="s">
        <v>191</v>
      </c>
      <c r="E61" s="16" t="s">
        <v>161</v>
      </c>
      <c r="F61" s="16">
        <v>25</v>
      </c>
    </row>
    <row r="62" spans="4:6">
      <c r="D62" s="16" t="s">
        <v>191</v>
      </c>
      <c r="E62" s="16" t="s">
        <v>192</v>
      </c>
      <c r="F62" s="16">
        <v>25</v>
      </c>
    </row>
    <row r="63" spans="4:6">
      <c r="D63" s="16" t="s">
        <v>191</v>
      </c>
      <c r="E63" s="16" t="s">
        <v>193</v>
      </c>
      <c r="F63" s="16">
        <v>6</v>
      </c>
    </row>
    <row r="64" spans="4:6">
      <c r="D64" s="16" t="s">
        <v>191</v>
      </c>
      <c r="E64" s="16" t="s">
        <v>163</v>
      </c>
      <c r="F64" s="16">
        <v>11</v>
      </c>
    </row>
    <row r="65" spans="4:6">
      <c r="D65" s="16" t="s">
        <v>191</v>
      </c>
      <c r="E65" s="16" t="s">
        <v>164</v>
      </c>
      <c r="F65" s="16">
        <v>0</v>
      </c>
    </row>
    <row r="66" spans="4:6">
      <c r="D66" s="16" t="s">
        <v>191</v>
      </c>
      <c r="E66" s="16" t="s">
        <v>165</v>
      </c>
      <c r="F66" s="16">
        <v>31</v>
      </c>
    </row>
    <row r="67" spans="4:6">
      <c r="D67" s="16" t="s">
        <v>191</v>
      </c>
      <c r="E67" s="16" t="s">
        <v>194</v>
      </c>
      <c r="F67" s="16">
        <v>0</v>
      </c>
    </row>
    <row r="68" spans="4:6">
      <c r="D68" s="16" t="s">
        <v>191</v>
      </c>
      <c r="E68" s="16" t="s">
        <v>195</v>
      </c>
      <c r="F68" s="16">
        <v>0</v>
      </c>
    </row>
    <row r="70" spans="4:6">
      <c r="D70" s="16" t="s">
        <v>196</v>
      </c>
      <c r="E70" s="16" t="s">
        <v>197</v>
      </c>
      <c r="F70" s="16">
        <v>15</v>
      </c>
    </row>
    <row r="71" spans="4:6">
      <c r="D71" s="16" t="s">
        <v>196</v>
      </c>
      <c r="E71" s="16" t="s">
        <v>198</v>
      </c>
      <c r="F71" s="16">
        <v>13</v>
      </c>
    </row>
    <row r="72" spans="4:6">
      <c r="D72" s="16" t="s">
        <v>199</v>
      </c>
      <c r="E72" s="16" t="s">
        <v>200</v>
      </c>
      <c r="F72" s="16">
        <v>13</v>
      </c>
    </row>
    <row r="73" spans="4:6">
      <c r="D73" s="16" t="s">
        <v>201</v>
      </c>
      <c r="E73" s="16" t="s">
        <v>200</v>
      </c>
      <c r="F73" s="16">
        <v>0</v>
      </c>
    </row>
    <row r="74" spans="4:6">
      <c r="D74" s="16" t="s">
        <v>199</v>
      </c>
      <c r="E74" s="16" t="s">
        <v>197</v>
      </c>
      <c r="F74" s="16">
        <v>586</v>
      </c>
    </row>
    <row r="75" spans="4:6">
      <c r="D75" s="16" t="s">
        <v>202</v>
      </c>
      <c r="E75" s="16" t="s">
        <v>152</v>
      </c>
      <c r="F75" s="16">
        <v>38</v>
      </c>
    </row>
    <row r="76" spans="4:6">
      <c r="D76" s="16" t="s">
        <v>199</v>
      </c>
      <c r="E76" s="16" t="s">
        <v>203</v>
      </c>
      <c r="F76" s="16">
        <v>14</v>
      </c>
    </row>
    <row r="77" spans="4:6">
      <c r="D77" s="16" t="s">
        <v>199</v>
      </c>
      <c r="E77" s="16" t="s">
        <v>204</v>
      </c>
      <c r="F77" s="16">
        <v>1</v>
      </c>
    </row>
    <row r="78" spans="4:6">
      <c r="D78" s="16" t="s">
        <v>205</v>
      </c>
      <c r="E78" s="16" t="s">
        <v>181</v>
      </c>
      <c r="F78" s="16">
        <v>16</v>
      </c>
    </row>
    <row r="79" spans="4:6">
      <c r="D79" s="16" t="s">
        <v>205</v>
      </c>
      <c r="E79" s="16" t="s">
        <v>182</v>
      </c>
      <c r="F79" s="16">
        <v>64</v>
      </c>
    </row>
    <row r="80" spans="4:6">
      <c r="D80" s="16" t="s">
        <v>206</v>
      </c>
      <c r="E80" s="16" t="s">
        <v>149</v>
      </c>
      <c r="F80" s="16">
        <v>163</v>
      </c>
    </row>
    <row r="81" spans="4:6">
      <c r="D81" s="16" t="s">
        <v>207</v>
      </c>
      <c r="E81" s="16" t="s">
        <v>137</v>
      </c>
      <c r="F81" s="16">
        <v>52</v>
      </c>
    </row>
    <row r="82" spans="4:6">
      <c r="D82" s="16" t="s">
        <v>208</v>
      </c>
      <c r="E82" s="16" t="s">
        <v>137</v>
      </c>
      <c r="F82" s="16">
        <v>24</v>
      </c>
    </row>
    <row r="83" spans="4:6">
      <c r="D83" s="16" t="s">
        <v>199</v>
      </c>
      <c r="E83" s="16" t="s">
        <v>198</v>
      </c>
      <c r="F83" s="16">
        <v>20</v>
      </c>
    </row>
    <row r="84" spans="4:6">
      <c r="D84" s="16" t="s">
        <v>201</v>
      </c>
      <c r="E84" s="16" t="s">
        <v>198</v>
      </c>
      <c r="F84" s="16">
        <v>12</v>
      </c>
    </row>
    <row r="85" spans="4:6">
      <c r="D85" s="16" t="s">
        <v>209</v>
      </c>
      <c r="E85" s="16" t="s">
        <v>140</v>
      </c>
      <c r="F85" s="16">
        <v>41</v>
      </c>
    </row>
    <row r="86" spans="4:6">
      <c r="D86" s="16" t="s">
        <v>210</v>
      </c>
      <c r="E86" s="16" t="s">
        <v>140</v>
      </c>
      <c r="F86" s="16">
        <v>28</v>
      </c>
    </row>
    <row r="87" spans="4:6">
      <c r="D87" s="16" t="s">
        <v>211</v>
      </c>
      <c r="E87" s="16" t="s">
        <v>179</v>
      </c>
      <c r="F87" s="16">
        <v>100</v>
      </c>
    </row>
    <row r="88" spans="4:6">
      <c r="D88" s="16" t="s">
        <v>212</v>
      </c>
      <c r="E88" s="16" t="s">
        <v>174</v>
      </c>
      <c r="F88" s="16">
        <v>5</v>
      </c>
    </row>
    <row r="89" spans="4:6">
      <c r="D89" s="16" t="s">
        <v>213</v>
      </c>
      <c r="E89" s="16" t="s">
        <v>113</v>
      </c>
      <c r="F89" s="16">
        <v>8</v>
      </c>
    </row>
    <row r="90" spans="4:6">
      <c r="D90" s="16" t="s">
        <v>214</v>
      </c>
      <c r="E90" s="16" t="s">
        <v>178</v>
      </c>
      <c r="F90" s="16">
        <v>7</v>
      </c>
    </row>
    <row r="91" spans="4:6">
      <c r="D91" s="16" t="s">
        <v>215</v>
      </c>
      <c r="E91" s="16" t="s">
        <v>178</v>
      </c>
      <c r="F91" s="16">
        <v>0</v>
      </c>
    </row>
    <row r="92" spans="4:6">
      <c r="D92" s="16" t="s">
        <v>216</v>
      </c>
      <c r="E92" s="16" t="s">
        <v>152</v>
      </c>
      <c r="F92" s="16">
        <v>17</v>
      </c>
    </row>
    <row r="93" spans="4:6">
      <c r="D93" s="16" t="s">
        <v>217</v>
      </c>
      <c r="E93" s="16" t="s">
        <v>179</v>
      </c>
      <c r="F93" s="16">
        <v>31</v>
      </c>
    </row>
    <row r="94" spans="4:6">
      <c r="D94" s="16" t="s">
        <v>218</v>
      </c>
      <c r="E94" s="16" t="s">
        <v>128</v>
      </c>
      <c r="F94" s="16">
        <v>9</v>
      </c>
    </row>
    <row r="95" spans="4:6">
      <c r="D95" s="16" t="s">
        <v>218</v>
      </c>
      <c r="E95" s="16" t="s">
        <v>186</v>
      </c>
      <c r="F95" s="16">
        <v>10</v>
      </c>
    </row>
    <row r="96" spans="4:6">
      <c r="D96" s="16" t="s">
        <v>218</v>
      </c>
      <c r="E96" s="16" t="s">
        <v>219</v>
      </c>
      <c r="F96" s="16">
        <v>23</v>
      </c>
    </row>
    <row r="97" spans="4:6">
      <c r="D97" s="16" t="s">
        <v>218</v>
      </c>
      <c r="E97" s="16" t="s">
        <v>125</v>
      </c>
      <c r="F97" s="16">
        <v>10</v>
      </c>
    </row>
    <row r="98" spans="4:6">
      <c r="D98" s="16" t="s">
        <v>218</v>
      </c>
      <c r="E98" s="16" t="s">
        <v>122</v>
      </c>
      <c r="F98" s="16">
        <v>24</v>
      </c>
    </row>
    <row r="99" spans="4:6">
      <c r="D99" s="16" t="s">
        <v>218</v>
      </c>
      <c r="E99" s="16" t="s">
        <v>140</v>
      </c>
      <c r="F99" s="16">
        <v>36</v>
      </c>
    </row>
    <row r="101" spans="4:6">
      <c r="D101" s="16" t="s">
        <v>220</v>
      </c>
      <c r="E101" s="16" t="s">
        <v>221</v>
      </c>
      <c r="F101" s="16">
        <v>14</v>
      </c>
    </row>
    <row r="102" spans="4:6">
      <c r="D102" s="16" t="s">
        <v>222</v>
      </c>
      <c r="E102" s="16" t="s">
        <v>221</v>
      </c>
      <c r="F102" s="16">
        <v>14</v>
      </c>
    </row>
    <row r="103" spans="4:6">
      <c r="D103" s="16" t="s">
        <v>223</v>
      </c>
      <c r="E103" s="16" t="s">
        <v>221</v>
      </c>
      <c r="F103" s="16">
        <v>14</v>
      </c>
    </row>
    <row r="104" spans="4:6">
      <c r="D104" s="16" t="s">
        <v>224</v>
      </c>
      <c r="E104" s="16" t="s">
        <v>221</v>
      </c>
      <c r="F104" s="16">
        <v>13</v>
      </c>
    </row>
    <row r="105" spans="4:6">
      <c r="D105" s="16" t="s">
        <v>225</v>
      </c>
      <c r="E105" s="16" t="s">
        <v>221</v>
      </c>
      <c r="F105" s="16">
        <v>12</v>
      </c>
    </row>
    <row r="106" spans="4:6">
      <c r="D106" s="16" t="s">
        <v>226</v>
      </c>
      <c r="E106" s="16" t="s">
        <v>221</v>
      </c>
      <c r="F106" s="16">
        <v>6</v>
      </c>
    </row>
    <row r="107" spans="4:6">
      <c r="D107" s="16" t="s">
        <v>227</v>
      </c>
      <c r="E107" s="16" t="s">
        <v>221</v>
      </c>
      <c r="F107" s="16">
        <v>11</v>
      </c>
    </row>
    <row r="108" spans="4:6">
      <c r="D108" s="16" t="s">
        <v>228</v>
      </c>
      <c r="E108" s="16" t="s">
        <v>221</v>
      </c>
      <c r="F108" s="16">
        <v>9</v>
      </c>
    </row>
    <row r="110" spans="4:6">
      <c r="D110" s="16" t="s">
        <v>229</v>
      </c>
      <c r="E110" s="16" t="s">
        <v>200</v>
      </c>
      <c r="F110" s="16">
        <v>3</v>
      </c>
    </row>
    <row r="111" spans="4:6">
      <c r="D111" s="16" t="s">
        <v>229</v>
      </c>
      <c r="E111" s="16" t="s">
        <v>198</v>
      </c>
      <c r="F111" s="16">
        <v>7</v>
      </c>
    </row>
    <row r="112" spans="4:6">
      <c r="D112" s="16" t="s">
        <v>229</v>
      </c>
      <c r="E112" s="16" t="s">
        <v>197</v>
      </c>
      <c r="F112" s="16">
        <v>2</v>
      </c>
    </row>
    <row r="113" spans="4:6">
      <c r="D113" s="16" t="s">
        <v>229</v>
      </c>
      <c r="E113" s="16" t="s">
        <v>204</v>
      </c>
      <c r="F113" s="16">
        <v>2</v>
      </c>
    </row>
    <row r="114" spans="4:6">
      <c r="D114" s="16" t="s">
        <v>230</v>
      </c>
      <c r="E114" s="16" t="s">
        <v>197</v>
      </c>
      <c r="F114" s="16">
        <v>4</v>
      </c>
    </row>
    <row r="115" spans="4:6">
      <c r="D115" s="16" t="s">
        <v>230</v>
      </c>
      <c r="E115" s="16" t="s">
        <v>204</v>
      </c>
      <c r="F115" s="16">
        <v>6</v>
      </c>
    </row>
    <row r="116" spans="4:6">
      <c r="D116" s="16" t="s">
        <v>230</v>
      </c>
      <c r="E116" s="16" t="s">
        <v>203</v>
      </c>
      <c r="F116" s="16">
        <v>4</v>
      </c>
    </row>
    <row r="117" spans="4:6">
      <c r="D117" s="16" t="s">
        <v>230</v>
      </c>
      <c r="E117" s="16" t="s">
        <v>231</v>
      </c>
      <c r="F117" s="16">
        <v>6</v>
      </c>
    </row>
    <row r="119" spans="4:6">
      <c r="D119" s="16" t="s">
        <v>232</v>
      </c>
      <c r="E119" s="16" t="s">
        <v>200</v>
      </c>
      <c r="F119" s="16">
        <v>0</v>
      </c>
    </row>
    <row r="120" spans="4:6">
      <c r="D120" s="16" t="s">
        <v>232</v>
      </c>
      <c r="E120" s="16" t="s">
        <v>198</v>
      </c>
      <c r="F120" s="16">
        <v>2</v>
      </c>
    </row>
    <row r="121" spans="4:6">
      <c r="D121" s="16" t="s">
        <v>232</v>
      </c>
      <c r="E121" s="16" t="s">
        <v>197</v>
      </c>
      <c r="F121" s="16">
        <v>0</v>
      </c>
    </row>
    <row r="122" spans="4:6">
      <c r="D122" s="16" t="s">
        <v>233</v>
      </c>
      <c r="E122" s="16" t="s">
        <v>200</v>
      </c>
      <c r="F122" s="16">
        <v>1</v>
      </c>
    </row>
    <row r="123" spans="4:6">
      <c r="D123" s="16" t="s">
        <v>233</v>
      </c>
      <c r="E123" s="16" t="s">
        <v>198</v>
      </c>
      <c r="F123" s="16">
        <v>1</v>
      </c>
    </row>
    <row r="124" spans="4:6">
      <c r="D124" s="16" t="s">
        <v>233</v>
      </c>
      <c r="E124" s="16" t="s">
        <v>197</v>
      </c>
      <c r="F124" s="16">
        <v>1</v>
      </c>
    </row>
    <row r="125" spans="4:6">
      <c r="D125" s="16" t="s">
        <v>234</v>
      </c>
      <c r="E125" s="16" t="s">
        <v>200</v>
      </c>
      <c r="F125" s="16">
        <v>0</v>
      </c>
    </row>
    <row r="126" spans="4:6">
      <c r="D126" s="16" t="s">
        <v>235</v>
      </c>
      <c r="E126" s="16" t="s">
        <v>198</v>
      </c>
      <c r="F126" s="16">
        <v>2</v>
      </c>
    </row>
    <row r="127" spans="4:6">
      <c r="D127" s="16" t="s">
        <v>236</v>
      </c>
      <c r="E127" s="16" t="s">
        <v>197</v>
      </c>
      <c r="F127" s="16">
        <v>0</v>
      </c>
    </row>
    <row r="128" spans="4:6">
      <c r="D128" s="16" t="s">
        <v>237</v>
      </c>
      <c r="E128" s="16" t="s">
        <v>200</v>
      </c>
      <c r="F128" s="16">
        <v>2</v>
      </c>
    </row>
    <row r="129" spans="4:6">
      <c r="D129" s="16" t="s">
        <v>238</v>
      </c>
      <c r="E129" s="16" t="s">
        <v>200</v>
      </c>
      <c r="F129" s="16">
        <v>1</v>
      </c>
    </row>
    <row r="130" spans="4:6">
      <c r="D130" s="16" t="s">
        <v>238</v>
      </c>
      <c r="E130" s="16" t="s">
        <v>198</v>
      </c>
      <c r="F130" s="16">
        <v>3</v>
      </c>
    </row>
    <row r="131" spans="4:6">
      <c r="D131" s="16" t="s">
        <v>238</v>
      </c>
      <c r="E131" s="16" t="s">
        <v>197</v>
      </c>
      <c r="F131" s="16">
        <v>3</v>
      </c>
    </row>
    <row r="132" spans="4:6">
      <c r="D132" s="16" t="s">
        <v>238</v>
      </c>
      <c r="E132" s="16" t="s">
        <v>204</v>
      </c>
      <c r="F132" s="16">
        <v>4</v>
      </c>
    </row>
    <row r="133" spans="4:6">
      <c r="D133" s="16" t="s">
        <v>239</v>
      </c>
      <c r="E133" s="16" t="s">
        <v>200</v>
      </c>
      <c r="F133" s="16">
        <v>1</v>
      </c>
    </row>
    <row r="134" spans="4:6">
      <c r="D134" s="16" t="s">
        <v>239</v>
      </c>
      <c r="E134" s="16" t="s">
        <v>198</v>
      </c>
      <c r="F134" s="16">
        <v>1</v>
      </c>
    </row>
    <row r="135" spans="4:6">
      <c r="D135" s="16" t="s">
        <v>239</v>
      </c>
      <c r="E135" s="16" t="s">
        <v>197</v>
      </c>
      <c r="F135" s="16">
        <v>4</v>
      </c>
    </row>
    <row r="136" spans="4:6">
      <c r="D136" s="16" t="s">
        <v>239</v>
      </c>
      <c r="E136" s="16" t="s">
        <v>204</v>
      </c>
      <c r="F136" s="16">
        <v>1</v>
      </c>
    </row>
    <row r="137" spans="4:6">
      <c r="D137" s="16" t="s">
        <v>240</v>
      </c>
      <c r="E137" s="16" t="s">
        <v>200</v>
      </c>
      <c r="F137" s="16">
        <v>0</v>
      </c>
    </row>
    <row r="138" spans="4:6">
      <c r="D138" s="16" t="s">
        <v>240</v>
      </c>
      <c r="E138" s="16" t="s">
        <v>198</v>
      </c>
      <c r="F138" s="16">
        <v>2</v>
      </c>
    </row>
    <row r="139" spans="4:6">
      <c r="D139" s="16" t="s">
        <v>240</v>
      </c>
      <c r="E139" s="16" t="s">
        <v>197</v>
      </c>
      <c r="F139" s="16">
        <v>0</v>
      </c>
    </row>
    <row r="140" spans="4:6">
      <c r="D140" s="16" t="s">
        <v>240</v>
      </c>
      <c r="E140" s="16" t="s">
        <v>204</v>
      </c>
      <c r="F140" s="16">
        <v>1</v>
      </c>
    </row>
    <row r="142" spans="4:6">
      <c r="D142" s="16" t="s">
        <v>241</v>
      </c>
      <c r="E142" s="16" t="s">
        <v>242</v>
      </c>
      <c r="F142" s="16">
        <v>0</v>
      </c>
    </row>
    <row r="143" spans="4:6">
      <c r="D143" s="16" t="s">
        <v>241</v>
      </c>
      <c r="E143" s="16" t="s">
        <v>200</v>
      </c>
      <c r="F143" s="16">
        <v>1</v>
      </c>
    </row>
    <row r="144" spans="4:6">
      <c r="D144" s="16" t="s">
        <v>241</v>
      </c>
      <c r="E144" s="16" t="s">
        <v>198</v>
      </c>
      <c r="F144" s="16">
        <v>0</v>
      </c>
    </row>
    <row r="145" spans="4:6">
      <c r="D145" s="16" t="s">
        <v>241</v>
      </c>
      <c r="E145" s="16" t="s">
        <v>197</v>
      </c>
      <c r="F145" s="16">
        <v>3</v>
      </c>
    </row>
    <row r="146" spans="4:6">
      <c r="D146" s="16" t="s">
        <v>241</v>
      </c>
      <c r="E146" s="16" t="s">
        <v>204</v>
      </c>
      <c r="F146" s="16">
        <v>2</v>
      </c>
    </row>
    <row r="147" spans="4:6">
      <c r="D147" s="16" t="s">
        <v>241</v>
      </c>
      <c r="E147" s="16" t="s">
        <v>243</v>
      </c>
      <c r="F147" s="16">
        <v>4</v>
      </c>
    </row>
    <row r="148" spans="4:6">
      <c r="D148" s="16" t="s">
        <v>244</v>
      </c>
      <c r="E148" s="16" t="s">
        <v>242</v>
      </c>
      <c r="F148" s="16">
        <v>1</v>
      </c>
    </row>
    <row r="149" spans="4:6">
      <c r="D149" s="16" t="s">
        <v>244</v>
      </c>
      <c r="E149" s="16" t="s">
        <v>200</v>
      </c>
      <c r="F149" s="16">
        <v>2</v>
      </c>
    </row>
    <row r="150" spans="4:6">
      <c r="D150" s="16" t="s">
        <v>244</v>
      </c>
      <c r="E150" s="16" t="s">
        <v>198</v>
      </c>
      <c r="F150" s="16">
        <v>0</v>
      </c>
    </row>
    <row r="151" spans="4:6">
      <c r="D151" s="16" t="s">
        <v>244</v>
      </c>
      <c r="E151" s="16" t="s">
        <v>197</v>
      </c>
      <c r="F151" s="16">
        <v>0</v>
      </c>
    </row>
    <row r="152" spans="4:6">
      <c r="D152" s="16" t="s">
        <v>244</v>
      </c>
      <c r="E152" s="16" t="s">
        <v>204</v>
      </c>
      <c r="F152" s="16">
        <v>0</v>
      </c>
    </row>
    <row r="153" spans="4:6">
      <c r="D153" s="16" t="s">
        <v>244</v>
      </c>
      <c r="E153" s="16" t="s">
        <v>243</v>
      </c>
      <c r="F153" s="16">
        <v>5</v>
      </c>
    </row>
    <row r="154" spans="4:6">
      <c r="D154" s="16" t="s">
        <v>245</v>
      </c>
      <c r="E154" s="16" t="s">
        <v>242</v>
      </c>
      <c r="F154" s="16">
        <v>1</v>
      </c>
    </row>
    <row r="155" spans="4:6">
      <c r="D155" s="16" t="s">
        <v>245</v>
      </c>
      <c r="E155" s="16" t="s">
        <v>200</v>
      </c>
      <c r="F155" s="16">
        <v>2</v>
      </c>
    </row>
    <row r="156" spans="4:6">
      <c r="D156" s="16" t="s">
        <v>245</v>
      </c>
      <c r="E156" s="16" t="s">
        <v>198</v>
      </c>
      <c r="F156" s="16">
        <v>2</v>
      </c>
    </row>
    <row r="157" spans="4:6">
      <c r="D157" s="16" t="s">
        <v>245</v>
      </c>
      <c r="E157" s="16" t="s">
        <v>197</v>
      </c>
      <c r="F157" s="16">
        <v>1</v>
      </c>
    </row>
    <row r="158" spans="4:6">
      <c r="D158" s="16" t="s">
        <v>245</v>
      </c>
      <c r="E158" s="16" t="s">
        <v>204</v>
      </c>
      <c r="F158" s="16">
        <v>3</v>
      </c>
    </row>
    <row r="159" spans="4:6">
      <c r="D159" s="16" t="s">
        <v>245</v>
      </c>
      <c r="E159" s="16" t="s">
        <v>243</v>
      </c>
      <c r="F159" s="16">
        <v>0</v>
      </c>
    </row>
    <row r="161" spans="4:6">
      <c r="D161" s="16" t="s">
        <v>246</v>
      </c>
      <c r="E161" s="16" t="s">
        <v>200</v>
      </c>
      <c r="F161" s="16">
        <v>0</v>
      </c>
    </row>
    <row r="162" spans="4:6">
      <c r="D162" s="16" t="s">
        <v>246</v>
      </c>
      <c r="E162" s="16" t="s">
        <v>198</v>
      </c>
      <c r="F162" s="16">
        <v>2</v>
      </c>
    </row>
    <row r="163" spans="4:6">
      <c r="D163" s="16" t="s">
        <v>246</v>
      </c>
      <c r="E163" s="16" t="s">
        <v>197</v>
      </c>
      <c r="F163" s="16">
        <v>3</v>
      </c>
    </row>
    <row r="164" spans="4:6">
      <c r="D164" s="16" t="s">
        <v>246</v>
      </c>
      <c r="E164" s="16" t="s">
        <v>204</v>
      </c>
      <c r="F164" s="16">
        <v>2</v>
      </c>
    </row>
    <row r="166" spans="4:6">
      <c r="D166" s="16" t="s">
        <v>247</v>
      </c>
      <c r="E166" s="16" t="s">
        <v>248</v>
      </c>
      <c r="F166" s="16">
        <v>370</v>
      </c>
    </row>
    <row r="167" spans="4:6">
      <c r="D167" s="16" t="s">
        <v>249</v>
      </c>
      <c r="E167" s="16" t="s">
        <v>248</v>
      </c>
      <c r="F167" s="16">
        <v>140</v>
      </c>
    </row>
    <row r="168" spans="4:6">
      <c r="D168" s="16" t="s">
        <v>250</v>
      </c>
      <c r="E168" s="16" t="s">
        <v>248</v>
      </c>
      <c r="F168" s="16">
        <v>95</v>
      </c>
    </row>
    <row r="169" spans="4:6">
      <c r="D169" s="16" t="s">
        <v>251</v>
      </c>
      <c r="E169" s="16" t="s">
        <v>248</v>
      </c>
      <c r="F169" s="16">
        <v>85</v>
      </c>
    </row>
    <row r="170" spans="4:6">
      <c r="D170" s="16" t="s">
        <v>247</v>
      </c>
      <c r="E170" s="16" t="s">
        <v>252</v>
      </c>
      <c r="F170" s="16">
        <v>0</v>
      </c>
    </row>
    <row r="171" spans="4:6">
      <c r="D171" s="16" t="s">
        <v>249</v>
      </c>
      <c r="E171" s="16" t="s">
        <v>252</v>
      </c>
      <c r="F171" s="16">
        <v>35</v>
      </c>
    </row>
    <row r="172" spans="4:6">
      <c r="D172" s="16" t="s">
        <v>250</v>
      </c>
      <c r="E172" s="16" t="s">
        <v>252</v>
      </c>
      <c r="F172" s="16">
        <v>5</v>
      </c>
    </row>
    <row r="173" spans="4:6">
      <c r="D173" s="16" t="s">
        <v>251</v>
      </c>
      <c r="E173" s="16" t="s">
        <v>252</v>
      </c>
      <c r="F173" s="16">
        <v>0</v>
      </c>
    </row>
    <row r="175" spans="4:6">
      <c r="D175" s="16" t="s">
        <v>253</v>
      </c>
      <c r="E175" s="16" t="s">
        <v>254</v>
      </c>
      <c r="F175" s="16">
        <v>0</v>
      </c>
    </row>
    <row r="176" spans="4:6">
      <c r="D176" s="16" t="s">
        <v>255</v>
      </c>
      <c r="E176" s="16" t="s">
        <v>254</v>
      </c>
      <c r="F176" s="16">
        <v>0</v>
      </c>
    </row>
    <row r="177" spans="4:6">
      <c r="D177" s="16" t="s">
        <v>256</v>
      </c>
      <c r="E177" s="16" t="s">
        <v>254</v>
      </c>
      <c r="F177" s="16">
        <v>0</v>
      </c>
    </row>
    <row r="178" spans="4:6">
      <c r="D178" s="16" t="s">
        <v>257</v>
      </c>
      <c r="E178" s="16" t="s">
        <v>254</v>
      </c>
      <c r="F178" s="16">
        <v>8</v>
      </c>
    </row>
    <row r="179" spans="4:6">
      <c r="D179" s="16" t="s">
        <v>258</v>
      </c>
      <c r="E179" s="16" t="s">
        <v>254</v>
      </c>
      <c r="F179" s="16">
        <v>0</v>
      </c>
    </row>
    <row r="180" spans="4:6">
      <c r="D180" s="16" t="s">
        <v>259</v>
      </c>
      <c r="E180" s="16" t="s">
        <v>254</v>
      </c>
      <c r="F180" s="16">
        <v>25</v>
      </c>
    </row>
    <row r="181" spans="4:6">
      <c r="D181" s="16" t="s">
        <v>260</v>
      </c>
      <c r="E181" s="16" t="s">
        <v>254</v>
      </c>
      <c r="F181" s="16">
        <v>0</v>
      </c>
    </row>
    <row r="182" spans="4:6">
      <c r="D182" s="16" t="s">
        <v>253</v>
      </c>
      <c r="E182" s="16" t="s">
        <v>231</v>
      </c>
      <c r="F182" s="16">
        <v>0</v>
      </c>
    </row>
    <row r="183" spans="4:6">
      <c r="D183" s="16" t="s">
        <v>255</v>
      </c>
      <c r="E183" s="16" t="s">
        <v>231</v>
      </c>
      <c r="F183" s="16">
        <v>25</v>
      </c>
    </row>
    <row r="184" spans="4:6">
      <c r="D184" s="16" t="s">
        <v>256</v>
      </c>
      <c r="E184" s="16" t="s">
        <v>231</v>
      </c>
      <c r="F184" s="16">
        <v>21</v>
      </c>
    </row>
    <row r="185" spans="4:6">
      <c r="D185" s="16" t="s">
        <v>257</v>
      </c>
      <c r="E185" s="16" t="s">
        <v>231</v>
      </c>
      <c r="F185" s="16">
        <v>59</v>
      </c>
    </row>
    <row r="186" spans="4:6">
      <c r="D186" s="16" t="s">
        <v>258</v>
      </c>
      <c r="E186" s="16" t="s">
        <v>231</v>
      </c>
      <c r="F186" s="16">
        <v>32</v>
      </c>
    </row>
    <row r="187" spans="4:6">
      <c r="D187" s="16" t="s">
        <v>259</v>
      </c>
      <c r="E187" s="16" t="s">
        <v>231</v>
      </c>
      <c r="F187" s="16">
        <v>100</v>
      </c>
    </row>
    <row r="188" spans="4:6">
      <c r="D188" s="16" t="s">
        <v>260</v>
      </c>
      <c r="E188" s="16" t="s">
        <v>231</v>
      </c>
      <c r="F188" s="16">
        <v>41</v>
      </c>
    </row>
    <row r="189" spans="4:6">
      <c r="D189" s="16" t="s">
        <v>261</v>
      </c>
      <c r="E189" s="16" t="s">
        <v>231</v>
      </c>
      <c r="F189" s="16">
        <v>35</v>
      </c>
    </row>
    <row r="190" spans="4:6">
      <c r="D190" s="16" t="s">
        <v>262</v>
      </c>
      <c r="E190" s="16" t="s">
        <v>231</v>
      </c>
      <c r="F190" s="16">
        <v>31</v>
      </c>
    </row>
    <row r="191" spans="4:6">
      <c r="D191" s="16" t="s">
        <v>263</v>
      </c>
      <c r="E191" s="16" t="s">
        <v>231</v>
      </c>
      <c r="F191" s="16">
        <v>3</v>
      </c>
    </row>
    <row r="193" spans="4:6">
      <c r="D193" s="16" t="s">
        <v>264</v>
      </c>
      <c r="E193" s="16" t="s">
        <v>265</v>
      </c>
      <c r="F193" s="16">
        <v>21</v>
      </c>
    </row>
    <row r="194" spans="4:6">
      <c r="D194" s="16" t="s">
        <v>266</v>
      </c>
      <c r="E194" s="16" t="s">
        <v>203</v>
      </c>
      <c r="F194" s="16">
        <v>4</v>
      </c>
    </row>
    <row r="195" spans="4:6">
      <c r="D195" s="16" t="s">
        <v>267</v>
      </c>
      <c r="E195" s="16" t="s">
        <v>204</v>
      </c>
      <c r="F195" s="16">
        <v>39</v>
      </c>
    </row>
    <row r="196" spans="4:6">
      <c r="D196" s="16" t="s">
        <v>268</v>
      </c>
      <c r="E196" s="16" t="s">
        <v>197</v>
      </c>
      <c r="F196" s="16">
        <v>7</v>
      </c>
    </row>
    <row r="197" spans="4:6">
      <c r="D197" s="16" t="s">
        <v>269</v>
      </c>
      <c r="F197" s="16">
        <v>38</v>
      </c>
    </row>
    <row r="198" spans="4:6">
      <c r="D198" s="16" t="s">
        <v>270</v>
      </c>
      <c r="F198" s="16">
        <v>7</v>
      </c>
    </row>
    <row r="199" spans="4:6">
      <c r="D199" s="16" t="s">
        <v>271</v>
      </c>
      <c r="F199" s="16">
        <v>59</v>
      </c>
    </row>
    <row r="201" spans="4:6">
      <c r="D201" s="16" t="s">
        <v>272</v>
      </c>
      <c r="F201" s="16">
        <v>900</v>
      </c>
    </row>
    <row r="202" spans="4:6">
      <c r="D202" s="16" t="s">
        <v>273</v>
      </c>
      <c r="F202" s="16">
        <v>2</v>
      </c>
    </row>
    <row r="203" spans="4:6">
      <c r="D203" s="16" t="s">
        <v>274</v>
      </c>
      <c r="F203" s="16">
        <v>13</v>
      </c>
    </row>
    <row r="204" spans="4:6">
      <c r="D204" s="16" t="s">
        <v>275</v>
      </c>
      <c r="F204" s="16">
        <v>58</v>
      </c>
    </row>
    <row r="205" spans="4:6">
      <c r="D205" s="16" t="s">
        <v>276</v>
      </c>
      <c r="F205" s="16">
        <v>400</v>
      </c>
    </row>
    <row r="207" spans="4:6">
      <c r="D207" s="16" t="s">
        <v>277</v>
      </c>
      <c r="F207" s="16">
        <v>200</v>
      </c>
    </row>
    <row r="208" spans="4:6">
      <c r="D208" s="16" t="s">
        <v>278</v>
      </c>
      <c r="F208" s="16">
        <v>1200</v>
      </c>
    </row>
    <row r="209" spans="4:6">
      <c r="D209" s="16" t="s">
        <v>279</v>
      </c>
      <c r="F209" s="16">
        <v>900</v>
      </c>
    </row>
    <row r="210" spans="4:6">
      <c r="D210" s="16" t="s">
        <v>280</v>
      </c>
      <c r="F210" s="16">
        <v>1850</v>
      </c>
    </row>
    <row r="211" spans="4:6">
      <c r="D211" s="16" t="s">
        <v>281</v>
      </c>
      <c r="F211" s="16">
        <v>1800</v>
      </c>
    </row>
    <row r="212" spans="4:6">
      <c r="D212" s="16" t="s">
        <v>282</v>
      </c>
      <c r="F212" s="16">
        <v>800</v>
      </c>
    </row>
    <row r="213" spans="4:6">
      <c r="D213" s="16" t="s">
        <v>283</v>
      </c>
      <c r="F213" s="16">
        <v>1100</v>
      </c>
    </row>
    <row r="214" spans="4:6">
      <c r="D214" s="16" t="s">
        <v>284</v>
      </c>
      <c r="F214" s="16">
        <v>2100</v>
      </c>
    </row>
    <row r="215" spans="4:6">
      <c r="D215" s="16" t="s">
        <v>285</v>
      </c>
      <c r="F215" s="16">
        <v>250</v>
      </c>
    </row>
    <row r="216" spans="4:6">
      <c r="D216" s="16" t="s">
        <v>286</v>
      </c>
      <c r="F216" s="16">
        <v>1500</v>
      </c>
    </row>
    <row r="217" spans="4:6">
      <c r="D217" s="16" t="s">
        <v>287</v>
      </c>
      <c r="F217" s="16">
        <v>200</v>
      </c>
    </row>
    <row r="219" spans="4:6">
      <c r="D219" s="16" t="s">
        <v>288</v>
      </c>
      <c r="E219" s="16" t="s">
        <v>289</v>
      </c>
      <c r="F219" s="16">
        <v>42</v>
      </c>
    </row>
    <row r="220" spans="4:6">
      <c r="D220" s="16" t="s">
        <v>290</v>
      </c>
      <c r="E220" s="16" t="s">
        <v>291</v>
      </c>
    </row>
    <row r="221" spans="4:6">
      <c r="D221" s="16" t="s">
        <v>292</v>
      </c>
      <c r="F221" s="16">
        <v>2</v>
      </c>
    </row>
  </sheetData>
  <mergeCells count="1">
    <mergeCell ref="C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Public Side Bid Tracker</vt:lpstr>
      <vt:lpstr>119488</vt:lpstr>
      <vt:lpstr>119409</vt:lpstr>
      <vt:lpstr>Sign Shop 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Napoleon Dunn</dc:creator>
  <cp:lastModifiedBy>Napoleon Dunn</cp:lastModifiedBy>
  <dcterms:created xsi:type="dcterms:W3CDTF">2024-01-29T17:09:34Z</dcterms:created>
  <dcterms:modified xsi:type="dcterms:W3CDTF">2024-06-10T04:49:47Z</dcterms:modified>
</cp:coreProperties>
</file>