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Enertrade\pages\Operaciones\plantillas\"/>
    </mc:Choice>
  </mc:AlternateContent>
  <xr:revisionPtr revIDLastSave="0" documentId="13_ncr:1_{472AC3A3-A163-4721-AE5A-9CF823942661}" xr6:coauthVersionLast="47" xr6:coauthVersionMax="47" xr10:uidLastSave="{00000000-0000-0000-0000-000000000000}"/>
  <bookViews>
    <workbookView xWindow="-110" yWindow="-110" windowWidth="38620" windowHeight="21220" tabRatio="663" xr2:uid="{00000000-000D-0000-FFFF-FFFF00000000}"/>
  </bookViews>
  <sheets>
    <sheet name="RESUMEN" sheetId="15" r:id="rId1"/>
    <sheet name="Resumen_ELEC" sheetId="13" r:id="rId2"/>
    <sheet name="ELECTRICIDAD 2022" sheetId="1" state="veryHidden" r:id="rId3"/>
    <sheet name="ELECTRICIDAD 2023" sheetId="14" state="veryHidden" r:id="rId4"/>
    <sheet name="Resumen_GAS" sheetId="12" r:id="rId5"/>
    <sheet name="INFO" sheetId="10" state="veryHidden" r:id="rId6"/>
  </sheets>
  <externalReferences>
    <externalReference r:id="rId7"/>
    <externalReference r:id="rId8"/>
    <externalReference r:id="rId9"/>
    <externalReference r:id="rId10"/>
  </externalReferences>
  <definedNames>
    <definedName name="Alquiler_repercutido" localSheetId="4">[1]desplegables!$C$3:$C$15</definedName>
    <definedName name="Alquiler_repercutido">[1]desplegables!$C$3:$C$15</definedName>
    <definedName name="CE_1" localSheetId="4">#REF!</definedName>
    <definedName name="CE_1">#REF!</definedName>
    <definedName name="CE_10" localSheetId="4">#REF!</definedName>
    <definedName name="CE_10">#REF!</definedName>
    <definedName name="CE_11" localSheetId="4">#REF!</definedName>
    <definedName name="CE_11">#REF!</definedName>
    <definedName name="CE_12" localSheetId="4">#REF!</definedName>
    <definedName name="CE_12">#REF!</definedName>
    <definedName name="CE_2" localSheetId="4">#REF!</definedName>
    <definedName name="CE_2">#REF!</definedName>
    <definedName name="CE_3" localSheetId="4">#REF!</definedName>
    <definedName name="CE_3">#REF!</definedName>
    <definedName name="CE_4" localSheetId="4">#REF!</definedName>
    <definedName name="CE_4">#REF!</definedName>
    <definedName name="CE_5" localSheetId="4">#REF!</definedName>
    <definedName name="CE_5">#REF!</definedName>
    <definedName name="CE_6" localSheetId="4">#REF!</definedName>
    <definedName name="CE_6">#REF!</definedName>
    <definedName name="CE_7" localSheetId="4">#REF!</definedName>
    <definedName name="CE_7">#REF!</definedName>
    <definedName name="CE_8" localSheetId="4">#REF!</definedName>
    <definedName name="CE_8">#REF!</definedName>
    <definedName name="CE_9" localSheetId="4">#REF!</definedName>
    <definedName name="CE_9">#REF!</definedName>
    <definedName name="CNAE" localSheetId="4">[2]desplegables!$P$3:$P$761</definedName>
    <definedName name="CNAE">[2]desplegables!$P$3:$P$761</definedName>
    <definedName name="DT_1" localSheetId="4">#REF!</definedName>
    <definedName name="DT_1">#REF!</definedName>
    <definedName name="DT_10" localSheetId="4">#REF!</definedName>
    <definedName name="DT_10">#REF!</definedName>
    <definedName name="DT_2" localSheetId="4">#REF!</definedName>
    <definedName name="DT_2">#REF!</definedName>
    <definedName name="DT_3" localSheetId="4">#REF!</definedName>
    <definedName name="DT_3">#REF!</definedName>
    <definedName name="DT_4" localSheetId="4">#REF!</definedName>
    <definedName name="DT_4">#REF!</definedName>
    <definedName name="DT_5" localSheetId="4">#REF!</definedName>
    <definedName name="DT_5">#REF!</definedName>
    <definedName name="DT_6" localSheetId="4">#REF!</definedName>
    <definedName name="DT_6">#REF!</definedName>
    <definedName name="DT_7" localSheetId="4">#REF!</definedName>
    <definedName name="DT_7">#REF!</definedName>
    <definedName name="DT_8" localSheetId="4">#REF!</definedName>
    <definedName name="DT_8">#REF!</definedName>
    <definedName name="DT_9" localSheetId="4">#REF!</definedName>
    <definedName name="DT_9">#REF!</definedName>
    <definedName name="facturación" localSheetId="4">[1]desplegables!$J$3:$J$6</definedName>
    <definedName name="facturación">[1]desplegables!$J$3:$J$6</definedName>
    <definedName name="Fax_G" localSheetId="4">#REF!</definedName>
    <definedName name="Fax_G">#REF!</definedName>
    <definedName name="Fecha" localSheetId="4">#REF!</definedName>
    <definedName name="Fecha">#REF!</definedName>
    <definedName name="forma_pago" localSheetId="4">[2]desplegables!$CM$3:$CM$4</definedName>
    <definedName name="forma_pago">[2]desplegables!$CM$3:$CM$4</definedName>
    <definedName name="gestor" localSheetId="4">[2]desplegables!$BJ$3:$BJ$13</definedName>
    <definedName name="gestor">[2]desplegables!$BJ$3:$BJ$13</definedName>
    <definedName name="gestores" localSheetId="4">[1]desplegables!$I$3:$I$29</definedName>
    <definedName name="gestores">[1]desplegables!$I$3:$I$29</definedName>
    <definedName name="Indice_Tarifa" localSheetId="4">IF('[3]Datos Generales'!A1048553="3.1",1,IF('[3]Datos Generales'!A1048553="6.1",2,IF('[3]Datos Generales'!A1048553="6.2",3,IF('[3]Datos Generales'!A1048553="6.3",4,5))))</definedName>
    <definedName name="Indice_Tarifa">IF('[3]Datos Generales'!A1048553="3.1",1,IF('[3]Datos Generales'!A1048553="6.1",2,IF('[3]Datos Generales'!A1048553="6.2",3,IF('[3]Datos Generales'!A1048553="6.3",4,5))))</definedName>
    <definedName name="Mail_G" localSheetId="4">#REF!</definedName>
    <definedName name="Mail_G">#REF!</definedName>
    <definedName name="Margen_GWh" localSheetId="4">'[3]Anexo Oferta'!$I$90/1000</definedName>
    <definedName name="Margen_GWh">'[3]Anexo Oferta'!$I$90/1000</definedName>
    <definedName name="Nivel_Tension" localSheetId="4">IF('[3]Datos Generales'!$C$28="3.1",1,IF('[3]Datos Generales'!$C$28="6.1",2,IF('[3]Datos Generales'!$C$28="6.2",3,IF('[3]Datos Generales'!$C$28="6.3",4,5))))</definedName>
    <definedName name="Nivel_Tension">IF('[3]Datos Generales'!$C$28="3.1",1,IF('[3]Datos Generales'!$C$28="6.1",2,IF('[3]Datos Generales'!$C$28="6.2",3,IF('[3]Datos Generales'!$C$28="6.3",4,5))))</definedName>
    <definedName name="NOM_1" localSheetId="4">#REF!</definedName>
    <definedName name="NOM_1">#REF!</definedName>
    <definedName name="NOM_10" localSheetId="4">#REF!</definedName>
    <definedName name="NOM_10">#REF!</definedName>
    <definedName name="NOM_11" localSheetId="4">#REF!</definedName>
    <definedName name="NOM_11">#REF!</definedName>
    <definedName name="NOM_12" localSheetId="4">#REF!</definedName>
    <definedName name="NOM_12">#REF!</definedName>
    <definedName name="NOM_2" localSheetId="4">#REF!</definedName>
    <definedName name="NOM_2">#REF!</definedName>
    <definedName name="NOM_3" localSheetId="4">#REF!</definedName>
    <definedName name="NOM_3">#REF!</definedName>
    <definedName name="NOM_4" localSheetId="4">#REF!</definedName>
    <definedName name="NOM_4">#REF!</definedName>
    <definedName name="NOM_5" localSheetId="4">#REF!</definedName>
    <definedName name="NOM_5">#REF!</definedName>
    <definedName name="NOM_6" localSheetId="4">#REF!</definedName>
    <definedName name="NOM_6">#REF!</definedName>
    <definedName name="NOM_7" localSheetId="4">#REF!</definedName>
    <definedName name="NOM_7">#REF!</definedName>
    <definedName name="NOM_8" localSheetId="4">#REF!</definedName>
    <definedName name="NOM_8">#REF!</definedName>
    <definedName name="NOM_9" localSheetId="4">#REF!</definedName>
    <definedName name="NOM_9">#REF!</definedName>
    <definedName name="Nombre_G" localSheetId="4">#REF!</definedName>
    <definedName name="Nombre_G">#REF!</definedName>
    <definedName name="Numero_ID" localSheetId="4">#REF!</definedName>
    <definedName name="Numero_ID">#REF!</definedName>
    <definedName name="pais" localSheetId="4">[2]desplegables!$M$3:$M$210</definedName>
    <definedName name="pais">[2]desplegables!$M$3:$M$210</definedName>
    <definedName name="plazo_pago" localSheetId="4">[2]desplegables!$CP$3:$CP$26</definedName>
    <definedName name="plazo_pago">[2]desplegables!$CP$3:$CP$26</definedName>
    <definedName name="Pot_Norm_1" localSheetId="4">[2]desplegables!$V$3:$V$10</definedName>
    <definedName name="Pot_Norm_1">[2]desplegables!$V$3:$V$10</definedName>
    <definedName name="precio" localSheetId="4">[1]desplegables!$A$3:$A$16</definedName>
    <definedName name="precio">[1]desplegables!$A$3:$A$16</definedName>
    <definedName name="Prima_desvíos_Pool" localSheetId="4">'[4]Tablas de Precios (ML)'!$D$44</definedName>
    <definedName name="Prima_desvíos_Pool">'[4]Tablas de Precios (ML)'!$D$44</definedName>
    <definedName name="RC_10" localSheetId="4">#REF!</definedName>
    <definedName name="RC_10">#REF!</definedName>
    <definedName name="RC_4" localSheetId="4">#REF!</definedName>
    <definedName name="RC_4">#REF!</definedName>
    <definedName name="RC_6" localSheetId="4">#REF!</definedName>
    <definedName name="RC_6">#REF!</definedName>
    <definedName name="RC_8" localSheetId="4">#REF!</definedName>
    <definedName name="RC_8">#REF!</definedName>
    <definedName name="region" localSheetId="4">[2]desplegables!$G$3:$G$54</definedName>
    <definedName name="region">[2]desplegables!$G$3:$G$54</definedName>
    <definedName name="respuesta" localSheetId="4">[1]desplegables!$D$3:$D$11</definedName>
    <definedName name="respuesta">[1]desplegables!$D$3:$D$11</definedName>
    <definedName name="RP_10" localSheetId="4">#REF!</definedName>
    <definedName name="RP_10">#REF!</definedName>
    <definedName name="RP_8" localSheetId="4">#REF!</definedName>
    <definedName name="RP_8">#REF!</definedName>
    <definedName name="sector_actividad" localSheetId="4">[2]desplegables!$CG$3:$CG$22</definedName>
    <definedName name="sector_actividad">[2]desplegables!$CG$3:$CG$22</definedName>
    <definedName name="si_no" localSheetId="4">[2]desplegables!$AO$3:$AO$4</definedName>
    <definedName name="si_no">[2]desplegables!$AO$3:$AO$4</definedName>
    <definedName name="Sobrecostes_OMEL" localSheetId="4">'[4]Tablas de Precios (ML)'!$D$46</definedName>
    <definedName name="Sobrecostes_OMEL">'[4]Tablas de Precios (ML)'!$D$46</definedName>
    <definedName name="telemedida" localSheetId="4">[2]desplegables!$AL$3:$AL$4</definedName>
    <definedName name="telemedida">[2]desplegables!$AL$3:$AL$4</definedName>
    <definedName name="Texto2" localSheetId="4">#REF!</definedName>
    <definedName name="Texto2">#REF!</definedName>
    <definedName name="tipo_canal" localSheetId="4">[2]desplegables!$BM$3:$BM$13</definedName>
    <definedName name="tipo_canal">[2]desplegables!$BM$3:$BM$13</definedName>
    <definedName name="tipo_cogenerador" localSheetId="4">[2]desplegables!$BA$3:$BA$4</definedName>
    <definedName name="tipo_cogenerador">[2]desplegables!$BA$3:$BA$4</definedName>
    <definedName name="Tipo_de_cliente" localSheetId="4">[1]desplegables!$B$3:$B$15</definedName>
    <definedName name="Tipo_de_cliente">[1]desplegables!$B$3:$B$15</definedName>
    <definedName name="tipo_de_medida" localSheetId="4">[1]desplegables!$F$3:$F$16</definedName>
    <definedName name="tipo_de_medida">[1]desplegables!$F$3:$F$16</definedName>
    <definedName name="tipo_de_proceso" localSheetId="4">[1]desplegables!$E$3:$E$12</definedName>
    <definedName name="tipo_de_proceso">[1]desplegables!$E$3:$E$12</definedName>
    <definedName name="tipo_de_tarifas_elec" localSheetId="4">[2]desplegables!$S$3:$S$15</definedName>
    <definedName name="tipo_de_tarifas_elec">[2]desplegables!$S$3:$S$15</definedName>
    <definedName name="tipo_de_via" localSheetId="4">[2]desplegables!$D$3:$D$68</definedName>
    <definedName name="tipo_de_via">[2]desplegables!$D$3:$D$68</definedName>
    <definedName name="tipo_facturacion" localSheetId="4">[2]desplegables!$CS$3:$CS$5</definedName>
    <definedName name="tipo_facturacion">[2]desplegables!$CS$3:$CS$5</definedName>
    <definedName name="tipo_medida" localSheetId="4">[2]desplegables!$AG$3:$AG$7</definedName>
    <definedName name="tipo_medida">[2]desplegables!$AG$3:$AG$7</definedName>
    <definedName name="tipo_producto" localSheetId="4">[2]desplegables!$CY$3:$CY$18</definedName>
    <definedName name="tipo_producto">[2]desplegables!$CY$3:$CY$18</definedName>
    <definedName name="tipo_reclamacion_impagos" localSheetId="4">[2]desplegables!$CV$3:$CV$9</definedName>
    <definedName name="tipo_reclamacion_impagos">[2]desplegables!$CV$3:$CV$9</definedName>
    <definedName name="Tlfno_G" localSheetId="4">#REF!</definedName>
    <definedName name="Tlfno_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3" l="1"/>
  <c r="B19" i="12"/>
  <c r="A6" i="15"/>
  <c r="A5" i="15"/>
  <c r="A4" i="15"/>
  <c r="C6" i="13" s="1"/>
  <c r="D4" i="13" s="1"/>
  <c r="B4" i="15" l="1"/>
  <c r="B7" i="12"/>
  <c r="B11" i="12"/>
  <c r="B13" i="12"/>
  <c r="B17" i="12"/>
  <c r="B9" i="12"/>
  <c r="B14" i="12"/>
  <c r="B10" i="12"/>
  <c r="B15" i="12"/>
  <c r="B8" i="12"/>
  <c r="B12" i="12"/>
  <c r="B16" i="12"/>
  <c r="B6" i="12"/>
  <c r="C31" i="13"/>
  <c r="C27" i="13"/>
  <c r="C34" i="13"/>
  <c r="C30" i="13"/>
  <c r="C26" i="13"/>
  <c r="C33" i="13"/>
  <c r="C29" i="13"/>
  <c r="C25" i="13"/>
  <c r="C32" i="13"/>
  <c r="C28" i="13"/>
  <c r="C24" i="13"/>
  <c r="C23" i="13"/>
  <c r="D21" i="13" s="1"/>
  <c r="C16" i="13"/>
  <c r="C8" i="13"/>
  <c r="C14" i="13"/>
  <c r="C10" i="13"/>
  <c r="C17" i="13"/>
  <c r="C13" i="13"/>
  <c r="C9" i="13"/>
  <c r="C12" i="13"/>
  <c r="C15" i="13"/>
  <c r="C11" i="13"/>
  <c r="C7" i="13"/>
  <c r="N21" i="13"/>
  <c r="T35" i="13"/>
  <c r="F5" i="15" s="1"/>
  <c r="T18" i="13"/>
  <c r="F4" i="15" s="1"/>
  <c r="I81" i="14"/>
  <c r="I82" i="14" s="1"/>
  <c r="H81" i="14"/>
  <c r="H82" i="14" s="1"/>
  <c r="G81" i="14"/>
  <c r="G82" i="14" s="1"/>
  <c r="F81" i="14"/>
  <c r="F82" i="14" s="1"/>
  <c r="E81" i="14"/>
  <c r="E82" i="14" s="1"/>
  <c r="D81" i="14"/>
  <c r="D82" i="14" s="1"/>
  <c r="G76" i="14"/>
  <c r="H61" i="14"/>
  <c r="G61" i="14"/>
  <c r="F61" i="14"/>
  <c r="E61" i="14"/>
  <c r="D61" i="14"/>
  <c r="C61" i="14"/>
  <c r="H60" i="14"/>
  <c r="G60" i="14"/>
  <c r="F60" i="14"/>
  <c r="E60" i="14"/>
  <c r="D60" i="14"/>
  <c r="C60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H51" i="14"/>
  <c r="G51" i="14"/>
  <c r="F51" i="14"/>
  <c r="E51" i="14"/>
  <c r="D51" i="14"/>
  <c r="C51" i="14"/>
  <c r="H50" i="14"/>
  <c r="G50" i="14"/>
  <c r="F50" i="14"/>
  <c r="E50" i="14"/>
  <c r="D50" i="14"/>
  <c r="C50" i="14"/>
  <c r="H47" i="14"/>
  <c r="G47" i="14"/>
  <c r="F47" i="14"/>
  <c r="E47" i="14"/>
  <c r="D47" i="14"/>
  <c r="C47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H38" i="14"/>
  <c r="G38" i="14"/>
  <c r="F38" i="14"/>
  <c r="E38" i="14"/>
  <c r="D38" i="14"/>
  <c r="C38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I19" i="14"/>
  <c r="E34" i="13" s="1"/>
  <c r="I18" i="14"/>
  <c r="E33" i="13" s="1"/>
  <c r="I17" i="14"/>
  <c r="E32" i="13" s="1"/>
  <c r="I16" i="14"/>
  <c r="E31" i="13" s="1"/>
  <c r="I15" i="14"/>
  <c r="E30" i="13" s="1"/>
  <c r="I14" i="14"/>
  <c r="E29" i="13" s="1"/>
  <c r="I13" i="14"/>
  <c r="E28" i="13" s="1"/>
  <c r="I12" i="14"/>
  <c r="E27" i="13" s="1"/>
  <c r="I11" i="14"/>
  <c r="E26" i="13" s="1"/>
  <c r="I10" i="14"/>
  <c r="E25" i="13" s="1"/>
  <c r="I9" i="14"/>
  <c r="E24" i="13" s="1"/>
  <c r="I8" i="14"/>
  <c r="E23" i="13" s="1"/>
  <c r="H5" i="14"/>
  <c r="G5" i="14"/>
  <c r="F5" i="14"/>
  <c r="E5" i="14"/>
  <c r="D5" i="14"/>
  <c r="C5" i="14"/>
  <c r="N34" i="13"/>
  <c r="Q34" i="13" s="1"/>
  <c r="N33" i="13"/>
  <c r="Q33" i="13" s="1"/>
  <c r="N32" i="13"/>
  <c r="Q32" i="13" s="1"/>
  <c r="L46" i="10" s="1"/>
  <c r="N31" i="13"/>
  <c r="Q31" i="13" s="1"/>
  <c r="N30" i="13"/>
  <c r="Q30" i="13" s="1"/>
  <c r="L44" i="10" s="1"/>
  <c r="N29" i="13"/>
  <c r="Q29" i="13" s="1"/>
  <c r="L43" i="10" s="1"/>
  <c r="N28" i="13"/>
  <c r="Q28" i="13" s="1"/>
  <c r="L42" i="10" s="1"/>
  <c r="N27" i="13"/>
  <c r="Q27" i="13" s="1"/>
  <c r="L41" i="10" s="1"/>
  <c r="N26" i="13"/>
  <c r="Q26" i="13" s="1"/>
  <c r="L40" i="10" s="1"/>
  <c r="N25" i="13"/>
  <c r="Q25" i="13" s="1"/>
  <c r="L39" i="10" s="1"/>
  <c r="N24" i="13"/>
  <c r="Q24" i="13" s="1"/>
  <c r="L38" i="10" s="1"/>
  <c r="N23" i="13"/>
  <c r="Q23" i="13" s="1"/>
  <c r="L37" i="10" s="1"/>
  <c r="D18" i="12" l="1"/>
  <c r="I5" i="12"/>
  <c r="B5" i="15"/>
  <c r="B6" i="15"/>
  <c r="L45" i="10"/>
  <c r="Q45" i="10" s="1"/>
  <c r="D30" i="14" s="1"/>
  <c r="U42" i="10"/>
  <c r="H27" i="14" s="1"/>
  <c r="L48" i="10"/>
  <c r="T48" i="10" s="1"/>
  <c r="G33" i="14" s="1"/>
  <c r="U43" i="10"/>
  <c r="H28" i="14" s="1"/>
  <c r="L47" i="10"/>
  <c r="T47" i="10" s="1"/>
  <c r="G32" i="14" s="1"/>
  <c r="Q44" i="10"/>
  <c r="D29" i="14" s="1"/>
  <c r="S38" i="10"/>
  <c r="F23" i="14" s="1"/>
  <c r="S46" i="10"/>
  <c r="F31" i="14" s="1"/>
  <c r="R42" i="10"/>
  <c r="E27" i="14" s="1"/>
  <c r="P43" i="10"/>
  <c r="C28" i="14" s="1"/>
  <c r="S43" i="10"/>
  <c r="F28" i="14" s="1"/>
  <c r="T44" i="10"/>
  <c r="G29" i="14" s="1"/>
  <c r="P42" i="10"/>
  <c r="C27" i="14" s="1"/>
  <c r="R44" i="10"/>
  <c r="E29" i="14" s="1"/>
  <c r="Q43" i="10"/>
  <c r="D28" i="14" s="1"/>
  <c r="T38" i="10"/>
  <c r="G23" i="14" s="1"/>
  <c r="T43" i="10"/>
  <c r="G28" i="14" s="1"/>
  <c r="T39" i="10"/>
  <c r="G24" i="14" s="1"/>
  <c r="S39" i="10"/>
  <c r="F24" i="14" s="1"/>
  <c r="R39" i="10"/>
  <c r="E24" i="14" s="1"/>
  <c r="Q39" i="10"/>
  <c r="D24" i="14" s="1"/>
  <c r="P39" i="10"/>
  <c r="C24" i="14" s="1"/>
  <c r="U39" i="10"/>
  <c r="H24" i="14" s="1"/>
  <c r="U40" i="10"/>
  <c r="H25" i="14" s="1"/>
  <c r="P40" i="10"/>
  <c r="C25" i="14" s="1"/>
  <c r="T40" i="10"/>
  <c r="G25" i="14" s="1"/>
  <c r="S40" i="10"/>
  <c r="F25" i="14" s="1"/>
  <c r="R40" i="10"/>
  <c r="E25" i="14" s="1"/>
  <c r="Q40" i="10"/>
  <c r="D25" i="14" s="1"/>
  <c r="R37" i="10"/>
  <c r="E22" i="14" s="1"/>
  <c r="U37" i="10"/>
  <c r="H22" i="14" s="1"/>
  <c r="Q37" i="10"/>
  <c r="D22" i="14" s="1"/>
  <c r="P37" i="10"/>
  <c r="C22" i="14" s="1"/>
  <c r="T37" i="10"/>
  <c r="G22" i="14" s="1"/>
  <c r="S37" i="10"/>
  <c r="F22" i="14" s="1"/>
  <c r="U38" i="10"/>
  <c r="H23" i="14" s="1"/>
  <c r="Q42" i="10"/>
  <c r="D27" i="14" s="1"/>
  <c r="R43" i="10"/>
  <c r="E28" i="14" s="1"/>
  <c r="S44" i="10"/>
  <c r="F29" i="14" s="1"/>
  <c r="S42" i="10"/>
  <c r="F27" i="14" s="1"/>
  <c r="U44" i="10"/>
  <c r="H29" i="14" s="1"/>
  <c r="P38" i="10"/>
  <c r="C23" i="14" s="1"/>
  <c r="T42" i="10"/>
  <c r="G27" i="14" s="1"/>
  <c r="Q38" i="10"/>
  <c r="D23" i="14" s="1"/>
  <c r="R38" i="10"/>
  <c r="E23" i="14" s="1"/>
  <c r="P44" i="10"/>
  <c r="C29" i="14" s="1"/>
  <c r="D68" i="14"/>
  <c r="D71" i="14"/>
  <c r="D75" i="14"/>
  <c r="F67" i="14"/>
  <c r="F75" i="14"/>
  <c r="D70" i="14"/>
  <c r="F66" i="14"/>
  <c r="I5" i="14"/>
  <c r="E78" i="14" s="1"/>
  <c r="I44" i="14"/>
  <c r="D66" i="14"/>
  <c r="F71" i="14"/>
  <c r="F74" i="14"/>
  <c r="I38" i="14"/>
  <c r="I46" i="14"/>
  <c r="I37" i="14"/>
  <c r="I40" i="14"/>
  <c r="I39" i="14"/>
  <c r="I47" i="14"/>
  <c r="D73" i="14"/>
  <c r="F65" i="14"/>
  <c r="F69" i="14"/>
  <c r="F70" i="14"/>
  <c r="F73" i="14"/>
  <c r="D64" i="14"/>
  <c r="D69" i="14"/>
  <c r="D65" i="14"/>
  <c r="D72" i="14"/>
  <c r="D74" i="14"/>
  <c r="F64" i="14"/>
  <c r="F68" i="14"/>
  <c r="F72" i="14"/>
  <c r="I42" i="14"/>
  <c r="D67" i="14"/>
  <c r="I45" i="14"/>
  <c r="I36" i="14"/>
  <c r="I43" i="14"/>
  <c r="I41" i="14"/>
  <c r="Q47" i="10" l="1"/>
  <c r="D32" i="14" s="1"/>
  <c r="R47" i="10"/>
  <c r="E32" i="14" s="1"/>
  <c r="U47" i="10"/>
  <c r="H32" i="14" s="1"/>
  <c r="S47" i="10"/>
  <c r="F32" i="14" s="1"/>
  <c r="P47" i="10"/>
  <c r="C32" i="14" s="1"/>
  <c r="P48" i="10"/>
  <c r="C33" i="14" s="1"/>
  <c r="U48" i="10"/>
  <c r="H33" i="14" s="1"/>
  <c r="T45" i="10"/>
  <c r="G30" i="14" s="1"/>
  <c r="P45" i="10"/>
  <c r="C30" i="14" s="1"/>
  <c r="R45" i="10"/>
  <c r="E30" i="14" s="1"/>
  <c r="U45" i="10"/>
  <c r="H30" i="14" s="1"/>
  <c r="S45" i="10"/>
  <c r="F30" i="14" s="1"/>
  <c r="S48" i="10"/>
  <c r="F33" i="14" s="1"/>
  <c r="R48" i="10"/>
  <c r="E33" i="14" s="1"/>
  <c r="Q48" i="10"/>
  <c r="D33" i="14" s="1"/>
  <c r="Q46" i="10"/>
  <c r="D31" i="14" s="1"/>
  <c r="U46" i="10"/>
  <c r="H31" i="14" s="1"/>
  <c r="R46" i="10"/>
  <c r="E31" i="14" s="1"/>
  <c r="P46" i="10"/>
  <c r="C31" i="14" s="1"/>
  <c r="T46" i="10"/>
  <c r="G31" i="14" s="1"/>
  <c r="D76" i="14"/>
  <c r="F76" i="14"/>
  <c r="G7" i="12" l="1"/>
  <c r="G8" i="12"/>
  <c r="G9" i="12"/>
  <c r="G10" i="12"/>
  <c r="G11" i="12"/>
  <c r="G12" i="12"/>
  <c r="G13" i="12"/>
  <c r="G14" i="12"/>
  <c r="G15" i="12"/>
  <c r="G16" i="12"/>
  <c r="G17" i="12"/>
  <c r="G6" i="12"/>
  <c r="N7" i="13" l="1"/>
  <c r="N8" i="13"/>
  <c r="N9" i="13"/>
  <c r="N10" i="13"/>
  <c r="N11" i="13"/>
  <c r="N12" i="13"/>
  <c r="N13" i="13"/>
  <c r="N14" i="13"/>
  <c r="N15" i="13"/>
  <c r="N16" i="13"/>
  <c r="N17" i="13"/>
  <c r="N6" i="13"/>
  <c r="Q6" i="13" l="1"/>
  <c r="Q8" i="13"/>
  <c r="Q15" i="13"/>
  <c r="Q7" i="13"/>
  <c r="Q17" i="13"/>
  <c r="Q16" i="13"/>
  <c r="Q14" i="13"/>
  <c r="Q13" i="13"/>
  <c r="Q12" i="13"/>
  <c r="Q11" i="13"/>
  <c r="Q10" i="13"/>
  <c r="Q9" i="13"/>
  <c r="E81" i="1"/>
  <c r="E82" i="1" s="1"/>
  <c r="F81" i="1"/>
  <c r="F82" i="1" s="1"/>
  <c r="G81" i="1"/>
  <c r="G82" i="1" s="1"/>
  <c r="H81" i="1"/>
  <c r="H82" i="1" s="1"/>
  <c r="I81" i="1"/>
  <c r="D81" i="1"/>
  <c r="D82" i="1" s="1"/>
  <c r="L13" i="10" l="1"/>
  <c r="Q13" i="10" s="1"/>
  <c r="L21" i="10"/>
  <c r="Q21" i="10" s="1"/>
  <c r="L16" i="10"/>
  <c r="U16" i="10" s="1"/>
  <c r="L17" i="10"/>
  <c r="Q17" i="10" s="1"/>
  <c r="L18" i="10"/>
  <c r="P18" i="10" s="1"/>
  <c r="L22" i="10"/>
  <c r="P22" i="10" s="1"/>
  <c r="L14" i="10"/>
  <c r="Q14" i="10" s="1"/>
  <c r="L15" i="10"/>
  <c r="Q15" i="10" s="1"/>
  <c r="L19" i="10"/>
  <c r="T19" i="10" s="1"/>
  <c r="L20" i="10"/>
  <c r="P20" i="10" s="1"/>
  <c r="L23" i="10"/>
  <c r="T23" i="10" s="1"/>
  <c r="L12" i="10"/>
  <c r="P12" i="10" s="1"/>
  <c r="C22" i="1" s="1"/>
  <c r="I22" i="14"/>
  <c r="I32" i="14"/>
  <c r="C74" i="14"/>
  <c r="E74" i="14" s="1"/>
  <c r="C70" i="14"/>
  <c r="E70" i="14" s="1"/>
  <c r="I28" i="14"/>
  <c r="I24" i="14"/>
  <c r="C66" i="14"/>
  <c r="E66" i="14" s="1"/>
  <c r="I33" i="14"/>
  <c r="C75" i="14"/>
  <c r="E75" i="14" s="1"/>
  <c r="C71" i="14"/>
  <c r="E71" i="14" s="1"/>
  <c r="I29" i="14"/>
  <c r="C67" i="14"/>
  <c r="E67" i="14" s="1"/>
  <c r="I25" i="14"/>
  <c r="I30" i="14"/>
  <c r="C72" i="14"/>
  <c r="E72" i="14" s="1"/>
  <c r="I31" i="14"/>
  <c r="C73" i="14"/>
  <c r="E73" i="14" s="1"/>
  <c r="C69" i="14"/>
  <c r="E69" i="14" s="1"/>
  <c r="I27" i="14"/>
  <c r="I23" i="14"/>
  <c r="C65" i="14"/>
  <c r="E65" i="14" s="1"/>
  <c r="I82" i="1"/>
  <c r="K17" i="12"/>
  <c r="L17" i="12" s="1"/>
  <c r="K16" i="12"/>
  <c r="L16" i="12" s="1"/>
  <c r="K15" i="12"/>
  <c r="L15" i="12" s="1"/>
  <c r="K14" i="12"/>
  <c r="L14" i="12" s="1"/>
  <c r="K13" i="12"/>
  <c r="L13" i="12" s="1"/>
  <c r="K12" i="12"/>
  <c r="L12" i="12" s="1"/>
  <c r="K11" i="12"/>
  <c r="L11" i="12" s="1"/>
  <c r="K10" i="12"/>
  <c r="L10" i="12" s="1"/>
  <c r="K9" i="12"/>
  <c r="L9" i="12" s="1"/>
  <c r="K8" i="12"/>
  <c r="L8" i="12" s="1"/>
  <c r="K7" i="12"/>
  <c r="L7" i="12" s="1"/>
  <c r="K6" i="12"/>
  <c r="L6" i="12" s="1"/>
  <c r="E17" i="12"/>
  <c r="E16" i="12"/>
  <c r="E15" i="12"/>
  <c r="E14" i="12"/>
  <c r="E13" i="12"/>
  <c r="E12" i="12"/>
  <c r="E11" i="12"/>
  <c r="E10" i="12"/>
  <c r="E9" i="12"/>
  <c r="E8" i="12"/>
  <c r="E7" i="12"/>
  <c r="E6" i="12"/>
  <c r="T18" i="10" l="1"/>
  <c r="S16" i="10"/>
  <c r="Q18" i="10"/>
  <c r="P16" i="10"/>
  <c r="S17" i="10"/>
  <c r="R21" i="10"/>
  <c r="S21" i="10"/>
  <c r="U17" i="10"/>
  <c r="Q16" i="10"/>
  <c r="R19" i="10"/>
  <c r="T17" i="10"/>
  <c r="P17" i="10"/>
  <c r="R17" i="10"/>
  <c r="R16" i="10"/>
  <c r="S15" i="10"/>
  <c r="T16" i="10"/>
  <c r="P19" i="10"/>
  <c r="S13" i="10"/>
  <c r="U14" i="10"/>
  <c r="S22" i="10"/>
  <c r="Q19" i="10"/>
  <c r="R18" i="10"/>
  <c r="S19" i="10"/>
  <c r="R22" i="10"/>
  <c r="T22" i="10"/>
  <c r="T13" i="10"/>
  <c r="P13" i="10"/>
  <c r="Q20" i="10"/>
  <c r="U22" i="10"/>
  <c r="U13" i="10"/>
  <c r="S14" i="10"/>
  <c r="R20" i="10"/>
  <c r="T20" i="10"/>
  <c r="T14" i="10"/>
  <c r="U20" i="10"/>
  <c r="R13" i="10"/>
  <c r="R14" i="10"/>
  <c r="P14" i="10"/>
  <c r="U19" i="10"/>
  <c r="R23" i="10"/>
  <c r="T15" i="10"/>
  <c r="T21" i="10"/>
  <c r="U18" i="10"/>
  <c r="S23" i="10"/>
  <c r="S18" i="10"/>
  <c r="S20" i="10"/>
  <c r="Q22" i="10"/>
  <c r="P15" i="10"/>
  <c r="U21" i="10"/>
  <c r="U23" i="10"/>
  <c r="R15" i="10"/>
  <c r="U15" i="10"/>
  <c r="Q23" i="10"/>
  <c r="P21" i="10"/>
  <c r="P23" i="10"/>
  <c r="U12" i="10"/>
  <c r="R12" i="10"/>
  <c r="Q12" i="10"/>
  <c r="S12" i="10"/>
  <c r="T12" i="10"/>
  <c r="C64" i="14"/>
  <c r="H66" i="14"/>
  <c r="I66" i="14" s="1"/>
  <c r="H65" i="14"/>
  <c r="I65" i="14" s="1"/>
  <c r="H69" i="14"/>
  <c r="I69" i="14" s="1"/>
  <c r="H67" i="14"/>
  <c r="I67" i="14" s="1"/>
  <c r="H70" i="14"/>
  <c r="I70" i="14" s="1"/>
  <c r="H73" i="14"/>
  <c r="I73" i="14" s="1"/>
  <c r="H74" i="14"/>
  <c r="I74" i="14" s="1"/>
  <c r="H71" i="14"/>
  <c r="I71" i="14" s="1"/>
  <c r="H72" i="14"/>
  <c r="I72" i="14" s="1"/>
  <c r="H75" i="14"/>
  <c r="I75" i="14" s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J73" i="14" l="1"/>
  <c r="F32" i="13"/>
  <c r="U32" i="13" s="1"/>
  <c r="J74" i="14"/>
  <c r="F33" i="13"/>
  <c r="U33" i="13" s="1"/>
  <c r="J70" i="14"/>
  <c r="F29" i="13"/>
  <c r="U29" i="13" s="1"/>
  <c r="J67" i="14"/>
  <c r="F26" i="13"/>
  <c r="U26" i="13" s="1"/>
  <c r="J69" i="14"/>
  <c r="F28" i="13"/>
  <c r="U28" i="13" s="1"/>
  <c r="J75" i="14"/>
  <c r="F34" i="13"/>
  <c r="U34" i="13" s="1"/>
  <c r="J65" i="14"/>
  <c r="F24" i="13"/>
  <c r="U24" i="13" s="1"/>
  <c r="J72" i="14"/>
  <c r="F31" i="13"/>
  <c r="U31" i="13" s="1"/>
  <c r="J66" i="14"/>
  <c r="F25" i="13"/>
  <c r="U25" i="13" s="1"/>
  <c r="J71" i="14"/>
  <c r="F30" i="13"/>
  <c r="U30" i="13" s="1"/>
  <c r="E64" i="14"/>
  <c r="H64" i="14" s="1"/>
  <c r="D64" i="1"/>
  <c r="F31" i="1"/>
  <c r="H31" i="1"/>
  <c r="E31" i="1"/>
  <c r="G31" i="1"/>
  <c r="C31" i="1"/>
  <c r="D31" i="1"/>
  <c r="F23" i="1"/>
  <c r="H23" i="1"/>
  <c r="C23" i="1"/>
  <c r="G23" i="1"/>
  <c r="D23" i="1"/>
  <c r="E23" i="1"/>
  <c r="H24" i="1"/>
  <c r="F24" i="1"/>
  <c r="G24" i="1"/>
  <c r="C24" i="1"/>
  <c r="D24" i="1"/>
  <c r="E24" i="1"/>
  <c r="D25" i="1"/>
  <c r="H25" i="1"/>
  <c r="C25" i="1"/>
  <c r="G25" i="1"/>
  <c r="E25" i="1"/>
  <c r="F25" i="1"/>
  <c r="H28" i="1"/>
  <c r="F28" i="1"/>
  <c r="C28" i="1"/>
  <c r="D28" i="1"/>
  <c r="E28" i="1"/>
  <c r="G28" i="1"/>
  <c r="G22" i="1"/>
  <c r="D22" i="1"/>
  <c r="F22" i="1"/>
  <c r="H22" i="1"/>
  <c r="E22" i="1"/>
  <c r="I64" i="14" l="1"/>
  <c r="C33" i="1"/>
  <c r="D33" i="1"/>
  <c r="G33" i="1"/>
  <c r="H33" i="1"/>
  <c r="E33" i="1"/>
  <c r="F33" i="1"/>
  <c r="H32" i="1"/>
  <c r="F32" i="1"/>
  <c r="C32" i="1"/>
  <c r="D32" i="1"/>
  <c r="E32" i="1"/>
  <c r="G32" i="1"/>
  <c r="D26" i="1"/>
  <c r="E26" i="1"/>
  <c r="F26" i="1"/>
  <c r="C26" i="1"/>
  <c r="G26" i="1"/>
  <c r="H26" i="1"/>
  <c r="C29" i="1"/>
  <c r="D29" i="1"/>
  <c r="G29" i="1"/>
  <c r="H29" i="1"/>
  <c r="E29" i="1"/>
  <c r="F29" i="1"/>
  <c r="H18" i="12"/>
  <c r="F23" i="13" l="1"/>
  <c r="J64" i="14"/>
  <c r="L66" i="14" s="1"/>
  <c r="L25" i="10"/>
  <c r="F27" i="1"/>
  <c r="H27" i="1"/>
  <c r="C27" i="1"/>
  <c r="E27" i="1"/>
  <c r="G27" i="1"/>
  <c r="D27" i="1"/>
  <c r="D30" i="1"/>
  <c r="E30" i="1"/>
  <c r="F30" i="1"/>
  <c r="C30" i="1"/>
  <c r="G30" i="1"/>
  <c r="H30" i="1"/>
  <c r="K18" i="12"/>
  <c r="I18" i="12"/>
  <c r="D6" i="15" s="1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R18" i="12" l="1"/>
  <c r="S18" i="12"/>
  <c r="U23" i="13"/>
  <c r="O18" i="12"/>
  <c r="L18" i="12"/>
  <c r="N18" i="12" l="1"/>
  <c r="M18" i="12"/>
  <c r="J9" i="12"/>
  <c r="P9" i="12" s="1"/>
  <c r="U9" i="12" s="1"/>
  <c r="J12" i="12"/>
  <c r="P12" i="12" s="1"/>
  <c r="U12" i="12" s="1"/>
  <c r="J11" i="12"/>
  <c r="P11" i="12" s="1"/>
  <c r="U11" i="12" s="1"/>
  <c r="J15" i="12"/>
  <c r="P15" i="12" s="1"/>
  <c r="U15" i="12" s="1"/>
  <c r="J13" i="12"/>
  <c r="P13" i="12" s="1"/>
  <c r="U13" i="12" s="1"/>
  <c r="J8" i="12"/>
  <c r="P8" i="12" s="1"/>
  <c r="U8" i="12" s="1"/>
  <c r="J16" i="12"/>
  <c r="P16" i="12" s="1"/>
  <c r="U16" i="12" s="1"/>
  <c r="J10" i="12"/>
  <c r="P10" i="12" s="1"/>
  <c r="U10" i="12" s="1"/>
  <c r="J14" i="12"/>
  <c r="P14" i="12" s="1"/>
  <c r="U14" i="12" s="1"/>
  <c r="J7" i="12"/>
  <c r="P7" i="12" s="1"/>
  <c r="U7" i="12" s="1"/>
  <c r="J17" i="12"/>
  <c r="P17" i="12" s="1"/>
  <c r="U17" i="12" s="1"/>
  <c r="J6" i="12"/>
  <c r="P6" i="12" s="1"/>
  <c r="U6" i="12" s="1"/>
  <c r="Q13" i="12" l="1"/>
  <c r="Q7" i="12"/>
  <c r="Q10" i="12"/>
  <c r="Q8" i="12"/>
  <c r="Q9" i="12"/>
  <c r="Q14" i="12"/>
  <c r="Q16" i="12"/>
  <c r="Q15" i="12"/>
  <c r="Q11" i="12"/>
  <c r="Q12" i="12"/>
  <c r="Q6" i="12"/>
  <c r="Q17" i="12"/>
  <c r="J18" i="12"/>
  <c r="P18" i="12"/>
  <c r="E6" i="15" s="1"/>
  <c r="T18" i="12" l="1"/>
  <c r="F6" i="15" s="1"/>
  <c r="I6" i="15" s="1"/>
  <c r="U18" i="12"/>
  <c r="G6" i="15" s="1"/>
  <c r="Q18" i="12"/>
  <c r="G18" i="12"/>
  <c r="C5" i="1" l="1"/>
  <c r="I19" i="1"/>
  <c r="I18" i="1"/>
  <c r="G33" i="13" s="1"/>
  <c r="I17" i="1"/>
  <c r="G32" i="13" s="1"/>
  <c r="I16" i="1"/>
  <c r="I15" i="1"/>
  <c r="I14" i="1"/>
  <c r="I13" i="1"/>
  <c r="I12" i="1"/>
  <c r="I11" i="1"/>
  <c r="I10" i="1"/>
  <c r="I9" i="1"/>
  <c r="I8" i="1"/>
  <c r="H5" i="1"/>
  <c r="G5" i="1"/>
  <c r="F5" i="1"/>
  <c r="E5" i="1"/>
  <c r="D5" i="1"/>
  <c r="G76" i="1"/>
  <c r="E6" i="13" l="1"/>
  <c r="I40" i="1"/>
  <c r="E10" i="13"/>
  <c r="I45" i="1"/>
  <c r="E15" i="13"/>
  <c r="I37" i="1"/>
  <c r="E7" i="13"/>
  <c r="I39" i="1"/>
  <c r="E9" i="13"/>
  <c r="I41" i="1"/>
  <c r="E11" i="13"/>
  <c r="I43" i="1"/>
  <c r="E13" i="13"/>
  <c r="I47" i="1"/>
  <c r="E17" i="13"/>
  <c r="I38" i="1"/>
  <c r="E8" i="13"/>
  <c r="I42" i="1"/>
  <c r="E12" i="13"/>
  <c r="I44" i="1"/>
  <c r="E14" i="13"/>
  <c r="I46" i="1"/>
  <c r="E16" i="13"/>
  <c r="I36" i="1"/>
  <c r="G34" i="13" s="1"/>
  <c r="F64" i="1"/>
  <c r="I5" i="1"/>
  <c r="E78" i="1" s="1"/>
  <c r="D65" i="1"/>
  <c r="F65" i="1"/>
  <c r="E18" i="13" l="1"/>
  <c r="Q6" i="10"/>
  <c r="L26" i="10" s="1"/>
  <c r="L27" i="10" s="1"/>
  <c r="D66" i="1"/>
  <c r="D68" i="1"/>
  <c r="D69" i="1"/>
  <c r="D67" i="1"/>
  <c r="C69" i="1"/>
  <c r="I28" i="1"/>
  <c r="G26" i="13" s="1"/>
  <c r="D70" i="1"/>
  <c r="C71" i="1"/>
  <c r="I29" i="1"/>
  <c r="C66" i="1"/>
  <c r="I24" i="1"/>
  <c r="C74" i="1"/>
  <c r="I32" i="1"/>
  <c r="G30" i="13" s="1"/>
  <c r="F66" i="1"/>
  <c r="C70" i="1"/>
  <c r="I22" i="1"/>
  <c r="C64" i="1"/>
  <c r="I27" i="1"/>
  <c r="G25" i="13" s="1"/>
  <c r="I26" i="1"/>
  <c r="G24" i="13" s="1"/>
  <c r="C68" i="1"/>
  <c r="I23" i="1"/>
  <c r="C65" i="1"/>
  <c r="E65" i="1" s="1"/>
  <c r="H65" i="1" s="1"/>
  <c r="C75" i="1"/>
  <c r="I33" i="1"/>
  <c r="G31" i="13" s="1"/>
  <c r="C73" i="1"/>
  <c r="I31" i="1"/>
  <c r="G29" i="13" s="1"/>
  <c r="I30" i="1"/>
  <c r="G28" i="13" s="1"/>
  <c r="C72" i="1"/>
  <c r="I25" i="1"/>
  <c r="C67" i="1"/>
  <c r="Q18" i="13" l="1"/>
  <c r="D4" i="15"/>
  <c r="S18" i="13"/>
  <c r="E35" i="13"/>
  <c r="D5" i="15" s="1"/>
  <c r="G23" i="13"/>
  <c r="E68" i="1"/>
  <c r="E66" i="1"/>
  <c r="E69" i="1"/>
  <c r="E67" i="1"/>
  <c r="I65" i="1"/>
  <c r="D71" i="1"/>
  <c r="E71" i="1" s="1"/>
  <c r="E70" i="1"/>
  <c r="C76" i="1"/>
  <c r="E64" i="1"/>
  <c r="H64" i="1" s="1"/>
  <c r="F67" i="1"/>
  <c r="Q35" i="13" l="1"/>
  <c r="S35" i="13"/>
  <c r="U41" i="10"/>
  <c r="H26" i="14" s="1"/>
  <c r="T41" i="10"/>
  <c r="G26" i="14" s="1"/>
  <c r="Q41" i="10"/>
  <c r="D26" i="14" s="1"/>
  <c r="S41" i="10"/>
  <c r="F26" i="14" s="1"/>
  <c r="R41" i="10"/>
  <c r="E26" i="14" s="1"/>
  <c r="P41" i="10"/>
  <c r="C26" i="14" s="1"/>
  <c r="H67" i="1"/>
  <c r="I67" i="1" s="1"/>
  <c r="H66" i="1"/>
  <c r="I66" i="1" s="1"/>
  <c r="J65" i="1"/>
  <c r="F7" i="13"/>
  <c r="I64" i="1"/>
  <c r="F68" i="1"/>
  <c r="H68" i="1" s="1"/>
  <c r="D72" i="1"/>
  <c r="E72" i="1" s="1"/>
  <c r="G7" i="13" l="1"/>
  <c r="U7" i="13"/>
  <c r="C68" i="14"/>
  <c r="I26" i="14"/>
  <c r="J66" i="1"/>
  <c r="F8" i="13"/>
  <c r="J67" i="1"/>
  <c r="F9" i="13"/>
  <c r="J64" i="1"/>
  <c r="F6" i="13"/>
  <c r="U6" i="13" s="1"/>
  <c r="F69" i="1"/>
  <c r="H69" i="1" s="1"/>
  <c r="I68" i="1"/>
  <c r="D73" i="1"/>
  <c r="G8" i="13" l="1"/>
  <c r="U8" i="13"/>
  <c r="G9" i="13"/>
  <c r="U9" i="13"/>
  <c r="E68" i="14"/>
  <c r="C76" i="14"/>
  <c r="L66" i="1"/>
  <c r="J68" i="1"/>
  <c r="F10" i="13"/>
  <c r="G6" i="13"/>
  <c r="D74" i="1"/>
  <c r="E74" i="1" s="1"/>
  <c r="E73" i="1"/>
  <c r="I69" i="1"/>
  <c r="F70" i="1"/>
  <c r="H70" i="1" s="1"/>
  <c r="G10" i="13" l="1"/>
  <c r="U10" i="13"/>
  <c r="H68" i="14"/>
  <c r="E76" i="14"/>
  <c r="J69" i="1"/>
  <c r="F11" i="13"/>
  <c r="U11" i="13" s="1"/>
  <c r="I70" i="1"/>
  <c r="D75" i="1"/>
  <c r="F71" i="1"/>
  <c r="H71" i="1" s="1"/>
  <c r="I68" i="14" l="1"/>
  <c r="H76" i="14"/>
  <c r="J70" i="1"/>
  <c r="F12" i="13"/>
  <c r="G11" i="13"/>
  <c r="F72" i="1"/>
  <c r="H72" i="1" s="1"/>
  <c r="I71" i="1"/>
  <c r="E75" i="1"/>
  <c r="D76" i="1"/>
  <c r="G12" i="13" l="1"/>
  <c r="U12" i="13"/>
  <c r="J68" i="14"/>
  <c r="L75" i="14" s="1"/>
  <c r="F27" i="13"/>
  <c r="U27" i="13" s="1"/>
  <c r="U35" i="13" s="1"/>
  <c r="G5" i="15" s="1"/>
  <c r="I76" i="14"/>
  <c r="J71" i="1"/>
  <c r="F13" i="13"/>
  <c r="U13" i="13" s="1"/>
  <c r="I72" i="1"/>
  <c r="E76" i="1"/>
  <c r="F73" i="1"/>
  <c r="H73" i="1" s="1"/>
  <c r="J76" i="14" l="1"/>
  <c r="L77" i="14" s="1"/>
  <c r="M76" i="14"/>
  <c r="J77" i="14"/>
  <c r="F35" i="13"/>
  <c r="G27" i="13"/>
  <c r="G35" i="13" s="1"/>
  <c r="J72" i="1"/>
  <c r="F14" i="13"/>
  <c r="G13" i="13"/>
  <c r="F74" i="1"/>
  <c r="H74" i="1" s="1"/>
  <c r="I73" i="1"/>
  <c r="R35" i="13" l="1"/>
  <c r="E5" i="15"/>
  <c r="G14" i="13"/>
  <c r="U14" i="13"/>
  <c r="J73" i="1"/>
  <c r="F15" i="13"/>
  <c r="U15" i="13" s="1"/>
  <c r="I74" i="1"/>
  <c r="F75" i="1"/>
  <c r="H75" i="1" s="1"/>
  <c r="J74" i="1" l="1"/>
  <c r="F16" i="13"/>
  <c r="G15" i="13"/>
  <c r="F76" i="1"/>
  <c r="H76" i="1"/>
  <c r="G16" i="13" l="1"/>
  <c r="U16" i="13"/>
  <c r="I75" i="1"/>
  <c r="F17" i="13" s="1"/>
  <c r="U17" i="13" s="1"/>
  <c r="U18" i="13" l="1"/>
  <c r="G4" i="15" s="1"/>
  <c r="J6" i="15" s="1"/>
  <c r="G17" i="13"/>
  <c r="G18" i="13" s="1"/>
  <c r="F18" i="13"/>
  <c r="I76" i="1"/>
  <c r="J75" i="1"/>
  <c r="L75" i="1" s="1"/>
  <c r="R18" i="13" l="1"/>
  <c r="E4" i="15"/>
  <c r="H6" i="15" s="1"/>
  <c r="J76" i="1"/>
  <c r="L77" i="1" s="1"/>
  <c r="M76" i="1"/>
  <c r="J77" i="1"/>
</calcChain>
</file>

<file path=xl/sharedStrings.xml><?xml version="1.0" encoding="utf-8"?>
<sst xmlns="http://schemas.openxmlformats.org/spreadsheetml/2006/main" count="428" uniqueCount="118">
  <si>
    <t>P1</t>
  </si>
  <si>
    <t>P2</t>
  </si>
  <si>
    <t>P3</t>
  </si>
  <si>
    <t>P4</t>
  </si>
  <si>
    <t>P5</t>
  </si>
  <si>
    <t>P6</t>
  </si>
  <si>
    <t>Total (kWh)</t>
  </si>
  <si>
    <t>Consumos (kWh)</t>
  </si>
  <si>
    <t>P. Medio</t>
  </si>
  <si>
    <t>Total</t>
  </si>
  <si>
    <t>DICIEMBRE</t>
  </si>
  <si>
    <t>NOVIEMBRE</t>
  </si>
  <si>
    <t>Potencias (kW)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</si>
  <si>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</si>
  <si>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</si>
  <si>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</si>
  <si>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</si>
  <si>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</si>
  <si>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</si>
  <si>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</si>
  <si>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</si>
  <si>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</si>
  <si>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</si>
  <si>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Consumo mensual (kWh)</t>
  </si>
  <si>
    <t>Precio ATR Energía (€/kWh)</t>
  </si>
  <si>
    <t>Precios energía (€/kWh)</t>
  </si>
  <si>
    <t>Precio ATR Potencia (€/kWh/año)</t>
  </si>
  <si>
    <t>Energía</t>
  </si>
  <si>
    <t>TP</t>
  </si>
  <si>
    <t>IEE</t>
  </si>
  <si>
    <t>TOTAL</t>
  </si>
  <si>
    <t>Energía+TE</t>
  </si>
  <si>
    <t>Alquiler</t>
  </si>
  <si>
    <t>* Costes sin contabilizar los excesos de potencia ni la energía reactiva</t>
  </si>
  <si>
    <t>Costes fijos mensuales (€)</t>
  </si>
  <si>
    <t>TE ATR</t>
  </si>
  <si>
    <t>SSAA</t>
  </si>
  <si>
    <t>(valores modificables)</t>
  </si>
  <si>
    <t>a</t>
  </si>
  <si>
    <t>Peaje:</t>
  </si>
  <si>
    <t>periodo</t>
  </si>
  <si>
    <t xml:space="preserve"> k
€/MWh</t>
  </si>
  <si>
    <t xml:space="preserve"> T.Energía €/MWh</t>
  </si>
  <si>
    <t>Coste TE
€</t>
  </si>
  <si>
    <t>Qd Facturado kWh/día</t>
  </si>
  <si>
    <t xml:space="preserve"> Coste TF  €</t>
  </si>
  <si>
    <t xml:space="preserve">  Coste TF   €/MWh</t>
  </si>
  <si>
    <t>Coste IEH  €/MWh</t>
  </si>
  <si>
    <t>Coste IEH €</t>
  </si>
  <si>
    <t>Coste Total  €</t>
  </si>
  <si>
    <t>Qd</t>
  </si>
  <si>
    <t>año 2022</t>
  </si>
  <si>
    <t>Pago por Capacidad</t>
  </si>
  <si>
    <t>2.0TD</t>
  </si>
  <si>
    <t>3.0TD</t>
  </si>
  <si>
    <t>6.1TD</t>
  </si>
  <si>
    <t>6.2TD</t>
  </si>
  <si>
    <t>6.3TD</t>
  </si>
  <si>
    <t>6.4TD</t>
  </si>
  <si>
    <t>Pérdidas BOE</t>
  </si>
  <si>
    <t>Te ATR</t>
  </si>
  <si>
    <t>Tp ATR</t>
  </si>
  <si>
    <t>Pago OMIE</t>
  </si>
  <si>
    <t>OS</t>
  </si>
  <si>
    <t>Interr</t>
  </si>
  <si>
    <t>FEE</t>
  </si>
  <si>
    <t>Fee</t>
  </si>
  <si>
    <t>Q2-22</t>
  </si>
  <si>
    <t>Q3-22</t>
  </si>
  <si>
    <t>Q4-22</t>
  </si>
  <si>
    <t>Valor de OMIP (08-11-2021)</t>
  </si>
  <si>
    <t>* Consumos reales desde nov'20 hasta oct'21.</t>
  </si>
  <si>
    <t>TTF
€/MWh</t>
  </si>
  <si>
    <t>TF</t>
  </si>
  <si>
    <t>k</t>
  </si>
  <si>
    <t>TV</t>
  </si>
  <si>
    <t>Consumo año móvil kWh</t>
  </si>
  <si>
    <t>Apuntamientos ENERTRADE</t>
  </si>
  <si>
    <t>GdO</t>
  </si>
  <si>
    <t>* En base a precio objetivo ENERTRADE</t>
  </si>
  <si>
    <t>ATR Junio 2021</t>
  </si>
  <si>
    <t>FRONERI - año 2022 - tarifa 6.2TD -ES0021000000010248XX</t>
  </si>
  <si>
    <t>FRONERI - ES0229100003365486GC</t>
  </si>
  <si>
    <t>RLTA.7</t>
  </si>
  <si>
    <t>NUEVOS COSTES REGULADOS ENERO 2022</t>
  </si>
  <si>
    <r>
      <t>1</t>
    </r>
    <r>
      <rPr>
        <b/>
        <vertAlign val="superscript"/>
        <sz val="11"/>
        <color indexed="8"/>
        <rFont val="Calibri"/>
        <family val="2"/>
      </rPr>
      <t>er</t>
    </r>
    <r>
      <rPr>
        <b/>
        <sz val="11"/>
        <color indexed="8"/>
        <rFont val="Calibri"/>
        <family val="2"/>
      </rPr>
      <t xml:space="preserve"> cierre</t>
    </r>
  </si>
  <si>
    <t>2º cierre</t>
  </si>
  <si>
    <r>
      <t>3</t>
    </r>
    <r>
      <rPr>
        <b/>
        <vertAlign val="superscript"/>
        <sz val="11"/>
        <color indexed="8"/>
        <rFont val="Calibri"/>
        <family val="2"/>
      </rPr>
      <t>er</t>
    </r>
    <r>
      <rPr>
        <b/>
        <sz val="11"/>
        <color indexed="8"/>
        <rFont val="Calibri"/>
        <family val="2"/>
      </rPr>
      <t xml:space="preserve"> cierre</t>
    </r>
  </si>
  <si>
    <t>Costes mensuales (€)</t>
  </si>
  <si>
    <t>MARKET PRICE</t>
  </si>
  <si>
    <t>%</t>
  </si>
  <si>
    <t>precio</t>
  </si>
  <si>
    <t>% abierto</t>
  </si>
  <si>
    <t>precio ABIERTO</t>
  </si>
  <si>
    <t>TIPO DE PRECIO</t>
  </si>
  <si>
    <t>OMIP</t>
  </si>
  <si>
    <t>Energía (kWh)</t>
  </si>
  <si>
    <t>PM TOTAL  (€/MWh)</t>
  </si>
  <si>
    <t>OMIE</t>
  </si>
  <si>
    <t>Sólo Energia</t>
  </si>
  <si>
    <t>FRONERI</t>
  </si>
  <si>
    <t>PM Total €/MWh</t>
  </si>
  <si>
    <t>PARA CÁLCULOS DE PRECIOS DEL 2022</t>
  </si>
  <si>
    <t>PARA CÁLCULOS DE PRECIOS DEL 2023</t>
  </si>
  <si>
    <t>DESVIACION (€)</t>
  </si>
  <si>
    <t>COSTE BUDGET (€)</t>
  </si>
  <si>
    <t>PM BUDGET (€/MWh)</t>
  </si>
  <si>
    <t>OBJETIVO BUDGET (€/MWh)</t>
  </si>
  <si>
    <t>DESVIACION VS PRESUPUESTO 120 €/MWh</t>
  </si>
  <si>
    <t>DESVIACION VS PRESUPUESTO 90 €/MWh</t>
  </si>
  <si>
    <t>DESVIACION VS PRESUPUESTO 28 €/MWh</t>
  </si>
  <si>
    <t>FECHA</t>
  </si>
  <si>
    <t>AÑO</t>
  </si>
  <si>
    <t>TIPO</t>
  </si>
  <si>
    <t>ELECTRICIDAD</t>
  </si>
  <si>
    <t>GAS</t>
  </si>
  <si>
    <t>BUDGET (€)</t>
  </si>
  <si>
    <t>REAL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</si>
</sst>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7">
    <numFmt numFmtId="6" formatCode="#,##0\ &quot;€&quot;;[Red]\-#,##0\ &quot;€&quot;"/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_€_-;\-* #,##0\ _€_-;_-* &quot;-&quot;\ _€_-;_-@_-"/>
    <numFmt numFmtId="165" formatCode="_-* #,##0.00\ _€_-;\-* #,##0.00\ _€_-;_-* &quot;-&quot;??\ _€_-;_-@_-"/>
    <numFmt numFmtId="166" formatCode="0.00000"/>
    <numFmt numFmtId="167" formatCode="0.0%"/>
    <numFmt numFmtId="168" formatCode="0.0000"/>
    <numFmt numFmtId="169" formatCode="0.000000"/>
    <numFmt numFmtId="170" formatCode="0.000"/>
    <numFmt numFmtId="171" formatCode="0.0"/>
    <numFmt numFmtId="172" formatCode="#,##0\ &quot;€&quot;"/>
    <numFmt numFmtId="173" formatCode="_-* #,##0\ &quot;€&quot;_-;\-* #,##0\ &quot;€&quot;_-;_-* &quot;-&quot;??\ &quot;€&quot;_-;_-@_-"/>
    <numFmt numFmtId="174" formatCode="#,##0.000000"/>
    <numFmt numFmtId="175" formatCode="0.0_)\%;\(0.0\)\%;0.0_)\%;@_)_%"/>
    <numFmt numFmtId="176" formatCode="#,##0.0_)_%;\(#,##0.0\)_%;0.0_)_%;@_)_%"/>
    <numFmt numFmtId="177" formatCode="#,##0.0_);\(#,##0.0\);#,##0.0_);@_)"/>
    <numFmt numFmtId="178" formatCode="&quot;$&quot;_(#,##0.00_);&quot;$&quot;\(#,##0.00\);&quot;$&quot;_(0.00_);@_)"/>
    <numFmt numFmtId="179" formatCode="#,##0.00_);\(#,##0.00\);0.00_);@_)"/>
    <numFmt numFmtId="180" formatCode="\€_(#,##0.00_);\€\(#,##0.00\);\€_(0.00_);@_)"/>
    <numFmt numFmtId="181" formatCode="\(0.0%\);[Red]\(\-0.0%\)"/>
    <numFmt numFmtId="182" formatCode="_ * #,##0.00000000_ ;_ * \-#,##0.00000000_ ;_ * &quot;-&quot;_ ;_ @_ "/>
    <numFmt numFmtId="183" formatCode="&quot;$&quot;#,##0.0_);\(&quot;$&quot;#,##0.0\)"/>
    <numFmt numFmtId="184" formatCode="&quot;$&quot;#,##0.00;\(&quot;$&quot;#,##0.00\)"/>
    <numFmt numFmtId="185" formatCode="#,##0_)\x;\(#,##0\)\x;0_)\x;@_)_x"/>
    <numFmt numFmtId="186" formatCode="#,##0_)_x;\(#,##0\)_x;0_)_x;@_)_x"/>
    <numFmt numFmtId="187" formatCode="_(* #,##0.0_);_(* \(#,##0.0\);_(* &quot;-&quot;??_);_(@_)"/>
    <numFmt numFmtId="188" formatCode="_ &quot;\&quot;* #,##0_ ;_ &quot;\&quot;* \-#,##0_ ;_ &quot;\&quot;* &quot;-&quot;_ ;_ @_ "/>
    <numFmt numFmtId="189" formatCode="_ &quot;\&quot;* #,##0.00_ ;_ &quot;\&quot;* \-#,##0.00_ ;_ &quot;\&quot;* &quot;-&quot;??_ ;_ @_ "/>
    <numFmt numFmtId="190" formatCode="_ * #,##0_ ;_ * \-#,##0_ ;_ * &quot;-&quot;_ ;_ @_ "/>
    <numFmt numFmtId="191" formatCode="_ * #,##0.00_ ;_ * \-#,##0.00_ ;_ * &quot;-&quot;??_ ;_ @_ "/>
    <numFmt numFmtId="192" formatCode="&quot;$&quot;#,##0.0_);[Red]\(&quot;$&quot;#,##0.0\)"/>
    <numFmt numFmtId="193" formatCode="[$$]#,##0.0000_);\([$$]#,##0.0000\);[$$]#,##0.0000_);@_)"/>
    <numFmt numFmtId="194" formatCode="_(* #,##0.0000000000_);_(* \(#,##0.0000000000\);_(* &quot;-&quot;??_);_(@_)"/>
    <numFmt numFmtId="195" formatCode="&quot;$&quot;#,##0_);\(&quot;$&quot;#,##0\)"/>
    <numFmt numFmtId="196" formatCode="\£#,##0_);\(\£#,##0\)"/>
    <numFmt numFmtId="197" formatCode="General_)"/>
    <numFmt numFmtId="198" formatCode="0.000_)"/>
    <numFmt numFmtId="199" formatCode="#,##0_%_);\(#,##0\)_%;#,##0_%_);@_%_)"/>
    <numFmt numFmtId="200" formatCode="_._.* #,##0.0_)_%;_._.* \(#,##0.0\)_%;_._.* \ ?_)_%"/>
    <numFmt numFmtId="201" formatCode="_._.* #,##0.00_)_%;_._.* \(#,##0.00\)_%;_._.* \ ?_)_%"/>
    <numFmt numFmtId="202" formatCode="_._.* #,##0.000_)_%;_._.* \(#,##0.000\)_%;_._.* \ ?_)_%"/>
    <numFmt numFmtId="203" formatCode="_._.* #,##0.0000_)_%;_._.* \(#,##0.0000\)_%;_._.* \ ?_)_%"/>
    <numFmt numFmtId="204" formatCode="00\ &quot;Years&quot;"/>
    <numFmt numFmtId="205" formatCode="_-* #.##0.00\ _€_-;\-* #.##0.00\ _€_-;_-* &quot;-&quot;??\ _€_-;_-@_-"/>
    <numFmt numFmtId="206" formatCode="m/d"/>
    <numFmt numFmtId="207" formatCode="_(* #,##0.0000_);_(* \(#,##0.0000\);_(* &quot;-&quot;??_);_(@_)"/>
    <numFmt numFmtId="208" formatCode="###,###,###,###"/>
    <numFmt numFmtId="209" formatCode="_(&quot;$&quot;* #,##0.00_);_(&quot;$&quot;* \(#,##0.00\);_(&quot;$&quot;* &quot;-&quot;??_);_(@_)"/>
    <numFmt numFmtId="210" formatCode="_(&quot;$&quot;* #,##0_);_(&quot;$&quot;* \(#,##0\);_(&quot;$&quot;* &quot;-&quot;_);_(@_)"/>
    <numFmt numFmtId="211" formatCode="&quot;$&quot;#,##0.00_);[Red]\(&quot;$&quot;#,##0.00\)"/>
    <numFmt numFmtId="212" formatCode="&quot;$&quot;#,##0_%_);\(&quot;$&quot;#,##0\)_%;&quot;$&quot;#,##0_%_);@_%_)"/>
    <numFmt numFmtId="213" formatCode="_._.&quot;$&quot;* #,##0.0_)_%;_._.&quot;$&quot;* \(#,##0.0\)_%;_._.&quot;$&quot;* \ ?_)_%"/>
    <numFmt numFmtId="214" formatCode="_._.&quot;$&quot;* #,##0.00_)_%;_._.&quot;$&quot;* \(#,##0.00\)_%;_._.&quot;$&quot;* \ ?_)_%"/>
    <numFmt numFmtId="215" formatCode="_._.&quot;$&quot;* #,##0.000_)_%;_._.&quot;$&quot;* \(#,##0.000\)_%;_._.&quot;$&quot;* \ ?_)_%"/>
    <numFmt numFmtId="216" formatCode="_._.&quot;$&quot;* #,##0.0000_)_%;_._.&quot;$&quot;* \(#,##0.0000\)_%;_._.&quot;$&quot;* \ ?_)_%"/>
    <numFmt numFmtId="217" formatCode="[$$ -409]#,##0_);[Red]\([$$ -409]#,##0\)"/>
    <numFmt numFmtId="218" formatCode="[$£ -809]#,##0_);[Red]\([$£ -809]#,##0\)"/>
    <numFmt numFmtId="219" formatCode="[$FF -40C]#,##0_);[Red]\([$FF -40C]#,##0\)"/>
    <numFmt numFmtId="220" formatCode="&quot;$&quot;#,##0.00000_);\(&quot;$&quot;#,##0.00000\)"/>
    <numFmt numFmtId="221" formatCode="#,##0.00&quot;Bs.&quot;;\-#,##0.00&quot;Bs.&quot;"/>
    <numFmt numFmtId="222" formatCode="0.0%_);\-0.0%_);&quot;---&quot;?"/>
    <numFmt numFmtId="223" formatCode="m/d/yy_%_)"/>
    <numFmt numFmtId="224" formatCode="#,##0.00_)\x;\(#,##0.00\)\x;@\ \ \ "/>
    <numFmt numFmtId="225" formatCode="&quot;$&quot;#,##0.00_);\(&quot;$&quot;#,##0.00\)"/>
    <numFmt numFmtId="226" formatCode="&quot;$&quot;#,##0.00"/>
    <numFmt numFmtId="227" formatCode="#,##0_);\(#,##0\);_(\ &quot;---&quot;?"/>
    <numFmt numFmtId="228" formatCode="0_%_);\(0\)_%;0_%_);@_%_)"/>
    <numFmt numFmtId="229" formatCode="_ &quot;SFr.&quot;* #,##0_ ;_ &quot;SFr.&quot;* \-#,##0_ ;_ &quot;SFr.&quot;* &quot;-&quot;_ ;_ @_ "/>
    <numFmt numFmtId="230" formatCode="_-* #,##0.00\ [$€]_-;\-* #,##0.00\ [$€]_-;_-* &quot;-&quot;??\ [$€]_-;_-@_-"/>
    <numFmt numFmtId="231" formatCode="0_)"/>
    <numFmt numFmtId="232" formatCode="0.0\%_);\(0.0\%\);0.0\%_);@_%_)"/>
    <numFmt numFmtId="233" formatCode="&quot;$&quot;#,##0.0000_);\(&quot;$&quot;#,##0.0000\)"/>
    <numFmt numFmtId="234" formatCode="0.000%_);\(0.000%\);0.000%_);@_%_)"/>
    <numFmt numFmtId="235" formatCode="mmm\-d\-yyyy"/>
    <numFmt numFmtId="236" formatCode="#,##0.0_)_%;\(#,##0.0\)_%;#,##0.0_)_%;@_)_%"/>
    <numFmt numFmtId="237" formatCode="#,##0.0_)\x_);&quot;NM&quot;_)_x_;0.0_)\x_);@_)_%"/>
    <numFmt numFmtId="238" formatCode="_-* #,##0.00\ _F_B_-;\-* #,##0.00\ _F_B_-;_-* &quot;-&quot;??\ _F_B_-;_-@_-"/>
    <numFmt numFmtId="239" formatCode="0.00_)"/>
    <numFmt numFmtId="240" formatCode="_(* #,##0.0_);_(* \(#,##0.0\);_(* &quot;-&quot;?_);_(@_)"/>
    <numFmt numFmtId="241" formatCode="[Red]&quot;¥&quot;;;[Blue]&quot;¥&quot;"/>
    <numFmt numFmtId="242" formatCode="dd\-mmm\-yy_)"/>
    <numFmt numFmtId="243" formatCode="_-* #,##0\ _p_t_a_-;\-* #,##0\ _p_t_a_-;_-* &quot;-&quot;\ _p_t_a_-;_-@_-"/>
    <numFmt numFmtId="244" formatCode="_-* #,##0.00\ _p_t_a_-;\-* #,##0.00\ _p_t_a_-;_-* &quot;-&quot;??\ _p_t_a_-;_-@_-"/>
    <numFmt numFmtId="245" formatCode="#,##0.0;\(#,##0.0\)"/>
    <numFmt numFmtId="246" formatCode="0.000000%"/>
    <numFmt numFmtId="247" formatCode="#,###"/>
    <numFmt numFmtId="248" formatCode="&quot;$&quot;#,##0_);[Red]\(&quot;$&quot;#,##0\)"/>
    <numFmt numFmtId="249" formatCode="0.0\x_)_);&quot;NM&quot;_x_)_);0.0\x_)_);@_%_)"/>
    <numFmt numFmtId="250" formatCode="#,##0.0\x_);\(#,##0.0\x\);#,##0.0\x_);@_)"/>
    <numFmt numFmtId="251" formatCode="0.000000000000000"/>
    <numFmt numFmtId="252" formatCode="0.0\x"/>
    <numFmt numFmtId="253" formatCode="#,##0.00000_);[Red]\(#,##0.00000\)"/>
    <numFmt numFmtId="254" formatCode="#,##0.0_);[Red]\(#,##0.0\)"/>
    <numFmt numFmtId="255" formatCode="#,##0.0_);\(#,##0.0\)"/>
    <numFmt numFmtId="256" formatCode="0%;\(0%\)"/>
    <numFmt numFmtId="257" formatCode="0.0\ ;\(0.0\)"/>
    <numFmt numFmtId="258" formatCode="0.00%;[Red]\(0.00%\)"/>
    <numFmt numFmtId="259" formatCode="_(0_)%;\(0\)%;\ &quot;None&quot;\ \ _)\%"/>
    <numFmt numFmtId="260" formatCode="_._._(* 0_)%;_._.* \(0\)%;_._._(* &quot;None&quot;\ \ _)\%"/>
    <numFmt numFmtId="261" formatCode="_(0.0_)%;\(0.0\)%;\ &quot;None&quot;\ \ _)\%"/>
    <numFmt numFmtId="262" formatCode="_._._(* 0.0_)%;_._.* \(0.0\)%;_._._(* &quot;None&quot;\ \ _)\%"/>
    <numFmt numFmtId="263" formatCode="_(0.00_)%;\(0.00\)%;\ &quot;None&quot;\ \ _)\%"/>
    <numFmt numFmtId="264" formatCode="_._._(* 0.00_)%;_._.* \(0.00\)%;_._._(* &quot;None&quot;\ \ _)\%"/>
    <numFmt numFmtId="265" formatCode="_(0.000_)%;\(0.000\)%;\ &quot;None&quot;\ \ _)\%"/>
    <numFmt numFmtId="266" formatCode="_._._(* 0.000_)%;_._.* \(0.000\)%;_._._(* &quot;None&quot;\ \ _)\%"/>
    <numFmt numFmtId="267" formatCode="_(0.0000_)%;\(0.0000\)%;\ &quot;None&quot;\ \ _)\%"/>
    <numFmt numFmtId="268" formatCode="_._._(* 0.0000_)%;_._.* \(0.0000\)%;_._._(* &quot;None&quot;\ \ _)\%"/>
    <numFmt numFmtId="269" formatCode="#,##0.0\%_);\(#,##0.0\%\);#,##0.0\%_);@_)"/>
    <numFmt numFmtId="270" formatCode="_ * #,##0_)\ _R_$_ ;_ * \(#,##0\)\ _R_$_ ;_ * &quot;-&quot;_)\ _R_$_ ;_ @_ "/>
    <numFmt numFmtId="271" formatCode="_ * #,##0.00_)\ _R_$_ ;_ * \(#,##0.00\)\ _R_$_ ;_ * &quot;-&quot;??_)\ _R_$_ ;_ @_ "/>
    <numFmt numFmtId="272" formatCode="&quot;$&quot;#,##0.0_);\(&quot;$&quot;#,##0.00\)"/>
    <numFmt numFmtId="273" formatCode="0.00%_);\(0.00%\);0.00%_);@_%_)"/>
    <numFmt numFmtId="274" formatCode="&quot;$&quot;#,##0.0;\(&quot;$&quot;#,##0.0\)"/>
    <numFmt numFmtId="275" formatCode="_-&quot;$&quot;* #,##0.00_-;\-&quot;$&quot;* #,##0.00_-;_-&quot;$&quot;* &quot;-&quot;??_-;_-@_-"/>
    <numFmt numFmtId="276" formatCode="&quot;Fl.&quot;#,##0_);[Red]\(&quot;Fl.&quot;#,##0\)"/>
    <numFmt numFmtId="277" formatCode="_(* #,##0_);_(* \(#,##0\);_(* &quot;None&quot;\ \ _)"/>
    <numFmt numFmtId="278" formatCode="_(* #,##0.0_);_(* \(#,##0.0\);_(* &quot;None&quot;\ \ _)"/>
    <numFmt numFmtId="279" formatCode="_(* #,##0.00_);_(* \(#,##0.00\);_(* &quot;None&quot;\ \ _)"/>
    <numFmt numFmtId="280" formatCode="_(* #,##0.000_);_(* \(#,##0.000\);_(* &quot;None&quot;\ \ _)"/>
    <numFmt numFmtId="281" formatCode="_(&quot;$&quot;* #,##0_);_(&quot;$&quot;* \(#,##0\);_(&quot;$&quot;* &quot;None&quot;\ \ _)"/>
    <numFmt numFmtId="282" formatCode="_(&quot;$&quot;* #,##0.0_);_(&quot;$&quot;* \(#,##0.0\);_(&quot;$&quot;* &quot;None&quot;\ \ _)"/>
    <numFmt numFmtId="283" formatCode="_(&quot;$&quot;* #,##0.00_);_(&quot;$&quot;* \(#,##0.00\);_(&quot;$&quot;* &quot;None&quot;\ \ _)"/>
    <numFmt numFmtId="284" formatCode="_(&quot;$&quot;* #,##0.000_);_(&quot;$&quot;* \(#,##0.000\);_(&quot;$&quot;* &quot;None&quot;\ \ _)"/>
    <numFmt numFmtId="285" formatCode="0\ \ ;\(0\)\ \ \ "/>
    <numFmt numFmtId="286" formatCode="\¥#,##0_);\(\¥#,##0\)"/>
    <numFmt numFmtId="287" formatCode="_(* #,##0.000_);_(* \(#,##0.000\);_(* &quot;-&quot;??_);_(@_)"/>
    <numFmt numFmtId="288" formatCode="_-&quot;ج.م.&quot;\ * #,##0_-;_-&quot;ج.م.&quot;\ * #,##0\-;_-&quot;ج.م.&quot;\ * &quot;-&quot;_-;_-@_-"/>
    <numFmt numFmtId="289" formatCode="_-&quot;ج.م.&quot;\ * #,##0.00_-;_-&quot;ج.م.&quot;\ * #,##0.00\-;_-&quot;ج.م.&quot;\ * &quot;-&quot;??_-;_-@_-"/>
    <numFmt numFmtId="290" formatCode="_-* #,##0_-;_-* #,##0\-;_-* &quot;-&quot;_-;_-@_-"/>
    <numFmt numFmtId="291" formatCode="_-* #,##0.00_-;_-* #,##0.00\-;_-* &quot;-&quot;??_-;_-@_-"/>
    <numFmt numFmtId="292" formatCode="_-&quot;$&quot;* #,##0_-;\-&quot;$&quot;* #,##0_-;_-&quot;$&quot;* &quot;-&quot;_-;_-@_-"/>
    <numFmt numFmtId="293" formatCode="[$-C0A]mmmm\-yy;@"/>
    <numFmt numFmtId="294" formatCode="[$-C0A]mmm\-yy;@"/>
    <numFmt numFmtId="295" formatCode="#,##0.000"/>
  </numFmts>
  <fonts count="20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Polo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0"/>
      <color indexed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16"/>
      <color indexed="8"/>
      <name val="Arial"/>
      <family val="2"/>
    </font>
    <font>
      <sz val="10"/>
      <name val="Helvetica"/>
      <family val="2"/>
    </font>
    <font>
      <sz val="12"/>
      <name val="¹ÙÅÁÃ¼"/>
      <family val="1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u/>
      <sz val="10"/>
      <name val="Times"/>
      <family val="1"/>
    </font>
    <font>
      <sz val="10"/>
      <color indexed="8"/>
      <name val="Arial"/>
      <family val="2"/>
    </font>
    <font>
      <sz val="8"/>
      <color indexed="12"/>
      <name val="Times"/>
      <family val="1"/>
    </font>
    <font>
      <sz val="12"/>
      <name val="Times"/>
      <family val="1"/>
    </font>
    <font>
      <b/>
      <sz val="10"/>
      <name val="MS Sans Serif"/>
      <family val="2"/>
    </font>
    <font>
      <sz val="8"/>
      <name val="Times New Roman"/>
      <family val="1"/>
    </font>
    <font>
      <b/>
      <sz val="12"/>
      <color indexed="9"/>
      <name val="Arial"/>
      <family val="2"/>
    </font>
    <font>
      <sz val="8"/>
      <name val="Arial"/>
      <family val="2"/>
    </font>
    <font>
      <u val="singleAccounting"/>
      <sz val="10"/>
      <name val="Arial"/>
      <family val="2"/>
    </font>
    <font>
      <sz val="12"/>
      <name val="±¼¸²Ã¼"/>
      <family val="3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8"/>
      <name val="Times New Roman"/>
      <family val="1"/>
    </font>
    <font>
      <sz val="8"/>
      <color indexed="23"/>
      <name val="Wingdings"/>
      <charset val="2"/>
    </font>
    <font>
      <b/>
      <sz val="14"/>
      <name val="Times New Roman"/>
      <family val="1"/>
    </font>
    <font>
      <b/>
      <i/>
      <sz val="10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1"/>
      <name val="Times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u val="singleAccounting"/>
      <sz val="10"/>
      <name val="Times New Roman"/>
      <family val="1"/>
    </font>
    <font>
      <b/>
      <sz val="12"/>
      <name val="Arial"/>
      <family val="2"/>
    </font>
    <font>
      <sz val="12"/>
      <color indexed="24"/>
      <name val="Times New Roman"/>
      <family val="1"/>
    </font>
    <font>
      <b/>
      <sz val="13"/>
      <name val="Arial"/>
      <family val="2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0"/>
      <color indexed="17"/>
      <name val="Helvetica"/>
      <family val="2"/>
    </font>
    <font>
      <sz val="10"/>
      <name val="Book Antiqua"/>
      <family val="1"/>
    </font>
    <font>
      <sz val="8"/>
      <name val="Helvetica"/>
      <family val="2"/>
    </font>
    <font>
      <sz val="12"/>
      <name val="Times New Roman"/>
      <family val="1"/>
    </font>
    <font>
      <sz val="10"/>
      <name val="Courier"/>
      <family val="3"/>
    </font>
    <font>
      <u/>
      <sz val="8"/>
      <color indexed="12"/>
      <name val="Times New Roman"/>
      <family val="1"/>
    </font>
    <font>
      <sz val="8"/>
      <color indexed="16"/>
      <name val="Helvetica"/>
      <family val="2"/>
    </font>
    <font>
      <sz val="8"/>
      <color indexed="14"/>
      <name val="Times New Roman"/>
      <family val="1"/>
    </font>
    <font>
      <sz val="8"/>
      <color indexed="10"/>
      <name val="Wingdings"/>
      <charset val="2"/>
    </font>
    <font>
      <u val="doubleAccounting"/>
      <sz val="10"/>
      <name val="Arial"/>
      <family val="2"/>
    </font>
    <font>
      <sz val="10"/>
      <color indexed="16"/>
      <name val="MS Serif"/>
      <family val="1"/>
    </font>
    <font>
      <sz val="7"/>
      <name val="Arial"/>
      <family val="2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u/>
      <sz val="8.3000000000000007"/>
      <color indexed="36"/>
      <name val="Arial"/>
      <family val="2"/>
    </font>
    <font>
      <sz val="12"/>
      <name val="Arial MT"/>
    </font>
    <font>
      <sz val="6"/>
      <color indexed="16"/>
      <name val="Palatino"/>
      <family val="1"/>
    </font>
    <font>
      <sz val="6"/>
      <name val="Palatino"/>
      <family val="1"/>
    </font>
    <font>
      <b/>
      <u val="singleAccounting"/>
      <sz val="10"/>
      <name val="Arial"/>
      <family val="2"/>
    </font>
    <font>
      <b/>
      <sz val="8"/>
      <name val="Palatino"/>
      <family val="1"/>
    </font>
    <font>
      <sz val="10"/>
      <name val="Helvetica-Black"/>
    </font>
    <font>
      <sz val="28"/>
      <name val="Helvetica-Black"/>
    </font>
    <font>
      <sz val="10"/>
      <name val="Palatino"/>
      <family val="1"/>
    </font>
    <font>
      <sz val="18"/>
      <name val="Helvetica-Black"/>
    </font>
    <font>
      <sz val="18"/>
      <name val="Palatino"/>
      <family val="1"/>
    </font>
    <font>
      <i/>
      <sz val="14"/>
      <name val="Palatino"/>
      <family val="1"/>
    </font>
    <font>
      <b/>
      <sz val="16"/>
      <name val="Times New Roman"/>
      <family val="1"/>
    </font>
    <font>
      <b/>
      <sz val="11"/>
      <name val="Book Antiqua"/>
      <family val="1"/>
    </font>
    <font>
      <i/>
      <sz val="10"/>
      <name val="Arial"/>
      <family val="2"/>
    </font>
    <font>
      <b/>
      <sz val="6"/>
      <name val="Palatino"/>
      <family val="1"/>
    </font>
    <font>
      <b/>
      <sz val="10"/>
      <color indexed="8"/>
      <name val="Arial"/>
      <family val="2"/>
    </font>
    <font>
      <sz val="7"/>
      <color indexed="8"/>
      <name val="Times"/>
      <family val="1"/>
    </font>
    <font>
      <b/>
      <sz val="15"/>
      <color indexed="16"/>
      <name val="Times New Roman"/>
      <family val="1"/>
    </font>
    <font>
      <u/>
      <sz val="7"/>
      <color indexed="12"/>
      <name val="Arial"/>
      <family val="2"/>
    </font>
    <font>
      <sz val="8"/>
      <color indexed="8"/>
      <name val="Arial"/>
      <family val="2"/>
    </font>
    <font>
      <sz val="8"/>
      <color indexed="12"/>
      <name val="Palatino"/>
      <family val="1"/>
    </font>
    <font>
      <b/>
      <sz val="12"/>
      <color indexed="37"/>
      <name val="Arial"/>
      <family val="2"/>
    </font>
    <font>
      <sz val="10"/>
      <name val="Geneva"/>
    </font>
    <font>
      <b/>
      <sz val="12"/>
      <color indexed="8"/>
      <name val="Wingdings"/>
      <charset val="2"/>
    </font>
    <font>
      <sz val="10"/>
      <name val="MS Sans Serif"/>
      <family val="2"/>
    </font>
    <font>
      <sz val="8"/>
      <name val="MS Sans Serif"/>
      <family val="2"/>
    </font>
    <font>
      <b/>
      <sz val="11"/>
      <name val="Helvetica"/>
      <family val="2"/>
    </font>
    <font>
      <sz val="11"/>
      <name val="Times New Roman"/>
      <family val="1"/>
    </font>
    <font>
      <sz val="10"/>
      <color indexed="8"/>
      <name val="MS Sans Serif"/>
      <family val="2"/>
    </font>
    <font>
      <sz val="8"/>
      <color indexed="16"/>
      <name val="Times"/>
      <family val="1"/>
    </font>
    <font>
      <sz val="7"/>
      <name val="Small Fonts"/>
      <family val="2"/>
    </font>
    <font>
      <b/>
      <i/>
      <sz val="16"/>
      <name val="Helvetica"/>
      <family val="2"/>
    </font>
    <font>
      <sz val="10"/>
      <name val="Verdana"/>
      <family val="2"/>
    </font>
    <font>
      <b/>
      <u/>
      <sz val="8"/>
      <name val="Times"/>
      <family val="1"/>
    </font>
    <font>
      <sz val="8"/>
      <color indexed="8"/>
      <name val="Times New Roman"/>
      <family val="1"/>
    </font>
    <font>
      <sz val="8"/>
      <color indexed="12"/>
      <name val="Arial"/>
      <family val="2"/>
    </font>
    <font>
      <b/>
      <sz val="10"/>
      <color indexed="72"/>
      <name val="Arial"/>
      <family val="2"/>
    </font>
    <font>
      <b/>
      <i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16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b/>
      <i/>
      <sz val="22"/>
      <color indexed="9"/>
      <name val="Arial"/>
      <family val="2"/>
    </font>
    <font>
      <b/>
      <sz val="12"/>
      <color indexed="12"/>
      <name val="Arial"/>
      <family val="2"/>
    </font>
    <font>
      <sz val="10"/>
      <name val="Arial Tur"/>
    </font>
    <font>
      <b/>
      <sz val="12"/>
      <color indexed="8"/>
      <name val="Arial"/>
      <family val="2"/>
    </font>
    <font>
      <b/>
      <sz val="11"/>
      <color indexed="18"/>
      <name val="Arial"/>
      <family val="2"/>
    </font>
    <font>
      <sz val="12"/>
      <color indexed="8"/>
      <name val="Arial"/>
      <family val="2"/>
    </font>
    <font>
      <sz val="10"/>
      <color indexed="16"/>
      <name val="Arial"/>
      <family val="2"/>
    </font>
    <font>
      <sz val="10"/>
      <color indexed="17"/>
      <name val="Arial"/>
      <family val="2"/>
    </font>
    <font>
      <sz val="10"/>
      <color indexed="18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i/>
      <sz val="10"/>
      <color indexed="8"/>
      <name val="Arial"/>
      <family val="2"/>
    </font>
    <font>
      <i/>
      <sz val="10"/>
      <color indexed="17"/>
      <name val="Arial"/>
      <family val="2"/>
    </font>
    <font>
      <i/>
      <sz val="10"/>
      <color indexed="18"/>
      <name val="Arial"/>
      <family val="2"/>
    </font>
    <font>
      <i/>
      <sz val="10"/>
      <color indexed="16"/>
      <name val="Arial"/>
      <family val="2"/>
    </font>
    <font>
      <b/>
      <sz val="16"/>
      <color indexed="8"/>
      <name val="Times New Roman"/>
      <family val="1"/>
    </font>
    <font>
      <sz val="10"/>
      <name val="Tahoma"/>
      <family val="2"/>
    </font>
    <font>
      <sz val="12"/>
      <name val="Helvetica"/>
      <family val="2"/>
    </font>
    <font>
      <b/>
      <sz val="8"/>
      <color indexed="8"/>
      <name val="Helvetica"/>
      <family val="2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10"/>
      <name val="Times New Roman"/>
      <family val="1"/>
    </font>
    <font>
      <sz val="8"/>
      <name val="Helvetica-Narrow"/>
      <family val="2"/>
    </font>
    <font>
      <b/>
      <sz val="7"/>
      <name val="Helvetica-Narrow"/>
      <family val="2"/>
    </font>
    <font>
      <sz val="12"/>
      <color indexed="8"/>
      <name val="Palatino"/>
      <family val="1"/>
    </font>
    <font>
      <sz val="12"/>
      <name val="Palatino"/>
      <family val="1"/>
    </font>
    <font>
      <sz val="11"/>
      <color indexed="8"/>
      <name val="Helvetica-Black"/>
    </font>
    <font>
      <sz val="11"/>
      <name val="Helvetica-Black"/>
    </font>
    <font>
      <b/>
      <sz val="8"/>
      <name val="Times"/>
      <family val="1"/>
    </font>
    <font>
      <sz val="18"/>
      <color indexed="48"/>
      <name val="Pepsi"/>
    </font>
    <font>
      <u/>
      <sz val="8"/>
      <name val="Times New Roman"/>
      <family val="1"/>
    </font>
    <font>
      <b/>
      <sz val="8"/>
      <name val="Times New Roman"/>
      <family val="1"/>
    </font>
    <font>
      <b/>
      <sz val="8"/>
      <name val="Helvetica"/>
      <family val="2"/>
    </font>
    <font>
      <b/>
      <sz val="7"/>
      <color indexed="12"/>
      <name val="Arial"/>
      <family val="2"/>
    </font>
    <font>
      <i/>
      <sz val="9"/>
      <name val="Arial"/>
      <family val="2"/>
    </font>
    <font>
      <sz val="8"/>
      <color indexed="8"/>
      <name val="Wingdings"/>
      <charset val="2"/>
    </font>
    <font>
      <b/>
      <i/>
      <sz val="8"/>
      <name val="Helvetica"/>
      <family val="2"/>
    </font>
    <font>
      <b/>
      <u/>
      <sz val="9"/>
      <color indexed="16"/>
      <name val="Times"/>
      <family val="1"/>
    </font>
    <font>
      <sz val="12"/>
      <name val="ΉΩΕΑΓΌ"/>
      <family val="1"/>
    </font>
    <font>
      <sz val="10"/>
      <name val="PA-SansSerif"/>
    </font>
    <font>
      <sz val="11"/>
      <name val="µΈΏς"/>
      <family val="3"/>
    </font>
    <font>
      <sz val="7"/>
      <name val="Helvetica"/>
      <family val="2"/>
    </font>
    <font>
      <sz val="11"/>
      <name val="돋움"/>
      <family val="3"/>
    </font>
    <font>
      <sz val="12"/>
      <name val="바탕체"/>
      <family val="1"/>
    </font>
    <font>
      <sz val="12"/>
      <name val="Courier"/>
      <family val="3"/>
    </font>
    <font>
      <sz val="12"/>
      <name val="新細明體"/>
      <charset val="136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indexed="8"/>
      <name val="Calibri"/>
      <family val="2"/>
    </font>
    <font>
      <b/>
      <sz val="11"/>
      <color rgb="FFFFFFFF"/>
      <name val="Arial"/>
      <family val="2"/>
    </font>
    <font>
      <sz val="11"/>
      <color rgb="FFFF0000"/>
      <name val="Calibri"/>
      <family val="2"/>
    </font>
    <font>
      <b/>
      <i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rgb="FFECECEC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theme="0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8"/>
        <bgColor indexed="64"/>
      </patternFill>
    </fill>
    <fill>
      <patternFill patternType="gray125">
        <fgColor indexed="15"/>
      </patternFill>
    </fill>
    <fill>
      <patternFill patternType="solid">
        <fgColor indexed="39"/>
        <bgColor indexed="64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gray125">
        <fgColor indexed="8"/>
      </patternFill>
    </fill>
    <fill>
      <patternFill patternType="solid">
        <fgColor indexed="23"/>
        <bgColor indexed="23"/>
      </patternFill>
    </fill>
    <fill>
      <patternFill patternType="gray125">
        <fgColor indexed="11"/>
      </patternFill>
    </fill>
    <fill>
      <patternFill patternType="lightGray">
        <fgColor indexed="22"/>
      </patternFill>
    </fill>
    <fill>
      <patternFill patternType="solid">
        <fgColor indexed="55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8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3"/>
        <bgColor indexed="64"/>
      </patternFill>
    </fill>
    <fill>
      <patternFill patternType="lightGray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1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75B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669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 style="thin">
        <color indexed="8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/>
      <bottom style="thick">
        <color indexed="4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9"/>
      </right>
      <top style="thin">
        <color theme="0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hair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64"/>
      </right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7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22" fillId="0" borderId="0" applyFont="0" applyFill="0" applyBorder="0" applyAlignment="0"/>
    <xf numFmtId="0" fontId="23" fillId="2" borderId="0" applyNumberFormat="0" applyFont="0" applyFill="0" applyBorder="0" applyAlignment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3" fillId="0" borderId="0"/>
    <xf numFmtId="0" fontId="3" fillId="0" borderId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/>
    <xf numFmtId="0" fontId="3" fillId="0" borderId="0"/>
    <xf numFmtId="0" fontId="24" fillId="0" borderId="0">
      <alignment horizontal="justify" vertical="center"/>
    </xf>
    <xf numFmtId="180" fontId="3" fillId="0" borderId="0" applyFont="0" applyFill="0" applyBorder="0" applyAlignment="0" applyProtection="0"/>
    <xf numFmtId="0" fontId="3" fillId="0" borderId="0"/>
    <xf numFmtId="0" fontId="3" fillId="0" borderId="0"/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3" fillId="0" borderId="0"/>
    <xf numFmtId="0" fontId="3" fillId="0" borderId="0"/>
    <xf numFmtId="0" fontId="2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>
      <alignment horizontal="justify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3" borderId="0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>
      <alignment horizontal="justify" vertical="center"/>
    </xf>
    <xf numFmtId="0" fontId="24" fillId="0" borderId="0">
      <alignment horizontal="justify" vertical="center"/>
    </xf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" fillId="0" borderId="0" applyFont="0" applyFill="0" applyBorder="0" applyAlignment="0" applyProtection="0"/>
    <xf numFmtId="186" fontId="3" fillId="0" borderId="0" applyFont="0" applyFill="0" applyBorder="0" applyProtection="0">
      <alignment horizontal="right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>
      <alignment horizontal="justify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 applyFont="0" applyFill="0" applyBorder="0" applyAlignment="0" applyProtection="0"/>
    <xf numFmtId="0" fontId="3" fillId="0" borderId="0" applyNumberFormat="0" applyFill="0" applyBorder="0" applyProtection="0">
      <alignment vertical="top"/>
    </xf>
    <xf numFmtId="0" fontId="3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19" fillId="0" borderId="1" applyNumberFormat="0" applyFill="0" applyAlignment="0" applyProtection="0"/>
    <xf numFmtId="0" fontId="3" fillId="0" borderId="2" applyNumberFormat="0" applyFill="0" applyProtection="0">
      <alignment horizontal="center"/>
    </xf>
    <xf numFmtId="0" fontId="3" fillId="0" borderId="2" applyNumberFormat="0" applyFill="0" applyProtection="0">
      <alignment horizontal="center"/>
    </xf>
    <xf numFmtId="0" fontId="28" fillId="0" borderId="2" applyNumberFormat="0" applyFill="0" applyProtection="0">
      <alignment horizontal="center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centerContinuous"/>
    </xf>
    <xf numFmtId="0" fontId="3" fillId="0" borderId="0" applyNumberFormat="0" applyFill="0" applyBorder="0" applyProtection="0">
      <alignment horizontal="centerContinuous"/>
    </xf>
    <xf numFmtId="0" fontId="29" fillId="0" borderId="0" applyNumberFormat="0" applyFill="0" applyBorder="0" applyProtection="0">
      <alignment horizontal="centerContinuous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>
      <alignment horizontal="justify" vertical="center"/>
    </xf>
    <xf numFmtId="0" fontId="22" fillId="0" borderId="0"/>
    <xf numFmtId="187" fontId="30" fillId="0" borderId="3">
      <alignment horizontal="center"/>
    </xf>
    <xf numFmtId="9" fontId="25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9" fontId="3" fillId="0" borderId="0" applyFon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21" borderId="0" applyNumberFormat="0" applyBorder="0" applyAlignment="0" applyProtection="0"/>
    <xf numFmtId="167" fontId="3" fillId="0" borderId="0">
      <protection locked="0"/>
    </xf>
    <xf numFmtId="167" fontId="3" fillId="0" borderId="0"/>
    <xf numFmtId="188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90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0" fontId="11" fillId="5" borderId="0" applyNumberFormat="0" applyBorder="0" applyAlignment="0" applyProtection="0"/>
    <xf numFmtId="0" fontId="32" fillId="0" borderId="0"/>
    <xf numFmtId="0" fontId="33" fillId="0" borderId="4">
      <protection hidden="1"/>
    </xf>
    <xf numFmtId="0" fontId="3" fillId="0" borderId="4">
      <protection hidden="1"/>
    </xf>
    <xf numFmtId="0" fontId="34" fillId="0" borderId="0" applyNumberFormat="0" applyFill="0" applyBorder="0" applyAlignment="0" applyProtection="0"/>
    <xf numFmtId="0" fontId="18" fillId="22" borderId="0">
      <alignment horizontal="left" wrapText="1"/>
    </xf>
    <xf numFmtId="0" fontId="18" fillId="22" borderId="5">
      <alignment horizontal="center" wrapText="1"/>
    </xf>
    <xf numFmtId="192" fontId="22" fillId="23" borderId="0" applyNumberFormat="0" applyFont="0" applyBorder="0" applyAlignment="0" applyProtection="0"/>
    <xf numFmtId="193" fontId="3" fillId="0" borderId="0" applyBorder="0" applyProtection="0"/>
    <xf numFmtId="194" fontId="3" fillId="0" borderId="0"/>
    <xf numFmtId="0" fontId="35" fillId="0" borderId="0" applyNumberFormat="0" applyFill="0" applyBorder="0" applyAlignment="0" applyProtection="0"/>
    <xf numFmtId="195" fontId="36" fillId="0" borderId="6" applyAlignment="0" applyProtection="0"/>
    <xf numFmtId="0" fontId="37" fillId="0" borderId="7" applyNumberFormat="0" applyFont="0" applyFill="0" applyAlignment="0" applyProtection="0"/>
    <xf numFmtId="0" fontId="37" fillId="0" borderId="8" applyNumberFormat="0" applyFont="0" applyFill="0" applyAlignment="0" applyProtection="0"/>
    <xf numFmtId="195" fontId="36" fillId="0" borderId="6" applyAlignment="0" applyProtection="0"/>
    <xf numFmtId="0" fontId="38" fillId="24" borderId="0">
      <alignment horizontal="right"/>
    </xf>
    <xf numFmtId="0" fontId="39" fillId="0" borderId="9" applyNumberFormat="0">
      <alignment horizontal="left" vertical="top"/>
    </xf>
    <xf numFmtId="196" fontId="4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1" fillId="0" borderId="0"/>
    <xf numFmtId="0" fontId="3" fillId="0" borderId="0" applyFill="0" applyBorder="0" applyAlignment="0"/>
    <xf numFmtId="0" fontId="6" fillId="25" borderId="10" applyNumberFormat="0" applyAlignment="0" applyProtection="0"/>
    <xf numFmtId="197" fontId="37" fillId="26" borderId="0" applyNumberFormat="0" applyFont="0" applyBorder="0" applyAlignment="0"/>
    <xf numFmtId="0" fontId="42" fillId="0" borderId="0"/>
    <xf numFmtId="0" fontId="43" fillId="0" borderId="0" applyFill="0" applyBorder="0" applyProtection="0">
      <alignment horizontal="center"/>
      <protection locked="0"/>
    </xf>
    <xf numFmtId="1" fontId="44" fillId="0" borderId="0"/>
    <xf numFmtId="0" fontId="7" fillId="27" borderId="11" applyNumberFormat="0" applyAlignment="0" applyProtection="0"/>
    <xf numFmtId="0" fontId="45" fillId="0" borderId="0">
      <alignment horizontal="center"/>
    </xf>
    <xf numFmtId="0" fontId="39" fillId="0" borderId="0" applyNumberFormat="0" applyFill="0" applyBorder="0" applyAlignment="0" applyProtection="0"/>
    <xf numFmtId="3" fontId="46" fillId="28" borderId="3">
      <alignment horizontal="center"/>
    </xf>
    <xf numFmtId="3" fontId="47" fillId="0" borderId="0">
      <alignment horizontal="left"/>
    </xf>
    <xf numFmtId="0" fontId="43" fillId="0" borderId="9">
      <alignment horizontal="center"/>
    </xf>
    <xf numFmtId="0" fontId="18" fillId="29" borderId="0"/>
    <xf numFmtId="0" fontId="48" fillId="29" borderId="0"/>
    <xf numFmtId="0" fontId="49" fillId="30" borderId="0"/>
    <xf numFmtId="0" fontId="48" fillId="29" borderId="0"/>
    <xf numFmtId="0" fontId="50" fillId="30" borderId="0"/>
    <xf numFmtId="0" fontId="25" fillId="0" borderId="0" applyFont="0" applyFill="0" applyBorder="0" applyAlignment="0" applyProtection="0"/>
    <xf numFmtId="198" fontId="51" fillId="0" borderId="0"/>
    <xf numFmtId="198" fontId="51" fillId="0" borderId="0"/>
    <xf numFmtId="198" fontId="51" fillId="0" borderId="0"/>
    <xf numFmtId="198" fontId="51" fillId="0" borderId="0"/>
    <xf numFmtId="198" fontId="51" fillId="0" borderId="0"/>
    <xf numFmtId="198" fontId="51" fillId="0" borderId="0"/>
    <xf numFmtId="198" fontId="51" fillId="0" borderId="0"/>
    <xf numFmtId="198" fontId="51" fillId="0" borderId="0"/>
    <xf numFmtId="187" fontId="52" fillId="0" borderId="0" applyFont="0" applyFill="0" applyBorder="0" applyAlignment="0" applyProtection="0"/>
    <xf numFmtId="199" fontId="53" fillId="0" borderId="0" applyFont="0" applyFill="0" applyBorder="0" applyAlignment="0" applyProtection="0">
      <alignment horizontal="right"/>
    </xf>
    <xf numFmtId="204" fontId="3" fillId="0" borderId="0" applyFont="0" applyFill="0" applyBorder="0" applyAlignment="0" applyProtection="0"/>
    <xf numFmtId="200" fontId="22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3" fontId="55" fillId="0" borderId="0" applyFont="0" applyFill="0" applyBorder="0" applyAlignment="0" applyProtection="0">
      <protection locked="0"/>
    </xf>
    <xf numFmtId="205" fontId="3" fillId="0" borderId="0" applyFont="0" applyFill="0" applyBorder="0" applyAlignment="0" applyProtection="0"/>
    <xf numFmtId="206" fontId="30" fillId="0" borderId="0" applyFont="0" applyFill="0" applyBorder="0" applyAlignment="0" applyProtection="0"/>
    <xf numFmtId="192" fontId="22" fillId="0" borderId="3" applyFont="0" applyFill="0" applyAlignment="0" applyProtection="0"/>
    <xf numFmtId="207" fontId="3" fillId="0" borderId="0"/>
    <xf numFmtId="3" fontId="56" fillId="0" borderId="0" applyFont="0" applyFill="0" applyBorder="0" applyAlignment="0" applyProtection="0"/>
    <xf numFmtId="0" fontId="57" fillId="0" borderId="0" applyFill="0" applyBorder="0" applyAlignment="0" applyProtection="0">
      <protection locked="0"/>
    </xf>
    <xf numFmtId="0" fontId="58" fillId="0" borderId="0" applyNumberFormat="0" applyAlignment="0">
      <alignment horizontal="left"/>
    </xf>
    <xf numFmtId="0" fontId="59" fillId="0" borderId="0">
      <alignment horizontal="left"/>
    </xf>
    <xf numFmtId="0" fontId="60" fillId="0" borderId="0"/>
    <xf numFmtId="0" fontId="61" fillId="0" borderId="0">
      <alignment horizontal="left"/>
    </xf>
    <xf numFmtId="208" fontId="62" fillId="31" borderId="0"/>
    <xf numFmtId="209" fontId="37" fillId="0" borderId="0" applyFont="0" applyFill="0" applyBorder="0" applyAlignment="0" applyProtection="0"/>
    <xf numFmtId="168" fontId="3" fillId="0" borderId="0" applyFont="0" applyFill="0" applyBorder="0" applyAlignment="0" applyProtection="0"/>
    <xf numFmtId="211" fontId="63" fillId="0" borderId="0" applyBorder="0"/>
    <xf numFmtId="212" fontId="53" fillId="0" borderId="0" applyFont="0" applyFill="0" applyBorder="0" applyAlignment="0" applyProtection="0">
      <alignment horizontal="right"/>
    </xf>
    <xf numFmtId="213" fontId="54" fillId="0" borderId="0" applyFont="0" applyFill="0" applyBorder="0" applyAlignment="0" applyProtection="0"/>
    <xf numFmtId="214" fontId="54" fillId="0" borderId="0" applyFont="0" applyFill="0" applyBorder="0" applyAlignment="0" applyProtection="0"/>
    <xf numFmtId="215" fontId="54" fillId="0" borderId="0" applyFont="0" applyFill="0" applyBorder="0" applyAlignment="0" applyProtection="0"/>
    <xf numFmtId="216" fontId="55" fillId="0" borderId="0" applyFont="0" applyFill="0" applyBorder="0" applyAlignment="0" applyProtection="0">
      <protection locked="0"/>
    </xf>
    <xf numFmtId="0" fontId="53" fillId="0" borderId="0" applyFont="0" applyFill="0" applyBorder="0" applyAlignment="0" applyProtection="0">
      <alignment horizontal="right"/>
    </xf>
    <xf numFmtId="192" fontId="64" fillId="0" borderId="13" applyFont="0" applyFill="0" applyAlignment="0" applyProtection="0"/>
    <xf numFmtId="217" fontId="65" fillId="0" borderId="0" applyFill="0" applyBorder="0" applyProtection="0">
      <alignment vertical="center"/>
    </xf>
    <xf numFmtId="220" fontId="3" fillId="0" borderId="0" applyFont="0" applyFill="0" applyBorder="0" applyAlignment="0" applyProtection="0"/>
    <xf numFmtId="218" fontId="65" fillId="0" borderId="0" applyFill="0" applyBorder="0" applyProtection="0">
      <alignment vertical="center"/>
    </xf>
    <xf numFmtId="221" fontId="3" fillId="0" borderId="0" applyFont="0" applyFill="0" applyBorder="0" applyAlignment="0" applyProtection="0"/>
    <xf numFmtId="171" fontId="3" fillId="0" borderId="0"/>
    <xf numFmtId="219" fontId="65" fillId="0" borderId="0" applyFill="0" applyBorder="0" applyProtection="0">
      <alignment vertical="center"/>
    </xf>
    <xf numFmtId="0" fontId="66" fillId="32" borderId="0"/>
    <xf numFmtId="0" fontId="66" fillId="0" borderId="0"/>
    <xf numFmtId="0" fontId="56" fillId="0" borderId="0" applyFont="0" applyFill="0" applyBorder="0" applyAlignment="0" applyProtection="0"/>
    <xf numFmtId="223" fontId="53" fillId="0" borderId="0" applyFont="0" applyFill="0" applyBorder="0" applyAlignment="0" applyProtection="0"/>
    <xf numFmtId="197" fontId="37" fillId="0" borderId="0" applyFont="0" applyFill="0" applyBorder="0" applyProtection="0">
      <alignment horizontal="right"/>
    </xf>
    <xf numFmtId="14" fontId="67" fillId="0" borderId="0">
      <alignment horizontal="right"/>
      <protection locked="0"/>
    </xf>
    <xf numFmtId="19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222" fontId="22" fillId="0" borderId="0" applyFill="0" applyBorder="0" applyProtection="0">
      <alignment horizontal="right"/>
    </xf>
    <xf numFmtId="15" fontId="68" fillId="0" borderId="0" applyFill="0" applyBorder="0" applyAlignment="0" applyProtection="0"/>
    <xf numFmtId="15" fontId="64" fillId="0" borderId="0" applyFont="0" applyFill="0" applyBorder="0" applyAlignment="0" applyProtection="0"/>
    <xf numFmtId="192" fontId="3" fillId="0" borderId="0" applyBorder="0" applyProtection="0"/>
    <xf numFmtId="224" fontId="3" fillId="0" borderId="0"/>
    <xf numFmtId="192" fontId="3" fillId="0" borderId="0" applyBorder="0" applyProtection="0"/>
    <xf numFmtId="183" fontId="37" fillId="0" borderId="0"/>
    <xf numFmtId="183" fontId="52" fillId="0" borderId="0">
      <protection locked="0"/>
    </xf>
    <xf numFmtId="225" fontId="37" fillId="0" borderId="0"/>
    <xf numFmtId="226" fontId="69" fillId="0" borderId="0" applyFont="0" applyFill="0" applyBorder="0" applyAlignment="0" applyProtection="0"/>
    <xf numFmtId="227" fontId="22" fillId="0" borderId="0" applyFont="0" applyFill="0" applyAlignment="0" applyProtection="0"/>
    <xf numFmtId="0" fontId="70" fillId="0" borderId="0">
      <alignment horizontal="center"/>
      <protection locked="0"/>
    </xf>
    <xf numFmtId="228" fontId="53" fillId="0" borderId="14" applyNumberFormat="0" applyFont="0" applyFill="0" applyAlignment="0" applyProtection="0"/>
    <xf numFmtId="210" fontId="71" fillId="0" borderId="0" applyFill="0" applyBorder="0" applyAlignment="0" applyProtection="0"/>
    <xf numFmtId="2" fontId="39" fillId="0" borderId="0"/>
    <xf numFmtId="2" fontId="39" fillId="0" borderId="15"/>
    <xf numFmtId="0" fontId="3" fillId="33" borderId="0">
      <protection hidden="1"/>
    </xf>
    <xf numFmtId="0" fontId="72" fillId="0" borderId="0" applyNumberFormat="0" applyAlignment="0">
      <alignment horizontal="left"/>
    </xf>
    <xf numFmtId="0" fontId="33" fillId="0" borderId="17">
      <alignment horizontal="center" vertical="top" wrapText="1"/>
      <protection hidden="1"/>
    </xf>
    <xf numFmtId="0" fontId="3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3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3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30" fontId="3" fillId="0" borderId="0" applyFont="0" applyFill="0" applyBorder="0" applyAlignment="0" applyProtection="0"/>
    <xf numFmtId="0" fontId="33" fillId="0" borderId="0"/>
    <xf numFmtId="0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41" fontId="3" fillId="0" borderId="0">
      <protection locked="0"/>
    </xf>
    <xf numFmtId="41" fontId="3" fillId="0" borderId="0">
      <protection locked="0"/>
    </xf>
    <xf numFmtId="41" fontId="3" fillId="0" borderId="0">
      <protection locked="0"/>
    </xf>
    <xf numFmtId="41" fontId="3" fillId="0" borderId="0">
      <protection locked="0"/>
    </xf>
    <xf numFmtId="41" fontId="3" fillId="0" borderId="0">
      <protection locked="0"/>
    </xf>
    <xf numFmtId="41" fontId="3" fillId="0" borderId="0">
      <protection locked="0"/>
    </xf>
    <xf numFmtId="41" fontId="3" fillId="0" borderId="0">
      <protection locked="0"/>
    </xf>
    <xf numFmtId="0" fontId="66" fillId="0" borderId="0"/>
    <xf numFmtId="2" fontId="56" fillId="0" borderId="0" applyFont="0" applyFill="0" applyBorder="0" applyAlignment="0" applyProtection="0"/>
    <xf numFmtId="231" fontId="73" fillId="0" borderId="0" applyFill="0" applyBorder="0">
      <protection locked="0"/>
    </xf>
    <xf numFmtId="0" fontId="39" fillId="0" borderId="18" applyBorder="0">
      <alignment horizontal="right" vertical="center"/>
    </xf>
    <xf numFmtId="0" fontId="74" fillId="0" borderId="0">
      <alignment horizontal="left"/>
    </xf>
    <xf numFmtId="0" fontId="75" fillId="0" borderId="0">
      <alignment horizontal="left"/>
    </xf>
    <xf numFmtId="0" fontId="76" fillId="0" borderId="0" applyFill="0" applyBorder="0" applyProtection="0">
      <alignment horizontal="left"/>
    </xf>
    <xf numFmtId="0" fontId="76" fillId="0" borderId="0">
      <alignment horizontal="left"/>
    </xf>
    <xf numFmtId="0" fontId="76" fillId="0" borderId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78" fillId="30" borderId="0"/>
    <xf numFmtId="0" fontId="5" fillId="6" borderId="0" applyNumberFormat="0" applyBorder="0" applyAlignment="0" applyProtection="0"/>
    <xf numFmtId="192" fontId="22" fillId="34" borderId="0" applyNumberFormat="0" applyFont="0" applyBorder="0" applyAlignment="0" applyProtection="0"/>
    <xf numFmtId="38" fontId="39" fillId="28" borderId="0" applyNumberFormat="0" applyFont="0" applyBorder="0" applyAlignment="0">
      <protection hidden="1"/>
    </xf>
    <xf numFmtId="192" fontId="22" fillId="35" borderId="0" applyNumberFormat="0" applyFont="0" applyBorder="0" applyAlignment="0" applyProtection="0"/>
    <xf numFmtId="38" fontId="39" fillId="2" borderId="0" applyNumberFormat="0" applyBorder="0" applyAlignment="0" applyProtection="0"/>
    <xf numFmtId="232" fontId="53" fillId="0" borderId="0" applyFont="0" applyFill="0" applyBorder="0" applyAlignment="0" applyProtection="0">
      <alignment horizontal="right"/>
    </xf>
    <xf numFmtId="0" fontId="38" fillId="36" borderId="19">
      <alignment horizontal="center" vertical="center" wrapText="1"/>
    </xf>
    <xf numFmtId="0" fontId="21" fillId="0" borderId="20">
      <alignment horizontal="center" vertical="center"/>
    </xf>
    <xf numFmtId="0" fontId="79" fillId="0" borderId="0" applyProtection="0">
      <alignment horizontal="right"/>
    </xf>
    <xf numFmtId="0" fontId="80" fillId="0" borderId="0">
      <alignment horizontal="left"/>
    </xf>
    <xf numFmtId="0" fontId="81" fillId="0" borderId="0">
      <alignment horizontal="centerContinuous"/>
    </xf>
    <xf numFmtId="0" fontId="79" fillId="0" borderId="0" applyProtection="0">
      <alignment horizontal="right"/>
    </xf>
    <xf numFmtId="0" fontId="55" fillId="0" borderId="21" applyNumberFormat="0" applyAlignment="0" applyProtection="0">
      <alignment horizontal="left" vertical="center"/>
    </xf>
    <xf numFmtId="0" fontId="55" fillId="0" borderId="22">
      <alignment horizontal="left" vertical="center"/>
    </xf>
    <xf numFmtId="0" fontId="82" fillId="0" borderId="0">
      <alignment horizontal="center"/>
    </xf>
    <xf numFmtId="0" fontId="82" fillId="0" borderId="0">
      <alignment horizontal="center"/>
    </xf>
    <xf numFmtId="0" fontId="16" fillId="0" borderId="16" applyNumberFormat="0" applyFill="0" applyAlignment="0" applyProtection="0"/>
    <xf numFmtId="0" fontId="83" fillId="0" borderId="0">
      <alignment horizontal="left"/>
    </xf>
    <xf numFmtId="0" fontId="84" fillId="0" borderId="23">
      <alignment horizontal="left" vertical="top"/>
    </xf>
    <xf numFmtId="0" fontId="84" fillId="0" borderId="23">
      <alignment horizontal="left" vertical="top"/>
    </xf>
    <xf numFmtId="0" fontId="17" fillId="0" borderId="24" applyNumberFormat="0" applyFill="0" applyAlignment="0" applyProtection="0"/>
    <xf numFmtId="0" fontId="85" fillId="0" borderId="0">
      <alignment horizontal="left"/>
    </xf>
    <xf numFmtId="0" fontId="86" fillId="0" borderId="0" applyProtection="0">
      <alignment horizontal="left"/>
    </xf>
    <xf numFmtId="0" fontId="87" fillId="0" borderId="23">
      <alignment horizontal="left" vertical="top"/>
    </xf>
    <xf numFmtId="0" fontId="9" fillId="0" borderId="25" applyNumberFormat="0" applyFill="0" applyAlignment="0" applyProtection="0"/>
    <xf numFmtId="0" fontId="88" fillId="0" borderId="0">
      <alignment horizontal="left"/>
    </xf>
    <xf numFmtId="0" fontId="9" fillId="0" borderId="0" applyNumberFormat="0" applyFill="0" applyBorder="0" applyAlignment="0" applyProtection="0"/>
    <xf numFmtId="197" fontId="89" fillId="0" borderId="0">
      <alignment horizontal="right"/>
    </xf>
    <xf numFmtId="0" fontId="43" fillId="0" borderId="0" applyFill="0" applyAlignment="0" applyProtection="0">
      <protection locked="0"/>
    </xf>
    <xf numFmtId="197" fontId="89" fillId="0" borderId="0">
      <alignment horizontal="left"/>
    </xf>
    <xf numFmtId="0" fontId="43" fillId="0" borderId="3" applyFill="0" applyAlignment="0" applyProtection="0">
      <protection locked="0"/>
    </xf>
    <xf numFmtId="0" fontId="90" fillId="25" borderId="20">
      <alignment horizontal="centerContinuous"/>
    </xf>
    <xf numFmtId="41" fontId="3" fillId="0" borderId="0">
      <protection locked="0"/>
    </xf>
    <xf numFmtId="41" fontId="3" fillId="0" borderId="0">
      <protection locked="0"/>
    </xf>
    <xf numFmtId="0" fontId="91" fillId="0" borderId="26"/>
    <xf numFmtId="0" fontId="92" fillId="0" borderId="0">
      <alignment horizontal="left"/>
    </xf>
    <xf numFmtId="0" fontId="3" fillId="0" borderId="0"/>
    <xf numFmtId="0" fontId="3" fillId="0" borderId="0"/>
    <xf numFmtId="0" fontId="93" fillId="0" borderId="27">
      <alignment horizontal="center"/>
      <protection hidden="1"/>
    </xf>
    <xf numFmtId="0" fontId="94" fillId="0" borderId="0" applyNumberFormat="0" applyFill="0" applyBorder="0" applyAlignment="0" applyProtection="0"/>
    <xf numFmtId="3" fontId="95" fillId="37" borderId="0"/>
    <xf numFmtId="0" fontId="96" fillId="0" borderId="0" applyNumberFormat="0" applyFill="0" applyBorder="0" applyAlignment="0" applyProtection="0">
      <alignment vertical="top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0" fontId="10" fillId="9" borderId="10" applyNumberFormat="0" applyAlignment="0" applyProtection="0"/>
    <xf numFmtId="10" fontId="39" fillId="38" borderId="20" applyNumberFormat="0" applyBorder="0" applyAlignment="0" applyProtection="0"/>
    <xf numFmtId="233" fontId="39" fillId="0" borderId="0" applyFill="0" applyBorder="0" applyProtection="0"/>
    <xf numFmtId="234" fontId="39" fillId="0" borderId="0" applyFill="0" applyBorder="0" applyProtection="0"/>
    <xf numFmtId="233" fontId="39" fillId="0" borderId="0" applyFill="0" applyBorder="0" applyProtection="0"/>
    <xf numFmtId="235" fontId="39" fillId="38" borderId="0" applyFont="0" applyBorder="0" applyAlignment="0" applyProtection="0">
      <protection locked="0"/>
    </xf>
    <xf numFmtId="236" fontId="3" fillId="0" borderId="0" applyFill="0" applyBorder="0" applyProtection="0"/>
    <xf numFmtId="237" fontId="3" fillId="0" borderId="0" applyFill="0" applyBorder="0" applyProtection="0"/>
    <xf numFmtId="183" fontId="98" fillId="0" borderId="28" applyFill="0" applyBorder="0" applyAlignment="0" applyProtection="0"/>
    <xf numFmtId="0" fontId="3" fillId="0" borderId="29">
      <alignment horizontal="left" vertical="center" indent="1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" fontId="99" fillId="0" borderId="0">
      <alignment wrapText="1"/>
    </xf>
    <xf numFmtId="38" fontId="100" fillId="0" borderId="0" applyFont="0" applyFill="0" applyBorder="0" applyAlignment="0" applyProtection="0"/>
    <xf numFmtId="238" fontId="3" fillId="0" borderId="0" applyFont="0" applyFill="0" applyBorder="0" applyAlignment="0" applyProtection="0"/>
    <xf numFmtId="0" fontId="3" fillId="0" borderId="20">
      <alignment horizontal="left" vertical="center" indent="1"/>
    </xf>
    <xf numFmtId="239" fontId="37" fillId="0" borderId="0">
      <alignment horizontal="left"/>
    </xf>
    <xf numFmtId="0" fontId="28" fillId="0" borderId="0"/>
    <xf numFmtId="240" fontId="3" fillId="0" borderId="0"/>
    <xf numFmtId="190" fontId="3" fillId="0" borderId="0"/>
    <xf numFmtId="187" fontId="3" fillId="0" borderId="0"/>
    <xf numFmtId="0" fontId="18" fillId="29" borderId="0"/>
    <xf numFmtId="0" fontId="93" fillId="30" borderId="0"/>
    <xf numFmtId="0" fontId="8" fillId="0" borderId="12" applyNumberFormat="0" applyFill="0" applyAlignment="0" applyProtection="0"/>
    <xf numFmtId="0" fontId="66" fillId="32" borderId="0"/>
    <xf numFmtId="241" fontId="101" fillId="38" borderId="0">
      <alignment horizontal="left"/>
    </xf>
    <xf numFmtId="241" fontId="101" fillId="38" borderId="0">
      <alignment horizontal="left"/>
    </xf>
    <xf numFmtId="242" fontId="68" fillId="0" borderId="0" applyFill="0" applyBorder="0" applyAlignment="0" applyProtection="0"/>
    <xf numFmtId="164" fontId="3" fillId="0" borderId="0" applyFont="0" applyFill="0" applyBorder="0" applyAlignment="0" applyProtection="0"/>
    <xf numFmtId="38" fontId="102" fillId="0" borderId="0" applyFont="0" applyFill="0" applyBorder="0" applyAlignment="0" applyProtection="0"/>
    <xf numFmtId="40" fontId="102" fillId="0" borderId="0" applyFont="0" applyFill="0" applyBorder="0" applyAlignment="0" applyProtection="0"/>
    <xf numFmtId="243" fontId="3" fillId="0" borderId="0" applyFont="0" applyFill="0" applyBorder="0" applyAlignment="0" applyProtection="0"/>
    <xf numFmtId="24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45" fontId="31" fillId="2" borderId="7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46" fontId="3" fillId="0" borderId="0" applyFont="0" applyFill="0" applyBorder="0" applyAlignment="0" applyProtection="0">
      <alignment horizontal="right"/>
    </xf>
    <xf numFmtId="247" fontId="103" fillId="0" borderId="0"/>
    <xf numFmtId="247" fontId="103" fillId="0" borderId="15"/>
    <xf numFmtId="0" fontId="104" fillId="0" borderId="7"/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44" fontId="169" fillId="0" borderId="0" applyFont="0" applyFill="0" applyBorder="0" applyAlignment="0" applyProtection="0"/>
    <xf numFmtId="210" fontId="3" fillId="0" borderId="0" applyFont="0" applyFill="0" applyBorder="0" applyAlignment="0" applyProtection="0"/>
    <xf numFmtId="0" fontId="106" fillId="0" borderId="0" applyFont="0" applyFill="0" applyProtection="0"/>
    <xf numFmtId="248" fontId="106" fillId="0" borderId="0" applyFont="0" applyFill="0" applyProtection="0"/>
    <xf numFmtId="248" fontId="106" fillId="0" borderId="0" applyFont="0" applyFill="0" applyProtection="0"/>
    <xf numFmtId="0" fontId="106" fillId="0" borderId="0" applyFont="0" applyFill="0" applyProtection="0"/>
    <xf numFmtId="248" fontId="106" fillId="0" borderId="0" applyFont="0" applyFill="0" applyProtection="0"/>
    <xf numFmtId="0" fontId="106" fillId="0" borderId="0" applyFont="0" applyFill="0" applyProtection="0"/>
    <xf numFmtId="248" fontId="106" fillId="0" borderId="0" applyFont="0" applyFill="0" applyProtection="0"/>
    <xf numFmtId="0" fontId="106" fillId="0" borderId="0" applyFont="0" applyFill="0" applyProtection="0"/>
    <xf numFmtId="209" fontId="3" fillId="0" borderId="0" applyFont="0" applyFill="0" applyBorder="0" applyAlignment="0" applyProtection="0"/>
    <xf numFmtId="0" fontId="106" fillId="0" borderId="0" applyFont="0" applyFill="0" applyProtection="0"/>
    <xf numFmtId="211" fontId="106" fillId="0" borderId="0" applyFont="0" applyFill="0" applyProtection="0"/>
    <xf numFmtId="211" fontId="106" fillId="0" borderId="0" applyFont="0" applyFill="0" applyProtection="0"/>
    <xf numFmtId="0" fontId="106" fillId="0" borderId="0" applyFont="0" applyFill="0" applyProtection="0"/>
    <xf numFmtId="211" fontId="106" fillId="0" borderId="0" applyFont="0" applyFill="0" applyProtection="0"/>
    <xf numFmtId="0" fontId="106" fillId="0" borderId="0" applyFont="0" applyFill="0" applyProtection="0"/>
    <xf numFmtId="248" fontId="106" fillId="0" borderId="0" applyFont="0" applyFill="0" applyProtection="0"/>
    <xf numFmtId="211" fontId="106" fillId="0" borderId="0" applyFont="0" applyFill="0" applyProtection="0"/>
    <xf numFmtId="249" fontId="53" fillId="0" borderId="0" applyFont="0" applyFill="0" applyBorder="0" applyAlignment="0" applyProtection="0">
      <alignment horizontal="right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250" fontId="53" fillId="0" borderId="0" applyFont="0" applyFill="0" applyBorder="0" applyProtection="0">
      <alignment horizontal="right"/>
    </xf>
    <xf numFmtId="251" fontId="3" fillId="0" borderId="0"/>
    <xf numFmtId="252" fontId="107" fillId="0" borderId="0" applyFill="0" applyBorder="0" applyAlignment="0" applyProtection="0"/>
    <xf numFmtId="17" fontId="64" fillId="0" borderId="0" applyFont="0" applyFill="0" applyBorder="0" applyAlignment="0" applyProtection="0"/>
    <xf numFmtId="0" fontId="3" fillId="39" borderId="30">
      <protection hidden="1"/>
    </xf>
    <xf numFmtId="0" fontId="73" fillId="0" borderId="20"/>
    <xf numFmtId="37" fontId="108" fillId="0" borderId="0"/>
    <xf numFmtId="1" fontId="64" fillId="0" borderId="3" applyFont="0" applyFill="0" applyBorder="0" applyAlignment="0" applyProtection="0"/>
    <xf numFmtId="0" fontId="66" fillId="40" borderId="0"/>
    <xf numFmtId="0" fontId="66" fillId="0" borderId="0"/>
    <xf numFmtId="253" fontId="22" fillId="0" borderId="0" applyFont="0" applyFill="0" applyBorder="0" applyAlignment="0" applyProtection="0"/>
    <xf numFmtId="0" fontId="66" fillId="0" borderId="0"/>
    <xf numFmtId="0" fontId="85" fillId="0" borderId="0"/>
    <xf numFmtId="239" fontId="109" fillId="0" borderId="0"/>
    <xf numFmtId="40" fontId="39" fillId="0" borderId="0" applyFont="0" applyFill="0" applyBorder="0" applyAlignment="0"/>
    <xf numFmtId="0" fontId="110" fillId="0" borderId="0"/>
    <xf numFmtId="0" fontId="110" fillId="0" borderId="0"/>
    <xf numFmtId="0" fontId="3" fillId="0" borderId="0"/>
    <xf numFmtId="169" fontId="3" fillId="0" borderId="0">
      <alignment horizontal="left" wrapText="1"/>
    </xf>
    <xf numFmtId="0" fontId="3" fillId="0" borderId="0"/>
    <xf numFmtId="0" fontId="3" fillId="0" borderId="0"/>
    <xf numFmtId="254" fontId="43" fillId="0" borderId="0" applyNumberFormat="0" applyFill="0" applyBorder="0" applyAlignment="0" applyProtection="0"/>
    <xf numFmtId="0" fontId="111" fillId="0" borderId="0"/>
    <xf numFmtId="0" fontId="2" fillId="0" borderId="0"/>
    <xf numFmtId="0" fontId="102" fillId="0" borderId="0"/>
    <xf numFmtId="0" fontId="85" fillId="0" borderId="0"/>
    <xf numFmtId="247" fontId="39" fillId="0" borderId="0"/>
    <xf numFmtId="247" fontId="39" fillId="0" borderId="15"/>
    <xf numFmtId="0" fontId="1" fillId="41" borderId="31" applyNumberFormat="0" applyFont="0" applyAlignment="0" applyProtection="0"/>
    <xf numFmtId="1" fontId="52" fillId="0" borderId="0">
      <alignment horizontal="right"/>
      <protection locked="0"/>
    </xf>
    <xf numFmtId="171" fontId="112" fillId="0" borderId="0">
      <alignment horizontal="right"/>
      <protection locked="0"/>
    </xf>
    <xf numFmtId="255" fontId="52" fillId="0" borderId="0">
      <protection locked="0"/>
    </xf>
    <xf numFmtId="2" fontId="112" fillId="0" borderId="0">
      <alignment horizontal="right"/>
      <protection locked="0"/>
    </xf>
    <xf numFmtId="2" fontId="52" fillId="0" borderId="0">
      <alignment horizontal="right"/>
      <protection locked="0"/>
    </xf>
    <xf numFmtId="255" fontId="113" fillId="0" borderId="0" applyFont="0" applyFill="0" applyBorder="0" applyAlignment="0" applyProtection="0">
      <alignment horizontal="right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256" fontId="3" fillId="0" borderId="0" applyBorder="0" applyProtection="0"/>
    <xf numFmtId="0" fontId="114" fillId="0" borderId="0">
      <alignment horizontal="left" vertical="top"/>
      <protection locked="0"/>
    </xf>
    <xf numFmtId="0" fontId="12" fillId="25" borderId="32" applyNumberFormat="0" applyAlignment="0" applyProtection="0"/>
    <xf numFmtId="257" fontId="3" fillId="30" borderId="0">
      <alignment horizontal="right"/>
    </xf>
    <xf numFmtId="0" fontId="115" fillId="31" borderId="0">
      <alignment horizontal="center"/>
    </xf>
    <xf numFmtId="0" fontId="18" fillId="42" borderId="0"/>
    <xf numFmtId="0" fontId="116" fillId="30" borderId="0" applyBorder="0">
      <alignment horizontal="centerContinuous"/>
    </xf>
    <xf numFmtId="0" fontId="117" fillId="42" borderId="0" applyBorder="0">
      <alignment horizontal="centerContinuous"/>
    </xf>
    <xf numFmtId="0" fontId="118" fillId="42" borderId="0"/>
    <xf numFmtId="0" fontId="39" fillId="0" borderId="0" applyFill="0" applyBorder="0" applyProtection="0">
      <alignment horizontal="center"/>
    </xf>
    <xf numFmtId="38" fontId="37" fillId="1" borderId="33" applyNumberFormat="0" applyFill="0" applyBorder="0">
      <protection locked="0"/>
    </xf>
    <xf numFmtId="0" fontId="119" fillId="0" borderId="0" applyFill="0" applyBorder="0" applyProtection="0">
      <alignment horizontal="left"/>
    </xf>
    <xf numFmtId="0" fontId="120" fillId="0" borderId="0" applyFill="0" applyBorder="0" applyProtection="0">
      <alignment horizontal="left"/>
    </xf>
    <xf numFmtId="1" fontId="121" fillId="0" borderId="0" applyProtection="0">
      <alignment horizontal="right" vertical="center"/>
    </xf>
    <xf numFmtId="0" fontId="122" fillId="24" borderId="0"/>
    <xf numFmtId="0" fontId="123" fillId="0" borderId="0"/>
    <xf numFmtId="0" fontId="3" fillId="0" borderId="0"/>
    <xf numFmtId="210" fontId="124" fillId="0" borderId="0" applyFont="0" applyFill="0" applyBorder="0" applyAlignment="0" applyProtection="0"/>
    <xf numFmtId="209" fontId="3" fillId="0" borderId="0" applyFont="0" applyFill="0" applyBorder="0" applyAlignment="0" applyProtection="0"/>
    <xf numFmtId="248" fontId="3" fillId="0" borderId="0"/>
    <xf numFmtId="167" fontId="37" fillId="0" borderId="0">
      <alignment horizontal="right"/>
    </xf>
    <xf numFmtId="259" fontId="54" fillId="0" borderId="0" applyFont="0" applyFill="0" applyBorder="0" applyAlignment="0" applyProtection="0"/>
    <xf numFmtId="260" fontId="22" fillId="0" borderId="0" applyFont="0" applyFill="0" applyBorder="0" applyAlignment="0" applyProtection="0"/>
    <xf numFmtId="0" fontId="54" fillId="0" borderId="0" applyFont="0" applyFill="0" applyBorder="0" applyAlignment="0" applyProtection="0"/>
    <xf numFmtId="9" fontId="65" fillId="0" borderId="0" applyFont="0" applyFill="0" applyBorder="0" applyAlignment="0" applyProtection="0"/>
    <xf numFmtId="167" fontId="65" fillId="0" borderId="0" applyFont="0" applyFill="0" applyBorder="0" applyAlignment="0" applyProtection="0"/>
    <xf numFmtId="258" fontId="3" fillId="0" borderId="0" applyFont="0" applyFill="0" applyBorder="0" applyAlignment="0"/>
    <xf numFmtId="261" fontId="54" fillId="0" borderId="0" applyFont="0" applyFill="0" applyBorder="0" applyAlignment="0" applyProtection="0"/>
    <xf numFmtId="262" fontId="22" fillId="0" borderId="0" applyFont="0" applyFill="0" applyBorder="0" applyAlignment="0" applyProtection="0"/>
    <xf numFmtId="0" fontId="54" fillId="0" borderId="0" applyFont="0" applyFill="0" applyBorder="0" applyAlignment="0" applyProtection="0"/>
    <xf numFmtId="263" fontId="54" fillId="0" borderId="0" applyFont="0" applyFill="0" applyBorder="0" applyAlignment="0" applyProtection="0"/>
    <xf numFmtId="264" fontId="22" fillId="0" borderId="0" applyFont="0" applyFill="0" applyBorder="0" applyAlignment="0" applyProtection="0"/>
    <xf numFmtId="0" fontId="54" fillId="0" borderId="0" applyFont="0" applyFill="0" applyBorder="0" applyAlignment="0" applyProtection="0"/>
    <xf numFmtId="265" fontId="54" fillId="0" borderId="0" applyFont="0" applyFill="0" applyBorder="0" applyAlignment="0" applyProtection="0"/>
    <xf numFmtId="266" fontId="22" fillId="0" borderId="0" applyFont="0" applyFill="0" applyBorder="0" applyAlignment="0" applyProtection="0"/>
    <xf numFmtId="0" fontId="54" fillId="0" borderId="0" applyFont="0" applyFill="0" applyBorder="0" applyAlignment="0" applyProtection="0"/>
    <xf numFmtId="267" fontId="55" fillId="0" borderId="0" applyFont="0" applyFill="0" applyBorder="0" applyAlignment="0" applyProtection="0">
      <protection locked="0"/>
    </xf>
    <xf numFmtId="268" fontId="30" fillId="0" borderId="0" applyFont="0" applyFill="0" applyBorder="0" applyAlignment="0" applyProtection="0"/>
    <xf numFmtId="0" fontId="55" fillId="0" borderId="0" applyFont="0" applyFill="0" applyBorder="0" applyAlignment="0" applyProtection="0">
      <protection locked="0"/>
    </xf>
    <xf numFmtId="269" fontId="37" fillId="0" borderId="0" applyFont="0" applyFill="0" applyBorder="0" applyProtection="0">
      <alignment horizontal="right"/>
    </xf>
    <xf numFmtId="167" fontId="37" fillId="0" borderId="0"/>
    <xf numFmtId="167" fontId="52" fillId="0" borderId="0"/>
    <xf numFmtId="10" fontId="37" fillId="0" borderId="0"/>
    <xf numFmtId="10" fontId="52" fillId="0" borderId="0">
      <protection locked="0"/>
    </xf>
    <xf numFmtId="167" fontId="39" fillId="0" borderId="0"/>
    <xf numFmtId="167" fontId="39" fillId="0" borderId="15"/>
    <xf numFmtId="9" fontId="2" fillId="0" borderId="0" applyFont="0" applyFill="0" applyBorder="0" applyAlignment="0" applyProtection="0"/>
    <xf numFmtId="9" fontId="1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6" fillId="0" borderId="0" applyFont="0" applyFill="0" applyProtection="0"/>
    <xf numFmtId="184" fontId="37" fillId="0" borderId="0" applyProtection="0">
      <alignment horizontal="right"/>
    </xf>
    <xf numFmtId="184" fontId="52" fillId="0" borderId="0">
      <alignment horizontal="right"/>
      <protection locked="0"/>
    </xf>
    <xf numFmtId="37" fontId="65" fillId="0" borderId="0"/>
    <xf numFmtId="1" fontId="3" fillId="0" borderId="26" applyNumberFormat="0" applyFill="0" applyAlignment="0" applyProtection="0">
      <alignment horizontal="center" vertical="center"/>
    </xf>
    <xf numFmtId="0" fontId="93" fillId="3" borderId="0"/>
    <xf numFmtId="0" fontId="125" fillId="30" borderId="0"/>
    <xf numFmtId="14" fontId="64" fillId="0" borderId="0" applyNumberFormat="0" applyFill="0" applyBorder="0" applyAlignment="0" applyProtection="0">
      <alignment horizontal="left"/>
    </xf>
    <xf numFmtId="0" fontId="48" fillId="29" borderId="0"/>
    <xf numFmtId="0" fontId="48" fillId="29" borderId="0"/>
    <xf numFmtId="0" fontId="97" fillId="30" borderId="0"/>
    <xf numFmtId="0" fontId="97" fillId="30" borderId="0"/>
    <xf numFmtId="0" fontId="18" fillId="29" borderId="0"/>
    <xf numFmtId="0" fontId="97" fillId="30" borderId="0"/>
    <xf numFmtId="0" fontId="18" fillId="29" borderId="0"/>
    <xf numFmtId="0" fontId="18" fillId="29" borderId="0"/>
    <xf numFmtId="0" fontId="93" fillId="30" borderId="0"/>
    <xf numFmtId="0" fontId="48" fillId="29" borderId="0"/>
    <xf numFmtId="0" fontId="75" fillId="0" borderId="34">
      <alignment vertical="center"/>
    </xf>
    <xf numFmtId="0" fontId="97" fillId="9" borderId="0"/>
    <xf numFmtId="0" fontId="113" fillId="9" borderId="0"/>
    <xf numFmtId="4" fontId="126" fillId="43" borderId="35" applyNumberFormat="0" applyProtection="0">
      <alignment vertical="center"/>
    </xf>
    <xf numFmtId="0" fontId="93" fillId="43" borderId="36" applyNumberFormat="0" applyProtection="0">
      <alignment horizontal="left" vertical="top" indent="1"/>
    </xf>
    <xf numFmtId="4" fontId="127" fillId="44" borderId="0" applyNumberFormat="0" applyProtection="0">
      <alignment horizontal="left" vertical="center" indent="1"/>
    </xf>
    <xf numFmtId="4" fontId="127" fillId="45" borderId="36" applyNumberFormat="0" applyProtection="0">
      <alignment horizontal="right" vertical="center"/>
    </xf>
    <xf numFmtId="4" fontId="125" fillId="46" borderId="36" applyNumberFormat="0" applyProtection="0">
      <alignment horizontal="left" vertical="center" indent="1"/>
    </xf>
    <xf numFmtId="0" fontId="33" fillId="47" borderId="36" applyNumberFormat="0" applyProtection="0">
      <alignment horizontal="left" vertical="top" indent="1"/>
    </xf>
    <xf numFmtId="0" fontId="93" fillId="0" borderId="4">
      <alignment horizontal="left" wrapText="1"/>
      <protection hidden="1"/>
    </xf>
    <xf numFmtId="0" fontId="128" fillId="0" borderId="17">
      <alignment horizontal="right" wrapText="1"/>
      <protection hidden="1"/>
    </xf>
    <xf numFmtId="0" fontId="93" fillId="0" borderId="4">
      <alignment vertical="top" wrapText="1"/>
      <protection hidden="1"/>
    </xf>
    <xf numFmtId="0" fontId="28" fillId="0" borderId="4">
      <alignment vertical="top" wrapText="1"/>
      <protection hidden="1"/>
    </xf>
    <xf numFmtId="0" fontId="3" fillId="0" borderId="17">
      <alignment horizontal="center"/>
      <protection hidden="1"/>
    </xf>
    <xf numFmtId="0" fontId="3" fillId="0" borderId="17">
      <protection locked="0"/>
    </xf>
    <xf numFmtId="0" fontId="129" fillId="0" borderId="17">
      <protection hidden="1"/>
    </xf>
    <xf numFmtId="0" fontId="130" fillId="0" borderId="17">
      <alignment vertical="top" wrapText="1"/>
      <protection hidden="1"/>
    </xf>
    <xf numFmtId="0" fontId="128" fillId="0" borderId="17">
      <protection hidden="1"/>
    </xf>
    <xf numFmtId="270" fontId="3" fillId="0" borderId="0" applyFont="0" applyFill="0" applyBorder="0" applyAlignment="0" applyProtection="0"/>
    <xf numFmtId="271" fontId="3" fillId="0" borderId="0" applyFont="0" applyFill="0" applyBorder="0" applyAlignment="0" applyProtection="0"/>
    <xf numFmtId="0" fontId="131" fillId="0" borderId="17">
      <protection locked="0"/>
    </xf>
    <xf numFmtId="0" fontId="22" fillId="48" borderId="0" applyNumberFormat="0" applyFont="0" applyBorder="0" applyAlignment="0" applyProtection="0"/>
    <xf numFmtId="0" fontId="132" fillId="0" borderId="37">
      <alignment horizontal="center" vertical="center" wrapText="1"/>
      <protection hidden="1"/>
    </xf>
    <xf numFmtId="210" fontId="40" fillId="0" borderId="0" applyFill="0" applyBorder="0" applyAlignment="0" applyProtection="0"/>
    <xf numFmtId="0" fontId="89" fillId="0" borderId="0" applyFill="0" applyBorder="0" applyProtection="0">
      <alignment horizontal="centerContinuous" vertical="top"/>
    </xf>
    <xf numFmtId="0" fontId="22" fillId="0" borderId="0" applyFill="0" applyBorder="0" applyProtection="0">
      <alignment horizontal="left"/>
    </xf>
    <xf numFmtId="0" fontId="93" fillId="0" borderId="4">
      <alignment horizontal="left" wrapText="1"/>
      <protection locked="0"/>
    </xf>
    <xf numFmtId="0" fontId="33" fillId="0" borderId="17">
      <alignment horizontal="right" wrapText="1"/>
      <protection locked="0"/>
    </xf>
    <xf numFmtId="0" fontId="133" fillId="0" borderId="17">
      <protection hidden="1"/>
    </xf>
    <xf numFmtId="0" fontId="134" fillId="0" borderId="17">
      <protection hidden="1"/>
    </xf>
    <xf numFmtId="0" fontId="135" fillId="0" borderId="17">
      <alignment vertical="top" wrapText="1"/>
      <protection hidden="1"/>
    </xf>
    <xf numFmtId="0" fontId="136" fillId="0" borderId="17">
      <protection hidden="1"/>
    </xf>
    <xf numFmtId="0" fontId="93" fillId="0" borderId="4">
      <alignment vertical="top" wrapText="1"/>
      <protection hidden="1"/>
    </xf>
    <xf numFmtId="3" fontId="137" fillId="28" borderId="0">
      <alignment horizontal="center"/>
    </xf>
    <xf numFmtId="0" fontId="138" fillId="0" borderId="0"/>
    <xf numFmtId="0" fontId="24" fillId="0" borderId="0">
      <alignment horizontal="justify" vertical="center"/>
    </xf>
    <xf numFmtId="0" fontId="3" fillId="0" borderId="0"/>
    <xf numFmtId="0" fontId="3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3" fontId="3" fillId="49" borderId="0">
      <alignment horizontal="center"/>
      <protection locked="0"/>
    </xf>
    <xf numFmtId="3" fontId="40" fillId="0" borderId="0"/>
    <xf numFmtId="40" fontId="140" fillId="0" borderId="0" applyBorder="0">
      <alignment horizontal="right"/>
    </xf>
    <xf numFmtId="38" fontId="105" fillId="0" borderId="0">
      <protection locked="0" hidden="1"/>
    </xf>
    <xf numFmtId="38" fontId="105" fillId="0" borderId="0">
      <protection locked="0" hidden="1"/>
    </xf>
    <xf numFmtId="0" fontId="20" fillId="0" borderId="0" applyFill="0" applyBorder="0" applyProtection="0">
      <alignment horizontal="center" vertical="center"/>
    </xf>
    <xf numFmtId="0" fontId="141" fillId="0" borderId="0" applyBorder="0" applyProtection="0">
      <alignment vertical="center"/>
    </xf>
    <xf numFmtId="228" fontId="141" fillId="0" borderId="3" applyBorder="0" applyProtection="0">
      <alignment horizontal="right" vertical="center"/>
    </xf>
    <xf numFmtId="0" fontId="142" fillId="50" borderId="0" applyBorder="0" applyProtection="0">
      <alignment horizontal="centerContinuous" vertical="center"/>
    </xf>
    <xf numFmtId="0" fontId="142" fillId="51" borderId="3" applyBorder="0" applyProtection="0">
      <alignment horizontal="centerContinuous" vertical="center"/>
    </xf>
    <xf numFmtId="0" fontId="141" fillId="0" borderId="0" applyBorder="0" applyProtection="0">
      <alignment vertical="center"/>
    </xf>
    <xf numFmtId="0" fontId="76" fillId="0" borderId="0">
      <alignment horizontal="left"/>
    </xf>
    <xf numFmtId="0" fontId="20" fillId="0" borderId="0" applyFill="0" applyBorder="0" applyProtection="0"/>
    <xf numFmtId="0" fontId="85" fillId="0" borderId="0"/>
    <xf numFmtId="0" fontId="143" fillId="0" borderId="0" applyFill="0" applyBorder="0" applyProtection="0">
      <alignment horizontal="left"/>
    </xf>
    <xf numFmtId="0" fontId="76" fillId="0" borderId="23" applyFill="0" applyBorder="0" applyProtection="0">
      <alignment horizontal="left" vertical="top"/>
    </xf>
    <xf numFmtId="0" fontId="144" fillId="0" borderId="0">
      <alignment horizontal="centerContinuous"/>
    </xf>
    <xf numFmtId="272" fontId="145" fillId="0" borderId="0" applyNumberFormat="0" applyFill="0" applyBorder="0">
      <alignment horizontal="left"/>
    </xf>
    <xf numFmtId="272" fontId="146" fillId="0" borderId="0" applyNumberFormat="0" applyFill="0" applyBorder="0">
      <alignment horizontal="right"/>
    </xf>
    <xf numFmtId="0" fontId="3" fillId="0" borderId="20">
      <alignment horizontal="left" vertical="center" wrapText="1" indent="1"/>
    </xf>
    <xf numFmtId="0" fontId="147" fillId="0" borderId="0"/>
    <xf numFmtId="0" fontId="148" fillId="0" borderId="0"/>
    <xf numFmtId="197" fontId="52" fillId="0" borderId="0">
      <alignment horizontal="left"/>
      <protection locked="0"/>
    </xf>
    <xf numFmtId="0" fontId="149" fillId="0" borderId="0"/>
    <xf numFmtId="0" fontId="150" fillId="0" borderId="0"/>
    <xf numFmtId="0" fontId="148" fillId="0" borderId="0"/>
    <xf numFmtId="0" fontId="148" fillId="0" borderId="0"/>
    <xf numFmtId="0" fontId="3" fillId="0" borderId="20">
      <alignment horizontal="left" vertical="center" wrapText="1" indent="1"/>
    </xf>
    <xf numFmtId="0" fontId="113" fillId="43" borderId="38" applyFont="0" applyFill="0" applyBorder="0" applyAlignment="0" applyProtection="0">
      <alignment horizontal="right"/>
    </xf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52" fillId="0" borderId="33" applyBorder="0">
      <alignment horizontal="left" vertical="center" wrapText="1"/>
    </xf>
    <xf numFmtId="239" fontId="144" fillId="0" borderId="0">
      <alignment horizontal="centerContinuous"/>
    </xf>
    <xf numFmtId="239" fontId="153" fillId="0" borderId="39">
      <alignment horizontal="centerContinuous"/>
    </xf>
    <xf numFmtId="239" fontId="154" fillId="0" borderId="0">
      <alignment horizontal="centerContinuous"/>
      <protection locked="0"/>
    </xf>
    <xf numFmtId="239" fontId="154" fillId="0" borderId="0">
      <alignment horizontal="left"/>
    </xf>
    <xf numFmtId="197" fontId="155" fillId="0" borderId="0">
      <alignment horizontal="center"/>
    </xf>
    <xf numFmtId="197" fontId="155" fillId="0" borderId="0">
      <alignment horizontal="left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50" fillId="0" borderId="0"/>
    <xf numFmtId="0" fontId="148" fillId="0" borderId="0"/>
    <xf numFmtId="248" fontId="144" fillId="0" borderId="13" applyFill="0" applyAlignment="0" applyProtection="0"/>
    <xf numFmtId="233" fontId="39" fillId="0" borderId="0" applyFill="0" applyBorder="0" applyProtection="0"/>
    <xf numFmtId="273" fontId="39" fillId="0" borderId="0" applyFill="0" applyBorder="0" applyProtection="0"/>
    <xf numFmtId="274" fontId="37" fillId="0" borderId="0">
      <alignment horizontal="right"/>
    </xf>
    <xf numFmtId="0" fontId="156" fillId="0" borderId="0">
      <alignment horizontal="left"/>
      <protection locked="0"/>
    </xf>
    <xf numFmtId="275" fontId="71" fillId="0" borderId="0"/>
    <xf numFmtId="0" fontId="157" fillId="0" borderId="0" applyNumberFormat="0">
      <alignment horizontal="right"/>
    </xf>
    <xf numFmtId="0" fontId="158" fillId="30" borderId="0"/>
    <xf numFmtId="248" fontId="102" fillId="0" borderId="0" applyFont="0" applyFill="0" applyBorder="0" applyAlignment="0" applyProtection="0"/>
    <xf numFmtId="276" fontId="100" fillId="0" borderId="0" applyFont="0" applyFill="0" applyBorder="0" applyAlignment="0" applyProtection="0"/>
    <xf numFmtId="211" fontId="102" fillId="0" borderId="0" applyFont="0" applyFill="0" applyBorder="0" applyAlignment="0" applyProtection="0"/>
    <xf numFmtId="0" fontId="93" fillId="0" borderId="40">
      <alignment horizontal="right"/>
      <protection hidden="1"/>
    </xf>
    <xf numFmtId="164" fontId="124" fillId="0" borderId="0" applyFont="0" applyFill="0" applyBorder="0" applyAlignment="0" applyProtection="0"/>
    <xf numFmtId="165" fontId="124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77" fontId="22" fillId="0" borderId="0" applyFont="0" applyFill="0" applyBorder="0" applyAlignment="0" applyProtection="0"/>
    <xf numFmtId="278" fontId="22" fillId="0" borderId="0" applyFont="0" applyFill="0" applyBorder="0" applyAlignment="0" applyProtection="0"/>
    <xf numFmtId="279" fontId="22" fillId="0" borderId="0" applyFont="0" applyFill="0" applyBorder="0" applyAlignment="0" applyProtection="0"/>
    <xf numFmtId="28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81" fontId="22" fillId="0" borderId="0" applyFont="0" applyFill="0" applyBorder="0" applyAlignment="0" applyProtection="0"/>
    <xf numFmtId="282" fontId="22" fillId="0" borderId="0" applyFont="0" applyFill="0" applyBorder="0" applyAlignment="0" applyProtection="0"/>
    <xf numFmtId="283" fontId="22" fillId="0" borderId="0" applyFont="0" applyFill="0" applyBorder="0" applyAlignment="0" applyProtection="0"/>
    <xf numFmtId="284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85" fontId="159" fillId="0" borderId="3" applyBorder="0" applyProtection="0">
      <alignment horizontal="right"/>
    </xf>
    <xf numFmtId="1" fontId="160" fillId="0" borderId="0">
      <alignment horizontal="right"/>
    </xf>
    <xf numFmtId="192" fontId="22" fillId="52" borderId="0" applyNumberFormat="0" applyFont="0" applyBorder="0" applyAlignment="0" applyProtection="0"/>
    <xf numFmtId="286" fontId="40" fillId="0" borderId="0" applyFont="0" applyFill="0" applyBorder="0" applyAlignment="0" applyProtection="0"/>
    <xf numFmtId="190" fontId="161" fillId="0" borderId="0" applyFont="0" applyFill="0" applyBorder="0" applyAlignment="0" applyProtection="0"/>
    <xf numFmtId="191" fontId="161" fillId="0" borderId="0" applyFont="0" applyFill="0" applyBorder="0" applyAlignment="0" applyProtection="0"/>
    <xf numFmtId="287" fontId="162" fillId="0" borderId="0" applyFont="0" applyFill="0" applyBorder="0" applyAlignment="0" applyProtection="0"/>
    <xf numFmtId="242" fontId="162" fillId="0" borderId="0" applyFont="0" applyFill="0" applyBorder="0" applyAlignment="0" applyProtection="0"/>
    <xf numFmtId="0" fontId="163" fillId="0" borderId="0"/>
    <xf numFmtId="9" fontId="161" fillId="0" borderId="0" applyFont="0" applyFill="0" applyBorder="0" applyAlignment="0" applyProtection="0"/>
    <xf numFmtId="0" fontId="3" fillId="0" borderId="0"/>
    <xf numFmtId="0" fontId="3" fillId="0" borderId="0"/>
    <xf numFmtId="37" fontId="164" fillId="0" borderId="0"/>
    <xf numFmtId="288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41" fontId="165" fillId="0" borderId="0" applyFont="0" applyFill="0" applyBorder="0" applyAlignment="0" applyProtection="0"/>
    <xf numFmtId="43" fontId="165" fillId="0" borderId="0" applyFont="0" applyFill="0" applyBorder="0" applyAlignment="0" applyProtection="0"/>
    <xf numFmtId="0" fontId="166" fillId="0" borderId="0"/>
    <xf numFmtId="190" fontId="16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5" fillId="0" borderId="0"/>
    <xf numFmtId="231" fontId="167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292" fontId="168" fillId="0" borderId="0" applyFont="0" applyFill="0" applyBorder="0" applyAlignment="0" applyProtection="0"/>
    <xf numFmtId="0" fontId="169" fillId="0" borderId="0"/>
    <xf numFmtId="44" fontId="1" fillId="0" borderId="0" applyFont="0" applyFill="0" applyBorder="0" applyAlignment="0" applyProtection="0"/>
    <xf numFmtId="0" fontId="138" fillId="0" borderId="0"/>
    <xf numFmtId="9" fontId="169" fillId="0" borderId="0" applyFont="0" applyFill="0" applyBorder="0" applyAlignment="0" applyProtection="0"/>
    <xf numFmtId="0" fontId="170" fillId="60" borderId="0" applyNumberFormat="0" applyBorder="0" applyAlignment="0" applyProtection="0"/>
    <xf numFmtId="0" fontId="169" fillId="61" borderId="0" applyNumberFormat="0" applyBorder="0" applyAlignment="0" applyProtection="0"/>
    <xf numFmtId="44" fontId="1" fillId="0" borderId="0" applyFont="0" applyFill="0" applyBorder="0" applyAlignment="0" applyProtection="0"/>
    <xf numFmtId="0" fontId="170" fillId="62" borderId="0" applyNumberFormat="0" applyBorder="0" applyAlignment="0" applyProtection="0"/>
    <xf numFmtId="44" fontId="1" fillId="0" borderId="0" applyFont="0" applyFill="0" applyBorder="0" applyAlignment="0" applyProtection="0"/>
    <xf numFmtId="43" fontId="169" fillId="0" borderId="0" applyFont="0" applyFill="0" applyBorder="0" applyAlignment="0" applyProtection="0"/>
  </cellStyleXfs>
  <cellXfs count="227">
    <xf numFmtId="0" fontId="0" fillId="0" borderId="0" xfId="0"/>
    <xf numFmtId="0" fontId="0" fillId="0" borderId="52" xfId="0" applyBorder="1"/>
    <xf numFmtId="0" fontId="0" fillId="0" borderId="52" xfId="0" applyBorder="1" applyAlignment="1">
      <alignment wrapText="1"/>
    </xf>
    <xf numFmtId="0" fontId="0" fillId="0" borderId="53" xfId="0" applyBorder="1"/>
    <xf numFmtId="0" fontId="0" fillId="0" borderId="55" xfId="0" applyBorder="1"/>
    <xf numFmtId="3" fontId="174" fillId="0" borderId="20" xfId="0" applyNumberFormat="1" applyFont="1" applyBorder="1" applyAlignment="1">
      <alignment horizontal="center" vertical="center"/>
    </xf>
    <xf numFmtId="0" fontId="0" fillId="0" borderId="53" xfId="0" applyBorder="1" applyAlignment="1">
      <alignment wrapText="1"/>
    </xf>
    <xf numFmtId="0" fontId="174" fillId="0" borderId="20" xfId="0" applyFont="1" applyBorder="1" applyAlignment="1">
      <alignment horizontal="right" vertical="center"/>
    </xf>
    <xf numFmtId="3" fontId="0" fillId="0" borderId="52" xfId="0" applyNumberFormat="1" applyBorder="1"/>
    <xf numFmtId="0" fontId="0" fillId="0" borderId="52" xfId="0" applyBorder="1" applyAlignment="1">
      <alignment horizontal="right"/>
    </xf>
    <xf numFmtId="3" fontId="175" fillId="2" borderId="0" xfId="1" applyNumberFormat="1" applyFont="1" applyFill="1" applyBorder="1"/>
    <xf numFmtId="4" fontId="175" fillId="2" borderId="0" xfId="1" applyNumberFormat="1" applyFont="1" applyFill="1" applyBorder="1"/>
    <xf numFmtId="3" fontId="174" fillId="0" borderId="56" xfId="0" applyNumberFormat="1" applyFont="1" applyBorder="1" applyAlignment="1">
      <alignment horizontal="right" vertical="center"/>
    </xf>
    <xf numFmtId="0" fontId="174" fillId="0" borderId="57" xfId="0" applyFont="1" applyBorder="1" applyAlignment="1">
      <alignment horizontal="right" vertical="center"/>
    </xf>
    <xf numFmtId="3" fontId="174" fillId="0" borderId="57" xfId="0" applyNumberFormat="1" applyFont="1" applyBorder="1" applyAlignment="1">
      <alignment horizontal="center" vertical="center"/>
    </xf>
    <xf numFmtId="3" fontId="174" fillId="0" borderId="57" xfId="0" applyNumberFormat="1" applyFont="1" applyBorder="1" applyAlignment="1">
      <alignment horizontal="right" vertical="center"/>
    </xf>
    <xf numFmtId="0" fontId="173" fillId="0" borderId="55" xfId="0" applyFont="1" applyBorder="1" applyAlignment="1">
      <alignment horizontal="left"/>
    </xf>
    <xf numFmtId="3" fontId="176" fillId="2" borderId="20" xfId="1" applyNumberFormat="1" applyFont="1" applyFill="1" applyBorder="1"/>
    <xf numFmtId="173" fontId="176" fillId="2" borderId="20" xfId="493" applyNumberFormat="1" applyFont="1" applyFill="1" applyBorder="1"/>
    <xf numFmtId="3" fontId="176" fillId="2" borderId="42" xfId="1" applyNumberFormat="1" applyFont="1" applyFill="1" applyBorder="1"/>
    <xf numFmtId="173" fontId="176" fillId="2" borderId="42" xfId="493" applyNumberFormat="1" applyFont="1" applyFill="1" applyBorder="1"/>
    <xf numFmtId="3" fontId="176" fillId="53" borderId="43" xfId="1" applyNumberFormat="1" applyFont="1" applyFill="1" applyBorder="1"/>
    <xf numFmtId="173" fontId="177" fillId="53" borderId="43" xfId="493" applyNumberFormat="1" applyFont="1" applyFill="1" applyBorder="1"/>
    <xf numFmtId="0" fontId="173" fillId="0" borderId="52" xfId="0" applyFont="1" applyBorder="1" applyAlignment="1">
      <alignment horizontal="right"/>
    </xf>
    <xf numFmtId="174" fontId="173" fillId="0" borderId="55" xfId="0" applyNumberFormat="1" applyFont="1" applyBorder="1"/>
    <xf numFmtId="174" fontId="175" fillId="2" borderId="0" xfId="1" applyNumberFormat="1" applyFont="1" applyFill="1" applyBorder="1"/>
    <xf numFmtId="0" fontId="0" fillId="0" borderId="52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5" xfId="0" applyBorder="1" applyAlignment="1">
      <alignment vertical="center"/>
    </xf>
    <xf numFmtId="0" fontId="179" fillId="54" borderId="20" xfId="540" applyFont="1" applyFill="1" applyBorder="1" applyAlignment="1">
      <alignment horizontal="center" wrapText="1"/>
    </xf>
    <xf numFmtId="166" fontId="179" fillId="54" borderId="44" xfId="540" applyNumberFormat="1" applyFont="1" applyFill="1" applyBorder="1" applyAlignment="1">
      <alignment horizontal="center"/>
    </xf>
    <xf numFmtId="17" fontId="180" fillId="54" borderId="20" xfId="1" applyNumberFormat="1" applyFont="1" applyFill="1" applyBorder="1" applyAlignment="1">
      <alignment horizontal="right"/>
    </xf>
    <xf numFmtId="17" fontId="170" fillId="54" borderId="20" xfId="1" applyNumberFormat="1" applyFont="1" applyFill="1" applyBorder="1" applyAlignment="1">
      <alignment horizontal="right"/>
    </xf>
    <xf numFmtId="17" fontId="170" fillId="54" borderId="42" xfId="1" applyNumberFormat="1" applyFont="1" applyFill="1" applyBorder="1" applyAlignment="1">
      <alignment horizontal="right"/>
    </xf>
    <xf numFmtId="17" fontId="170" fillId="54" borderId="43" xfId="1" applyNumberFormat="1" applyFont="1" applyFill="1" applyBorder="1" applyAlignment="1">
      <alignment horizontal="right"/>
    </xf>
    <xf numFmtId="0" fontId="171" fillId="54" borderId="20" xfId="1" applyFont="1" applyFill="1" applyBorder="1" applyAlignment="1">
      <alignment horizontal="center" vertical="center"/>
    </xf>
    <xf numFmtId="4" fontId="175" fillId="2" borderId="0" xfId="1" applyNumberFormat="1" applyFont="1" applyFill="1" applyBorder="1" applyAlignment="1">
      <alignment vertical="top"/>
    </xf>
    <xf numFmtId="3" fontId="175" fillId="2" borderId="0" xfId="1" applyNumberFormat="1" applyFont="1" applyFill="1" applyBorder="1" applyAlignment="1">
      <alignment vertical="top"/>
    </xf>
    <xf numFmtId="0" fontId="0" fillId="0" borderId="52" xfId="0" applyBorder="1" applyAlignment="1">
      <alignment vertical="top"/>
    </xf>
    <xf numFmtId="174" fontId="176" fillId="2" borderId="45" xfId="1" applyNumberFormat="1" applyFont="1" applyFill="1" applyBorder="1"/>
    <xf numFmtId="3" fontId="176" fillId="2" borderId="45" xfId="1" applyNumberFormat="1" applyFont="1" applyFill="1" applyBorder="1"/>
    <xf numFmtId="3" fontId="176" fillId="2" borderId="46" xfId="1" applyNumberFormat="1" applyFont="1" applyFill="1" applyBorder="1"/>
    <xf numFmtId="3" fontId="176" fillId="2" borderId="47" xfId="1" applyNumberFormat="1" applyFont="1" applyFill="1" applyBorder="1"/>
    <xf numFmtId="3" fontId="176" fillId="2" borderId="48" xfId="1" applyNumberFormat="1" applyFont="1" applyFill="1" applyBorder="1"/>
    <xf numFmtId="4" fontId="176" fillId="2" borderId="45" xfId="1" applyNumberFormat="1" applyFont="1" applyFill="1" applyBorder="1"/>
    <xf numFmtId="0" fontId="171" fillId="54" borderId="20" xfId="1" applyFont="1" applyFill="1" applyBorder="1" applyAlignment="1">
      <alignment horizontal="center" vertical="center" wrapText="1"/>
    </xf>
    <xf numFmtId="0" fontId="181" fillId="54" borderId="20" xfId="1" applyFont="1" applyFill="1" applyBorder="1" applyAlignment="1">
      <alignment horizontal="center" vertical="center" wrapText="1"/>
    </xf>
    <xf numFmtId="174" fontId="0" fillId="0" borderId="52" xfId="0" applyNumberFormat="1" applyBorder="1"/>
    <xf numFmtId="0" fontId="182" fillId="0" borderId="55" xfId="0" applyFont="1" applyBorder="1" applyAlignment="1">
      <alignment horizontal="right" vertical="top"/>
    </xf>
    <xf numFmtId="0" fontId="0" fillId="0" borderId="0" xfId="0"/>
    <xf numFmtId="293" fontId="172" fillId="0" borderId="20" xfId="0" applyNumberFormat="1" applyFont="1" applyBorder="1"/>
    <xf numFmtId="0" fontId="0" fillId="0" borderId="63" xfId="0" applyBorder="1" applyAlignment="1">
      <alignment vertical="center"/>
    </xf>
    <xf numFmtId="0" fontId="0" fillId="0" borderId="41" xfId="0" applyBorder="1" applyAlignment="1">
      <alignment vertical="center"/>
    </xf>
    <xf numFmtId="2" fontId="178" fillId="55" borderId="41" xfId="0" applyNumberFormat="1" applyFont="1" applyFill="1" applyBorder="1" applyAlignment="1">
      <alignment horizontal="center" vertical="center"/>
    </xf>
    <xf numFmtId="2" fontId="178" fillId="0" borderId="0" xfId="0" applyNumberFormat="1" applyFont="1" applyAlignment="1">
      <alignment horizontal="center" vertical="center"/>
    </xf>
    <xf numFmtId="172" fontId="0" fillId="0" borderId="64" xfId="0" applyNumberFormat="1" applyBorder="1" applyAlignment="1">
      <alignment vertical="center"/>
    </xf>
    <xf numFmtId="0" fontId="176" fillId="0" borderId="52" xfId="771" applyFont="1" applyBorder="1" applyAlignment="1">
      <alignment vertical="center"/>
    </xf>
    <xf numFmtId="0" fontId="176" fillId="0" borderId="58" xfId="771" applyFont="1" applyBorder="1" applyAlignment="1">
      <alignment vertical="center"/>
    </xf>
    <xf numFmtId="0" fontId="176" fillId="0" borderId="54" xfId="771" applyFont="1" applyBorder="1" applyAlignment="1">
      <alignment vertical="center"/>
    </xf>
    <xf numFmtId="0" fontId="177" fillId="0" borderId="55" xfId="771" applyFont="1" applyBorder="1" applyAlignment="1">
      <alignment horizontal="center" vertical="center"/>
    </xf>
    <xf numFmtId="0" fontId="176" fillId="0" borderId="55" xfId="771" applyFont="1" applyBorder="1" applyAlignment="1">
      <alignment vertical="center"/>
    </xf>
    <xf numFmtId="0" fontId="186" fillId="53" borderId="68" xfId="771" applyFont="1" applyFill="1" applyBorder="1" applyAlignment="1">
      <alignment horizontal="center" vertical="center" wrapText="1"/>
    </xf>
    <xf numFmtId="0" fontId="187" fillId="53" borderId="69" xfId="771" applyFont="1" applyFill="1" applyBorder="1" applyAlignment="1">
      <alignment horizontal="right" vertical="center"/>
    </xf>
    <xf numFmtId="0" fontId="188" fillId="53" borderId="69" xfId="771" applyFont="1" applyFill="1" applyBorder="1" applyAlignment="1">
      <alignment horizontal="left" vertical="center"/>
    </xf>
    <xf numFmtId="0" fontId="170" fillId="54" borderId="70" xfId="771" applyFont="1" applyFill="1" applyBorder="1" applyAlignment="1">
      <alignment horizontal="center" vertical="center"/>
    </xf>
    <xf numFmtId="0" fontId="170" fillId="54" borderId="50" xfId="771" applyFont="1" applyFill="1" applyBorder="1" applyAlignment="1">
      <alignment horizontal="center" vertical="center" wrapText="1"/>
    </xf>
    <xf numFmtId="0" fontId="170" fillId="54" borderId="71" xfId="771" applyFont="1" applyFill="1" applyBorder="1" applyAlignment="1">
      <alignment horizontal="center" vertical="center" wrapText="1"/>
    </xf>
    <xf numFmtId="0" fontId="170" fillId="54" borderId="50" xfId="0" applyFont="1" applyFill="1" applyBorder="1" applyAlignment="1">
      <alignment horizontal="center" vertical="center" wrapText="1"/>
    </xf>
    <xf numFmtId="0" fontId="170" fillId="54" borderId="51" xfId="771" applyFont="1" applyFill="1" applyBorder="1" applyAlignment="1">
      <alignment horizontal="center" vertical="center" wrapText="1"/>
    </xf>
    <xf numFmtId="294" fontId="176" fillId="0" borderId="29" xfId="771" quotePrefix="1" applyNumberFormat="1" applyFont="1" applyBorder="1" applyAlignment="1">
      <alignment horizontal="center" vertical="center"/>
    </xf>
    <xf numFmtId="166" fontId="176" fillId="0" borderId="26" xfId="771" applyNumberFormat="1" applyFont="1" applyBorder="1" applyAlignment="1">
      <alignment vertical="center"/>
    </xf>
    <xf numFmtId="170" fontId="176" fillId="0" borderId="26" xfId="771" applyNumberFormat="1" applyFont="1" applyBorder="1" applyAlignment="1">
      <alignment vertical="center"/>
    </xf>
    <xf numFmtId="3" fontId="176" fillId="0" borderId="26" xfId="771" applyNumberFormat="1" applyFont="1" applyBorder="1" applyAlignment="1">
      <alignment vertical="center"/>
    </xf>
    <xf numFmtId="3" fontId="176" fillId="0" borderId="65" xfId="771" applyNumberFormat="1" applyFont="1" applyBorder="1" applyAlignment="1">
      <alignment vertical="center"/>
    </xf>
    <xf numFmtId="295" fontId="176" fillId="0" borderId="65" xfId="771" applyNumberFormat="1" applyFont="1" applyBorder="1" applyAlignment="1">
      <alignment vertical="center"/>
    </xf>
    <xf numFmtId="294" fontId="176" fillId="0" borderId="72" xfId="771" quotePrefix="1" applyNumberFormat="1" applyFont="1" applyBorder="1" applyAlignment="1">
      <alignment horizontal="center" vertical="center"/>
    </xf>
    <xf numFmtId="166" fontId="176" fillId="0" borderId="73" xfId="771" applyNumberFormat="1" applyFont="1" applyBorder="1" applyAlignment="1">
      <alignment vertical="center"/>
    </xf>
    <xf numFmtId="170" fontId="176" fillId="0" borderId="73" xfId="771" applyNumberFormat="1" applyFont="1" applyBorder="1" applyAlignment="1">
      <alignment vertical="center"/>
    </xf>
    <xf numFmtId="3" fontId="176" fillId="0" borderId="74" xfId="771" applyNumberFormat="1" applyFont="1" applyBorder="1" applyAlignment="1">
      <alignment vertical="center"/>
    </xf>
    <xf numFmtId="3" fontId="176" fillId="0" borderId="73" xfId="771" applyNumberFormat="1" applyFont="1" applyBorder="1" applyAlignment="1">
      <alignment vertical="center"/>
    </xf>
    <xf numFmtId="295" fontId="176" fillId="0" borderId="73" xfId="771" applyNumberFormat="1" applyFont="1" applyBorder="1" applyAlignment="1">
      <alignment vertical="center"/>
    </xf>
    <xf numFmtId="295" fontId="176" fillId="0" borderId="74" xfId="771" applyNumberFormat="1" applyFont="1" applyBorder="1" applyAlignment="1">
      <alignment vertical="center"/>
    </xf>
    <xf numFmtId="0" fontId="176" fillId="0" borderId="75" xfId="771" applyFont="1" applyBorder="1" applyAlignment="1">
      <alignment vertical="center"/>
    </xf>
    <xf numFmtId="166" fontId="176" fillId="0" borderId="76" xfId="771" applyNumberFormat="1" applyFont="1" applyBorder="1" applyAlignment="1">
      <alignment vertical="center"/>
    </xf>
    <xf numFmtId="170" fontId="176" fillId="0" borderId="76" xfId="771" applyNumberFormat="1" applyFont="1" applyBorder="1" applyAlignment="1">
      <alignment vertical="center"/>
    </xf>
    <xf numFmtId="0" fontId="185" fillId="0" borderId="77" xfId="771" applyFont="1" applyBorder="1" applyAlignment="1">
      <alignment horizontal="right" vertical="center"/>
    </xf>
    <xf numFmtId="170" fontId="185" fillId="0" borderId="21" xfId="771" applyNumberFormat="1" applyFont="1" applyBorder="1" applyAlignment="1">
      <alignment horizontal="right" vertical="center"/>
    </xf>
    <xf numFmtId="3" fontId="185" fillId="0" borderId="78" xfId="771" applyNumberFormat="1" applyFont="1" applyBorder="1" applyAlignment="1">
      <alignment vertical="center"/>
    </xf>
    <xf numFmtId="3" fontId="185" fillId="0" borderId="66" xfId="771" applyNumberFormat="1" applyFont="1" applyBorder="1" applyAlignment="1">
      <alignment vertical="center"/>
    </xf>
    <xf numFmtId="295" fontId="185" fillId="0" borderId="66" xfId="771" applyNumberFormat="1" applyFont="1" applyBorder="1" applyAlignment="1">
      <alignment vertical="center"/>
    </xf>
    <xf numFmtId="0" fontId="176" fillId="0" borderId="52" xfId="0" applyFont="1" applyBorder="1" applyAlignment="1">
      <alignment vertical="center"/>
    </xf>
    <xf numFmtId="294" fontId="178" fillId="0" borderId="0" xfId="0" applyNumberFormat="1" applyFont="1" applyAlignment="1">
      <alignment horizontal="center" vertical="center"/>
    </xf>
    <xf numFmtId="0" fontId="187" fillId="53" borderId="49" xfId="771" applyFont="1" applyFill="1" applyBorder="1" applyAlignment="1">
      <alignment horizontal="center" vertical="center" wrapText="1"/>
    </xf>
    <xf numFmtId="0" fontId="190" fillId="56" borderId="41" xfId="0" applyFont="1" applyFill="1" applyBorder="1" applyAlignment="1">
      <alignment horizontal="right" vertical="center"/>
    </xf>
    <xf numFmtId="0" fontId="0" fillId="56" borderId="63" xfId="0" applyFill="1" applyBorder="1" applyAlignment="1">
      <alignment vertical="center"/>
    </xf>
    <xf numFmtId="0" fontId="191" fillId="57" borderId="79" xfId="0" applyFont="1" applyFill="1" applyBorder="1" applyAlignment="1">
      <alignment horizontal="left"/>
    </xf>
    <xf numFmtId="0" fontId="191" fillId="58" borderId="79" xfId="0" applyFont="1" applyFill="1" applyBorder="1" applyAlignment="1">
      <alignment horizontal="left"/>
    </xf>
    <xf numFmtId="0" fontId="192" fillId="0" borderId="79" xfId="0" applyFont="1" applyBorder="1"/>
    <xf numFmtId="0" fontId="191" fillId="57" borderId="80" xfId="0" applyFont="1" applyFill="1" applyBorder="1" applyAlignment="1">
      <alignment horizontal="left"/>
    </xf>
    <xf numFmtId="167" fontId="192" fillId="0" borderId="79" xfId="0" applyNumberFormat="1" applyFont="1" applyBorder="1"/>
    <xf numFmtId="0" fontId="0" fillId="0" borderId="79" xfId="0" applyBorder="1"/>
    <xf numFmtId="2" fontId="0" fillId="0" borderId="0" xfId="0" applyNumberFormat="1"/>
    <xf numFmtId="0" fontId="187" fillId="53" borderId="21" xfId="771" applyFont="1" applyFill="1" applyBorder="1" applyAlignment="1">
      <alignment vertical="center" wrapText="1"/>
    </xf>
    <xf numFmtId="0" fontId="187" fillId="53" borderId="62" xfId="771" applyFont="1" applyFill="1" applyBorder="1" applyAlignment="1">
      <alignment horizontal="center" vertical="center" wrapText="1"/>
    </xf>
    <xf numFmtId="3" fontId="178" fillId="56" borderId="20" xfId="0" applyNumberFormat="1" applyFont="1" applyFill="1" applyBorder="1" applyAlignment="1">
      <alignment horizontal="right" vertical="center"/>
    </xf>
    <xf numFmtId="0" fontId="190" fillId="56" borderId="41" xfId="0" applyFont="1" applyFill="1" applyBorder="1" applyAlignment="1">
      <alignment horizontal="left" vertical="center"/>
    </xf>
    <xf numFmtId="3" fontId="176" fillId="59" borderId="65" xfId="771" applyNumberFormat="1" applyFont="1" applyFill="1" applyBorder="1" applyAlignment="1">
      <alignment vertical="center"/>
    </xf>
    <xf numFmtId="3" fontId="176" fillId="59" borderId="74" xfId="771" applyNumberFormat="1" applyFont="1" applyFill="1" applyBorder="1" applyAlignment="1">
      <alignment vertical="center"/>
    </xf>
    <xf numFmtId="0" fontId="172" fillId="0" borderId="0" xfId="0" applyFont="1"/>
    <xf numFmtId="0" fontId="172" fillId="56" borderId="0" xfId="0" applyFont="1" applyFill="1"/>
    <xf numFmtId="3" fontId="193" fillId="0" borderId="56" xfId="0" applyNumberFormat="1" applyFont="1" applyBorder="1" applyAlignment="1">
      <alignment horizontal="left" vertical="top"/>
    </xf>
    <xf numFmtId="0" fontId="193" fillId="0" borderId="55" xfId="0" applyFont="1" applyBorder="1" applyAlignment="1">
      <alignment vertical="top"/>
    </xf>
    <xf numFmtId="3" fontId="194" fillId="2" borderId="0" xfId="1" applyNumberFormat="1" applyFont="1" applyFill="1" applyBorder="1" applyAlignment="1">
      <alignment vertical="top"/>
    </xf>
    <xf numFmtId="4" fontId="194" fillId="2" borderId="0" xfId="1" applyNumberFormat="1" applyFont="1" applyFill="1" applyBorder="1" applyAlignment="1">
      <alignment vertical="top"/>
    </xf>
    <xf numFmtId="2" fontId="0" fillId="56" borderId="0" xfId="0" applyNumberFormat="1" applyFill="1"/>
    <xf numFmtId="174" fontId="172" fillId="56" borderId="52" xfId="0" applyNumberFormat="1" applyFont="1" applyFill="1" applyBorder="1"/>
    <xf numFmtId="9" fontId="172" fillId="56" borderId="52" xfId="772" applyFont="1" applyFill="1" applyBorder="1" applyAlignment="1">
      <alignment vertical="top"/>
    </xf>
    <xf numFmtId="3" fontId="176" fillId="56" borderId="43" xfId="1" applyNumberFormat="1" applyFont="1" applyFill="1" applyBorder="1"/>
    <xf numFmtId="2" fontId="0" fillId="0" borderId="52" xfId="0" applyNumberFormat="1" applyBorder="1"/>
    <xf numFmtId="173" fontId="0" fillId="0" borderId="52" xfId="0" applyNumberFormat="1" applyBorder="1"/>
    <xf numFmtId="9" fontId="0" fillId="0" borderId="53" xfId="772" applyFont="1" applyBorder="1" applyAlignment="1">
      <alignment vertical="center"/>
    </xf>
    <xf numFmtId="0" fontId="171" fillId="54" borderId="20" xfId="3" applyFont="1" applyFill="1" applyBorder="1" applyAlignment="1">
      <alignment horizontal="center" vertical="center" wrapText="1"/>
    </xf>
    <xf numFmtId="0" fontId="171" fillId="54" borderId="81" xfId="3" applyFont="1" applyFill="1" applyBorder="1" applyAlignment="1">
      <alignment horizontal="center" vertical="center" wrapText="1"/>
    </xf>
    <xf numFmtId="0" fontId="198" fillId="54" borderId="85" xfId="773" applyFont="1" applyFill="1" applyBorder="1" applyAlignment="1">
      <alignment horizontal="center" vertical="center" wrapText="1"/>
    </xf>
    <xf numFmtId="0" fontId="198" fillId="54" borderId="86" xfId="773" applyFont="1" applyFill="1" applyBorder="1" applyAlignment="1">
      <alignment horizontal="center" vertical="center" wrapText="1"/>
    </xf>
    <xf numFmtId="0" fontId="198" fillId="54" borderId="87" xfId="773" applyFont="1" applyFill="1" applyBorder="1" applyAlignment="1">
      <alignment horizontal="center" vertical="center" wrapText="1"/>
    </xf>
    <xf numFmtId="17" fontId="170" fillId="54" borderId="20" xfId="3" applyNumberFormat="1" applyFont="1" applyFill="1" applyBorder="1" applyAlignment="1">
      <alignment horizontal="right"/>
    </xf>
    <xf numFmtId="3" fontId="176" fillId="2" borderId="20" xfId="3" applyNumberFormat="1" applyFont="1" applyFill="1" applyBorder="1"/>
    <xf numFmtId="9" fontId="200" fillId="62" borderId="88" xfId="776" applyNumberFormat="1" applyFont="1" applyBorder="1" applyAlignment="1">
      <alignment horizontal="center" vertical="center"/>
    </xf>
    <xf numFmtId="2" fontId="200" fillId="62" borderId="63" xfId="776" applyNumberFormat="1" applyFont="1" applyBorder="1" applyAlignment="1">
      <alignment horizontal="center" vertical="center"/>
    </xf>
    <xf numFmtId="9" fontId="199" fillId="61" borderId="63" xfId="774" applyNumberFormat="1" applyFont="1" applyBorder="1" applyAlignment="1">
      <alignment horizontal="center" vertical="center"/>
    </xf>
    <xf numFmtId="2" fontId="199" fillId="61" borderId="63" xfId="774" applyNumberFormat="1" applyFont="1" applyBorder="1" applyAlignment="1">
      <alignment horizontal="center" vertical="center"/>
    </xf>
    <xf numFmtId="9" fontId="200" fillId="62" borderId="63" xfId="776" applyNumberFormat="1" applyFont="1" applyBorder="1" applyAlignment="1">
      <alignment horizontal="center" vertical="center"/>
    </xf>
    <xf numFmtId="9" fontId="199" fillId="65" borderId="63" xfId="604" applyFont="1" applyFill="1" applyBorder="1" applyAlignment="1">
      <alignment horizontal="center" vertical="center"/>
    </xf>
    <xf numFmtId="2" fontId="200" fillId="66" borderId="89" xfId="0" applyNumberFormat="1" applyFont="1" applyFill="1" applyBorder="1" applyAlignment="1">
      <alignment horizontal="center" vertical="center"/>
    </xf>
    <xf numFmtId="9" fontId="200" fillId="62" borderId="90" xfId="776" applyNumberFormat="1" applyFont="1" applyBorder="1" applyAlignment="1">
      <alignment horizontal="center" vertical="center"/>
    </xf>
    <xf numFmtId="2" fontId="200" fillId="62" borderId="91" xfId="776" applyNumberFormat="1" applyFont="1" applyBorder="1" applyAlignment="1">
      <alignment horizontal="center" vertical="center"/>
    </xf>
    <xf numFmtId="9" fontId="199" fillId="61" borderId="91" xfId="774" applyNumberFormat="1" applyFont="1" applyBorder="1" applyAlignment="1">
      <alignment horizontal="center" vertical="center"/>
    </xf>
    <xf numFmtId="2" fontId="199" fillId="61" borderId="91" xfId="774" applyNumberFormat="1" applyFont="1" applyBorder="1" applyAlignment="1">
      <alignment horizontal="center" vertical="center"/>
    </xf>
    <xf numFmtId="9" fontId="200" fillId="62" borderId="91" xfId="776" applyNumberFormat="1" applyFont="1" applyBorder="1" applyAlignment="1">
      <alignment horizontal="center" vertical="center"/>
    </xf>
    <xf numFmtId="9" fontId="200" fillId="62" borderId="92" xfId="776" applyNumberFormat="1" applyFont="1" applyBorder="1" applyAlignment="1">
      <alignment horizontal="center" vertical="center"/>
    </xf>
    <xf numFmtId="2" fontId="200" fillId="62" borderId="41" xfId="776" applyNumberFormat="1" applyFont="1" applyBorder="1" applyAlignment="1">
      <alignment horizontal="center" vertical="center"/>
    </xf>
    <xf numFmtId="9" fontId="199" fillId="61" borderId="41" xfId="774" applyNumberFormat="1" applyFont="1" applyBorder="1" applyAlignment="1">
      <alignment horizontal="center" vertical="center"/>
    </xf>
    <xf numFmtId="2" fontId="199" fillId="61" borderId="41" xfId="774" applyNumberFormat="1" applyFont="1" applyBorder="1" applyAlignment="1">
      <alignment horizontal="center" vertical="center"/>
    </xf>
    <xf numFmtId="9" fontId="200" fillId="62" borderId="41" xfId="776" applyNumberFormat="1" applyFont="1" applyBorder="1" applyAlignment="1">
      <alignment horizontal="center" vertical="center"/>
    </xf>
    <xf numFmtId="9" fontId="199" fillId="61" borderId="63" xfId="604" applyFont="1" applyFill="1" applyBorder="1" applyAlignment="1">
      <alignment horizontal="center" vertical="center"/>
    </xf>
    <xf numFmtId="9" fontId="200" fillId="62" borderId="63" xfId="604" applyFont="1" applyFill="1" applyBorder="1" applyAlignment="1">
      <alignment horizontal="center" vertical="center"/>
    </xf>
    <xf numFmtId="17" fontId="170" fillId="54" borderId="42" xfId="3" applyNumberFormat="1" applyFont="1" applyFill="1" applyBorder="1" applyAlignment="1">
      <alignment horizontal="right"/>
    </xf>
    <xf numFmtId="9" fontId="200" fillId="62" borderId="93" xfId="776" applyNumberFormat="1" applyFont="1" applyBorder="1" applyAlignment="1">
      <alignment horizontal="center" vertical="center"/>
    </xf>
    <xf numFmtId="2" fontId="200" fillId="62" borderId="94" xfId="776" applyNumberFormat="1" applyFont="1" applyBorder="1" applyAlignment="1">
      <alignment horizontal="center" vertical="center"/>
    </xf>
    <xf numFmtId="9" fontId="199" fillId="61" borderId="94" xfId="774" applyNumberFormat="1" applyFont="1" applyBorder="1" applyAlignment="1">
      <alignment horizontal="center" vertical="center"/>
    </xf>
    <xf numFmtId="2" fontId="199" fillId="61" borderId="94" xfId="774" applyNumberFormat="1" applyFont="1" applyBorder="1" applyAlignment="1">
      <alignment horizontal="center" vertical="center"/>
    </xf>
    <xf numFmtId="9" fontId="200" fillId="62" borderId="94" xfId="776" applyNumberFormat="1" applyFont="1" applyBorder="1" applyAlignment="1">
      <alignment horizontal="center" vertical="center"/>
    </xf>
    <xf numFmtId="9" fontId="199" fillId="65" borderId="94" xfId="604" applyFont="1" applyFill="1" applyBorder="1" applyAlignment="1">
      <alignment horizontal="center" vertical="center"/>
    </xf>
    <xf numFmtId="2" fontId="200" fillId="66" borderId="95" xfId="0" applyNumberFormat="1" applyFont="1" applyFill="1" applyBorder="1" applyAlignment="1">
      <alignment horizontal="center" vertical="center"/>
    </xf>
    <xf numFmtId="17" fontId="171" fillId="54" borderId="96" xfId="3" applyNumberFormat="1" applyFont="1" applyFill="1" applyBorder="1" applyAlignment="1">
      <alignment horizontal="right"/>
    </xf>
    <xf numFmtId="3" fontId="176" fillId="53" borderId="66" xfId="3" applyNumberFormat="1" applyFont="1" applyFill="1" applyBorder="1"/>
    <xf numFmtId="3" fontId="177" fillId="53" borderId="66" xfId="3" applyNumberFormat="1" applyFont="1" applyFill="1" applyBorder="1"/>
    <xf numFmtId="4" fontId="185" fillId="56" borderId="15" xfId="3" applyNumberFormat="1" applyFont="1" applyFill="1" applyBorder="1" applyAlignment="1">
      <alignment horizontal="center" vertical="center"/>
    </xf>
    <xf numFmtId="0" fontId="0" fillId="0" borderId="98" xfId="0" applyBorder="1" applyAlignment="1">
      <alignment vertical="center"/>
    </xf>
    <xf numFmtId="2" fontId="172" fillId="0" borderId="98" xfId="0" applyNumberFormat="1" applyFont="1" applyBorder="1" applyAlignment="1">
      <alignment horizontal="center" vertical="center"/>
    </xf>
    <xf numFmtId="0" fontId="0" fillId="0" borderId="54" xfId="0" applyBorder="1" applyAlignment="1">
      <alignment vertical="center"/>
    </xf>
    <xf numFmtId="4" fontId="177" fillId="0" borderId="20" xfId="3" applyNumberFormat="1" applyFont="1" applyFill="1" applyBorder="1" applyAlignment="1">
      <alignment horizontal="center" vertical="center"/>
    </xf>
    <xf numFmtId="4" fontId="177" fillId="0" borderId="42" xfId="3" applyNumberFormat="1" applyFont="1" applyFill="1" applyBorder="1" applyAlignment="1">
      <alignment horizontal="center" vertical="center"/>
    </xf>
    <xf numFmtId="4" fontId="185" fillId="53" borderId="15" xfId="3" applyNumberFormat="1" applyFont="1" applyFill="1" applyBorder="1" applyAlignment="1">
      <alignment horizontal="center" vertical="center"/>
    </xf>
    <xf numFmtId="4" fontId="177" fillId="64" borderId="20" xfId="3" applyNumberFormat="1" applyFont="1" applyFill="1" applyBorder="1" applyAlignment="1">
      <alignment horizontal="center" vertical="center"/>
    </xf>
    <xf numFmtId="4" fontId="177" fillId="64" borderId="42" xfId="3" applyNumberFormat="1" applyFont="1" applyFill="1" applyBorder="1" applyAlignment="1">
      <alignment horizontal="center" vertical="center"/>
    </xf>
    <xf numFmtId="2" fontId="199" fillId="67" borderId="20" xfId="0" applyNumberFormat="1" applyFont="1" applyFill="1" applyBorder="1" applyAlignment="1">
      <alignment horizontal="center" vertical="center"/>
    </xf>
    <xf numFmtId="0" fontId="195" fillId="56" borderId="0" xfId="0" applyFont="1" applyFill="1" applyBorder="1" applyAlignment="1">
      <alignment horizontal="center" vertical="center"/>
    </xf>
    <xf numFmtId="0" fontId="176" fillId="0" borderId="97" xfId="771" applyFont="1" applyBorder="1" applyAlignment="1">
      <alignment vertical="center"/>
    </xf>
    <xf numFmtId="0" fontId="176" fillId="0" borderId="99" xfId="0" applyFont="1" applyBorder="1" applyAlignment="1">
      <alignment vertical="center"/>
    </xf>
    <xf numFmtId="2" fontId="199" fillId="69" borderId="20" xfId="0" applyNumberFormat="1" applyFont="1" applyFill="1" applyBorder="1" applyAlignment="1">
      <alignment horizontal="center" vertical="center"/>
    </xf>
    <xf numFmtId="2" fontId="200" fillId="66" borderId="100" xfId="0" applyNumberFormat="1" applyFont="1" applyFill="1" applyBorder="1" applyAlignment="1">
      <alignment horizontal="center" vertical="center"/>
    </xf>
    <xf numFmtId="2" fontId="200" fillId="68" borderId="95" xfId="0" applyNumberFormat="1" applyFont="1" applyFill="1" applyBorder="1" applyAlignment="1">
      <alignment horizontal="center" vertical="center"/>
    </xf>
    <xf numFmtId="9" fontId="199" fillId="65" borderId="41" xfId="604" applyFont="1" applyFill="1" applyBorder="1" applyAlignment="1">
      <alignment horizontal="center" vertical="center"/>
    </xf>
    <xf numFmtId="294" fontId="176" fillId="0" borderId="101" xfId="771" quotePrefix="1" applyNumberFormat="1" applyFont="1" applyBorder="1" applyAlignment="1">
      <alignment horizontal="center" vertical="center"/>
    </xf>
    <xf numFmtId="166" fontId="176" fillId="0" borderId="20" xfId="771" applyNumberFormat="1" applyFont="1" applyBorder="1" applyAlignment="1">
      <alignment vertical="center"/>
    </xf>
    <xf numFmtId="2" fontId="200" fillId="68" borderId="102" xfId="0" applyNumberFormat="1" applyFont="1" applyFill="1" applyBorder="1" applyAlignment="1">
      <alignment horizontal="center" vertical="center"/>
    </xf>
    <xf numFmtId="170" fontId="176" fillId="0" borderId="20" xfId="771" applyNumberFormat="1" applyFont="1" applyBorder="1" applyAlignment="1">
      <alignment vertical="center"/>
    </xf>
    <xf numFmtId="3" fontId="176" fillId="59" borderId="20" xfId="771" applyNumberFormat="1" applyFont="1" applyFill="1" applyBorder="1" applyAlignment="1">
      <alignment vertical="center"/>
    </xf>
    <xf numFmtId="3" fontId="176" fillId="0" borderId="20" xfId="771" applyNumberFormat="1" applyFont="1" applyBorder="1" applyAlignment="1">
      <alignment vertical="center"/>
    </xf>
    <xf numFmtId="295" fontId="176" fillId="0" borderId="20" xfId="771" applyNumberFormat="1" applyFont="1" applyBorder="1" applyAlignment="1">
      <alignment vertical="center"/>
    </xf>
    <xf numFmtId="0" fontId="0" fillId="0" borderId="103" xfId="0" applyBorder="1"/>
    <xf numFmtId="0" fontId="0" fillId="0" borderId="20" xfId="0" applyFill="1" applyBorder="1"/>
    <xf numFmtId="0" fontId="0" fillId="70" borderId="0" xfId="0" applyFill="1"/>
    <xf numFmtId="0" fontId="171" fillId="70" borderId="0" xfId="0" applyFont="1" applyFill="1"/>
    <xf numFmtId="0" fontId="0" fillId="0" borderId="0" xfId="0" applyBorder="1" applyAlignment="1">
      <alignment vertical="center"/>
    </xf>
    <xf numFmtId="2" fontId="176" fillId="0" borderId="54" xfId="771" applyNumberFormat="1" applyFont="1" applyBorder="1" applyAlignment="1">
      <alignment vertical="center"/>
    </xf>
    <xf numFmtId="173" fontId="176" fillId="0" borderId="20" xfId="493" applyNumberFormat="1" applyFont="1" applyFill="1" applyBorder="1" applyAlignment="1">
      <alignment horizontal="center" vertical="center"/>
    </xf>
    <xf numFmtId="173" fontId="176" fillId="0" borderId="42" xfId="493" applyNumberFormat="1" applyFont="1" applyFill="1" applyBorder="1" applyAlignment="1">
      <alignment horizontal="center" vertical="center"/>
    </xf>
    <xf numFmtId="173" fontId="185" fillId="53" borderId="15" xfId="493" applyNumberFormat="1" applyFont="1" applyFill="1" applyBorder="1" applyAlignment="1">
      <alignment horizontal="center" vertical="center"/>
    </xf>
    <xf numFmtId="6" fontId="176" fillId="0" borderId="20" xfId="493" applyNumberFormat="1" applyFont="1" applyFill="1" applyBorder="1" applyAlignment="1">
      <alignment horizontal="center" vertical="center"/>
    </xf>
    <xf numFmtId="6" fontId="185" fillId="53" borderId="15" xfId="493" applyNumberFormat="1" applyFont="1" applyFill="1" applyBorder="1" applyAlignment="1">
      <alignment horizontal="center" vertical="center"/>
    </xf>
    <xf numFmtId="4" fontId="185" fillId="71" borderId="15" xfId="3" applyNumberFormat="1" applyFont="1" applyFill="1" applyBorder="1" applyAlignment="1">
      <alignment horizontal="center" vertical="center"/>
    </xf>
    <xf numFmtId="4" fontId="177" fillId="59" borderId="20" xfId="3" applyNumberFormat="1" applyFont="1" applyFill="1" applyBorder="1" applyAlignment="1">
      <alignment horizontal="center" vertical="center"/>
    </xf>
    <xf numFmtId="4" fontId="177" fillId="59" borderId="42" xfId="3" applyNumberFormat="1" applyFont="1" applyFill="1" applyBorder="1" applyAlignment="1">
      <alignment horizontal="center" vertical="center"/>
    </xf>
    <xf numFmtId="14" fontId="176" fillId="53" borderId="66" xfId="3" applyNumberFormat="1" applyFont="1" applyFill="1" applyBorder="1"/>
    <xf numFmtId="1" fontId="176" fillId="53" borderId="66" xfId="778" applyNumberFormat="1" applyFont="1" applyFill="1" applyBorder="1"/>
    <xf numFmtId="173" fontId="0" fillId="0" borderId="0" xfId="0" applyNumberFormat="1"/>
    <xf numFmtId="0" fontId="170" fillId="0" borderId="52" xfId="0" applyFont="1" applyBorder="1" applyAlignment="1">
      <alignment vertical="center"/>
    </xf>
    <xf numFmtId="0" fontId="170" fillId="0" borderId="53" xfId="0" applyFont="1" applyBorder="1" applyAlignment="1">
      <alignment vertical="center"/>
    </xf>
    <xf numFmtId="0" fontId="170" fillId="0" borderId="0" xfId="0" applyFont="1" applyAlignment="1">
      <alignment vertical="center"/>
    </xf>
    <xf numFmtId="14" fontId="170" fillId="0" borderId="0" xfId="0" applyNumberFormat="1" applyFont="1" applyAlignment="1">
      <alignment vertical="center"/>
    </xf>
    <xf numFmtId="14" fontId="170" fillId="0" borderId="52" xfId="0" applyNumberFormat="1" applyFont="1" applyBorder="1" applyAlignment="1">
      <alignment vertical="center"/>
    </xf>
    <xf numFmtId="0" fontId="171" fillId="54" borderId="104" xfId="3" applyFont="1" applyFill="1" applyBorder="1" applyAlignment="1">
      <alignment horizontal="center" vertical="center" wrapText="1"/>
    </xf>
    <xf numFmtId="0" fontId="171" fillId="54" borderId="22" xfId="3" applyFont="1" applyFill="1" applyBorder="1" applyAlignment="1">
      <alignment horizontal="center" vertical="center" wrapText="1"/>
    </xf>
    <xf numFmtId="0" fontId="171" fillId="54" borderId="44" xfId="3" applyFont="1" applyFill="1" applyBorder="1" applyAlignment="1">
      <alignment horizontal="center" vertical="center" wrapText="1"/>
    </xf>
    <xf numFmtId="0" fontId="185" fillId="72" borderId="81" xfId="3" applyFont="1" applyFill="1" applyBorder="1" applyAlignment="1">
      <alignment horizontal="center" vertical="center"/>
    </xf>
    <xf numFmtId="0" fontId="185" fillId="72" borderId="22" xfId="3" applyFont="1" applyFill="1" applyBorder="1" applyAlignment="1">
      <alignment horizontal="center" vertical="center"/>
    </xf>
    <xf numFmtId="0" fontId="185" fillId="72" borderId="44" xfId="3" applyFont="1" applyFill="1" applyBorder="1" applyAlignment="1">
      <alignment horizontal="center" vertical="center"/>
    </xf>
    <xf numFmtId="0" fontId="195" fillId="56" borderId="82" xfId="0" applyFont="1" applyFill="1" applyBorder="1" applyAlignment="1">
      <alignment horizontal="center" vertical="center"/>
    </xf>
    <xf numFmtId="0" fontId="195" fillId="56" borderId="83" xfId="0" applyFont="1" applyFill="1" applyBorder="1" applyAlignment="1">
      <alignment horizontal="center" vertical="center"/>
    </xf>
    <xf numFmtId="0" fontId="181" fillId="63" borderId="81" xfId="3" applyFont="1" applyFill="1" applyBorder="1" applyAlignment="1">
      <alignment horizontal="center" vertical="center"/>
    </xf>
    <xf numFmtId="0" fontId="181" fillId="63" borderId="22" xfId="3" applyFont="1" applyFill="1" applyBorder="1" applyAlignment="1">
      <alignment horizontal="center" vertical="center"/>
    </xf>
    <xf numFmtId="0" fontId="181" fillId="63" borderId="44" xfId="3" applyFont="1" applyFill="1" applyBorder="1" applyAlignment="1">
      <alignment horizontal="center" vertical="center"/>
    </xf>
    <xf numFmtId="0" fontId="195" fillId="0" borderId="82" xfId="0" applyFont="1" applyBorder="1" applyAlignment="1">
      <alignment horizontal="center" vertical="center"/>
    </xf>
    <xf numFmtId="0" fontId="195" fillId="0" borderId="83" xfId="0" applyFont="1" applyBorder="1" applyAlignment="1">
      <alignment horizontal="center" vertical="center"/>
    </xf>
    <xf numFmtId="0" fontId="195" fillId="0" borderId="64" xfId="0" applyFont="1" applyBorder="1" applyAlignment="1">
      <alignment horizontal="center" vertical="center"/>
    </xf>
    <xf numFmtId="0" fontId="195" fillId="0" borderId="84" xfId="0" applyFont="1" applyBorder="1" applyAlignment="1">
      <alignment horizontal="center" vertical="center"/>
    </xf>
    <xf numFmtId="0" fontId="183" fillId="0" borderId="59" xfId="0" applyFont="1" applyBorder="1" applyAlignment="1">
      <alignment horizontal="center" vertical="center"/>
    </xf>
    <xf numFmtId="0" fontId="183" fillId="0" borderId="60" xfId="0" applyFont="1" applyBorder="1" applyAlignment="1">
      <alignment horizontal="center" vertical="center"/>
    </xf>
    <xf numFmtId="0" fontId="183" fillId="0" borderId="61" xfId="0" applyFont="1" applyBorder="1" applyAlignment="1">
      <alignment horizontal="center" vertical="center"/>
    </xf>
    <xf numFmtId="0" fontId="184" fillId="54" borderId="67" xfId="771" applyFont="1" applyFill="1" applyBorder="1" applyAlignment="1">
      <alignment horizontal="center" vertical="center"/>
    </xf>
    <xf numFmtId="0" fontId="184" fillId="54" borderId="56" xfId="771" applyFont="1" applyFill="1" applyBorder="1" applyAlignment="1">
      <alignment horizontal="center" vertical="center"/>
    </xf>
    <xf numFmtId="0" fontId="201" fillId="0" borderId="52" xfId="771" applyFont="1" applyBorder="1" applyAlignment="1">
      <alignment vertical="center"/>
    </xf>
    <xf numFmtId="0" fontId="201" fillId="0" borderId="53" xfId="771" applyFont="1" applyBorder="1" applyAlignment="1">
      <alignment vertical="center"/>
    </xf>
    <xf numFmtId="0" fontId="201" fillId="0" borderId="53" xfId="0" applyFont="1" applyBorder="1" applyAlignment="1">
      <alignment vertical="center"/>
    </xf>
  </cellXfs>
  <cellStyles count="779">
    <cellStyle name="%" xfId="1" xr:uid="{00000000-0005-0000-0000-000000000000}"/>
    <cellStyle name="% 2" xfId="2" xr:uid="{00000000-0005-0000-0000-000001000000}"/>
    <cellStyle name="% 2 2" xfId="3" xr:uid="{00000000-0005-0000-0000-000002000000}"/>
    <cellStyle name="% 3" xfId="4" xr:uid="{00000000-0005-0000-0000-000003000000}"/>
    <cellStyle name="% 4" xfId="5" xr:uid="{00000000-0005-0000-0000-000004000000}"/>
    <cellStyle name="%_Consumo" xfId="6" xr:uid="{00000000-0005-0000-0000-000005000000}"/>
    <cellStyle name="%_Consumo_Resumen OKIN 20130412" xfId="7" xr:uid="{00000000-0005-0000-0000-000006000000}"/>
    <cellStyle name="%_Hoja1" xfId="8" xr:uid="{00000000-0005-0000-0000-000007000000}"/>
    <cellStyle name="%_Hoja1_Resumen OKIN 20130412" xfId="9" xr:uid="{00000000-0005-0000-0000-000008000000}"/>
    <cellStyle name="%_Resumen OKIN 20130412" xfId="10" xr:uid="{00000000-0005-0000-0000-000009000000}"/>
    <cellStyle name="%_Resumen OKIN 20130421_27-05_v2" xfId="11" xr:uid="{00000000-0005-0000-0000-00000A000000}"/>
    <cellStyle name="&amp;" xfId="12" xr:uid="{00000000-0005-0000-0000-00000B000000}"/>
    <cellStyle name=";;;" xfId="13" xr:uid="{00000000-0005-0000-0000-00000C000000}"/>
    <cellStyle name="\" xfId="14" xr:uid="{00000000-0005-0000-0000-00000D000000}"/>
    <cellStyle name="_%(SignOnly)" xfId="15" xr:uid="{00000000-0005-0000-0000-00000E000000}"/>
    <cellStyle name="_%(SignSpaceOnly)" xfId="16" xr:uid="{00000000-0005-0000-0000-00000F000000}"/>
    <cellStyle name="_05AOPFun-Temp(Ops)_Consol" xfId="17" xr:uid="{00000000-0005-0000-0000-000010000000}"/>
    <cellStyle name="_05AOPFun-Temp(Ops)_Consol_AOP Template Water and Energy China Test" xfId="18" xr:uid="{00000000-0005-0000-0000-000011000000}"/>
    <cellStyle name="_2005 AOP Functional Templates (Ops)-1014" xfId="19" xr:uid="{00000000-0005-0000-0000-000012000000}"/>
    <cellStyle name="_2005 AOP Functional Templates (Ops)-1014_AOP Template Water and Energy China Test" xfId="20" xr:uid="{00000000-0005-0000-0000-000013000000}"/>
    <cellStyle name="_2005 AOP Functional Templates (Ops)-1020" xfId="21" xr:uid="{00000000-0005-0000-0000-000014000000}"/>
    <cellStyle name="_2005 AOP Functional Templates (Ops)-1020_AOP Template Water and Energy China Test" xfId="22" xr:uid="{00000000-0005-0000-0000-000015000000}"/>
    <cellStyle name="_2005 AOP Functional Templates 1(Mktg)1" xfId="23" xr:uid="{00000000-0005-0000-0000-000016000000}"/>
    <cellStyle name="_2005 AOP Functional Templates 1(Mktg)1_AOP Template Water and Energy China Test" xfId="24" xr:uid="{00000000-0005-0000-0000-000017000000}"/>
    <cellStyle name="_2005 AOP Functional Templates ADDENDUM-19.10.041" xfId="25" xr:uid="{00000000-0005-0000-0000-000018000000}"/>
    <cellStyle name="_2005 AOP Functional Templates ADDENDUM-19.10.041_AOP Template Water and Energy China Test" xfId="26" xr:uid="{00000000-0005-0000-0000-000019000000}"/>
    <cellStyle name="_2005 AOP Functional Templates ADDENDUM-19.10.042" xfId="27" xr:uid="{00000000-0005-0000-0000-00001A000000}"/>
    <cellStyle name="_2005 AOP Functional Templates ADDENDUM-19.10.042_AOP Template Water and Energy China Test" xfId="28" xr:uid="{00000000-0005-0000-0000-00001B000000}"/>
    <cellStyle name="_2005 AOP Functional Templates ADDENDUM-19.10.043" xfId="29" xr:uid="{00000000-0005-0000-0000-00001C000000}"/>
    <cellStyle name="_2005 AOP Functional Templates ADDENDUM-19.10.043_AOP Template Water and Energy China Test" xfId="30" xr:uid="{00000000-0005-0000-0000-00001D000000}"/>
    <cellStyle name="_2005 AOP Functional Templates ADDENDUM4" xfId="31" xr:uid="{00000000-0005-0000-0000-00001E000000}"/>
    <cellStyle name="_2005 AOP Functional Templates ADDENDUM4_AOP Template Water and Energy China Test" xfId="32" xr:uid="{00000000-0005-0000-0000-00001F000000}"/>
    <cellStyle name="_2005 AOP Functional Templates FINAL - 19.10.04" xfId="33" xr:uid="{00000000-0005-0000-0000-000020000000}"/>
    <cellStyle name="_2005 AOP Functional Templates FINAL - 19.10.04_AOP Template Water and Energy China Test" xfId="34" xr:uid="{00000000-0005-0000-0000-000021000000}"/>
    <cellStyle name="_Alvalle AOP 2009 (ex Mercadona) FINAL" xfId="35" xr:uid="{00000000-0005-0000-0000-000022000000}"/>
    <cellStyle name="_Alvalle AOP 2009 (ex Mercadona) FINAL_Resumen OKIN 20130412" xfId="36" xr:uid="{00000000-0005-0000-0000-000023000000}"/>
    <cellStyle name="_AOP2010 PRODUCCION SEMANAL" xfId="37" xr:uid="{00000000-0005-0000-0000-000024000000}"/>
    <cellStyle name="_AOP2010 PRODUCCION SEMANAL_Resumen OKIN 20130412" xfId="38" xr:uid="{00000000-0005-0000-0000-000025000000}"/>
    <cellStyle name="_AOP2010PH2" xfId="39" xr:uid="{00000000-0005-0000-0000-000026000000}"/>
    <cellStyle name="_AOP2010PH2_Resumen OKIN 20130412" xfId="40" xr:uid="{00000000-0005-0000-0000-000027000000}"/>
    <cellStyle name="_aop2010PHASE1RMLE09)V1" xfId="41" xr:uid="{00000000-0005-0000-0000-000028000000}"/>
    <cellStyle name="_aop2010PHASE1RMLE09)V1_Resumen OKIN 20130412" xfId="42" xr:uid="{00000000-0005-0000-0000-000029000000}"/>
    <cellStyle name="_AOPFMOH2011" xfId="43" xr:uid="{00000000-0005-0000-0000-00002A000000}"/>
    <cellStyle name="_AOPFMOH2011_Resumen OKIN 20130412" xfId="44" xr:uid="{00000000-0005-0000-0000-00002B000000}"/>
    <cellStyle name="_capex adición sólidos" xfId="45" xr:uid="{00000000-0005-0000-0000-00002C000000}"/>
    <cellStyle name="_capex adición sólidos_Resumen OKIN 20130412" xfId="46" xr:uid="{00000000-0005-0000-0000-00002D000000}"/>
    <cellStyle name="_Capital_plan_template_2010" xfId="47" xr:uid="{00000000-0005-0000-0000-00002E000000}"/>
    <cellStyle name="_CarControl_monthly_2009" xfId="48" xr:uid="{00000000-0005-0000-0000-00002F000000}"/>
    <cellStyle name="_China Snack _ Ang_Financial Summary" xfId="49" xr:uid="{00000000-0005-0000-0000-000030000000}"/>
    <cellStyle name="_China Snack _ Ang_Financial Summary_AOP Template Water and Energy China Test" xfId="50" xr:uid="{00000000-0005-0000-0000-000031000000}"/>
    <cellStyle name="_COC YTDJULIO" xfId="51" xr:uid="{00000000-0005-0000-0000-000032000000}"/>
    <cellStyle name="_COC YTDJULIO_Resumen OKIN 20130412" xfId="52" xr:uid="{00000000-0005-0000-0000-000033000000}"/>
    <cellStyle name="_Comma" xfId="53" xr:uid="{00000000-0005-0000-0000-000034000000}"/>
    <cellStyle name="_Currency" xfId="54" xr:uid="{00000000-0005-0000-0000-000035000000}"/>
    <cellStyle name="_CurrencySpace" xfId="55" xr:uid="{00000000-0005-0000-0000-000036000000}"/>
    <cellStyle name="_DETALLE X DPTO 2010" xfId="56" xr:uid="{00000000-0005-0000-0000-000037000000}"/>
    <cellStyle name="_DETALLE X DPTO 2010_Resumen OKIN 20130412" xfId="57" xr:uid="{00000000-0005-0000-0000-000038000000}"/>
    <cellStyle name="_ENERGIA" xfId="58" xr:uid="{00000000-0005-0000-0000-000039000000}"/>
    <cellStyle name="_Euro" xfId="59" xr:uid="{00000000-0005-0000-0000-00003A000000}"/>
    <cellStyle name="_EVOLUC 2007-2008-2009-2010" xfId="60" xr:uid="{00000000-0005-0000-0000-00003B000000}"/>
    <cellStyle name="_EVOLUC 2007-2008-2009-2010_Resumen OKIN 20130412" xfId="61" xr:uid="{00000000-0005-0000-0000-00003C000000}"/>
    <cellStyle name="_Facturas de Energia y agua 2009_detallexareasV2" xfId="62" xr:uid="{00000000-0005-0000-0000-00003D000000}"/>
    <cellStyle name="_Facturas de Energia y agua 2009_MODMES" xfId="63" xr:uid="{00000000-0005-0000-0000-00003E000000}"/>
    <cellStyle name="_FCST12010V1" xfId="64" xr:uid="{00000000-0005-0000-0000-00003F000000}"/>
    <cellStyle name="_FCST12010V1_Resumen OKIN 20130412" xfId="65" xr:uid="{00000000-0005-0000-0000-000040000000}"/>
    <cellStyle name="_FICHAS CONTABILIDAD USGAAP" xfId="66" xr:uid="{00000000-0005-0000-0000-000041000000}"/>
    <cellStyle name="_FMOH MURCIA AOP2009" xfId="67" xr:uid="{00000000-0005-0000-0000-000042000000}"/>
    <cellStyle name="_FMOH MURCIA AOP2009_Resumen OKIN 20130412" xfId="68" xr:uid="{00000000-0005-0000-0000-000043000000}"/>
    <cellStyle name="_FMOH10" xfId="69" xr:uid="{00000000-0005-0000-0000-000044000000}"/>
    <cellStyle name="_FMOH10_Resumen OKIN 20130412" xfId="70" xr:uid="{00000000-0005-0000-0000-000045000000}"/>
    <cellStyle name="_FMOH2008FCT1" xfId="71" xr:uid="{00000000-0005-0000-0000-000046000000}"/>
    <cellStyle name="_FMOH-AOP2009" xfId="72" xr:uid="{00000000-0005-0000-0000-000047000000}"/>
    <cellStyle name="_FMOH-AOP2009.2" xfId="73" xr:uid="{00000000-0005-0000-0000-000048000000}"/>
    <cellStyle name="_FMOH-AOP2009.2_Resumen OKIN 20130412" xfId="74" xr:uid="{00000000-0005-0000-0000-000049000000}"/>
    <cellStyle name="_FMOH-AOP2009_Resumen OKIN 20130412" xfId="75" xr:uid="{00000000-0005-0000-0000-00004A000000}"/>
    <cellStyle name="_Heading" xfId="76" xr:uid="{00000000-0005-0000-0000-00004B000000}"/>
    <cellStyle name="_Heading_Resumen OKIN 20130412" xfId="77" xr:uid="{00000000-0005-0000-0000-00004C000000}"/>
    <cellStyle name="_Heading_Sunny D model (CapEx v5)" xfId="78" xr:uid="{00000000-0005-0000-0000-00004D000000}"/>
    <cellStyle name="_Highlight" xfId="79" xr:uid="{00000000-0005-0000-0000-00004E000000}"/>
    <cellStyle name="_IRR 2010" xfId="80" xr:uid="{00000000-0005-0000-0000-00004F000000}"/>
    <cellStyle name="_IRR 2010_Resumen OKIN 20130412" xfId="81" xr:uid="{00000000-0005-0000-0000-000050000000}"/>
    <cellStyle name="_IRRPROY" xfId="82" xr:uid="{00000000-0005-0000-0000-000051000000}"/>
    <cellStyle name="_IRRPROY_Resumen OKIN 20130412" xfId="83" xr:uid="{00000000-0005-0000-0000-000052000000}"/>
    <cellStyle name="_JFL 2005 AOP Functional Templates" xfId="84" xr:uid="{00000000-0005-0000-0000-000053000000}"/>
    <cellStyle name="_JFL 2005 AOP Functional Templates_AOP Template Water and Energy China Test" xfId="85" xr:uid="{00000000-0005-0000-0000-000054000000}"/>
    <cellStyle name="_laroux" xfId="86" xr:uid="{00000000-0005-0000-0000-000055000000}"/>
    <cellStyle name="_laroux_2000 Reforecast Summary 6-00" xfId="87" xr:uid="{00000000-0005-0000-0000-000056000000}"/>
    <cellStyle name="_laroux_2000 Reforecast Summary 6-00_Black Scholes Valuation - Indigo" xfId="88" xr:uid="{00000000-0005-0000-0000-000057000000}"/>
    <cellStyle name="_laroux_April 2000 Review" xfId="89" xr:uid="{00000000-0005-0000-0000-000058000000}"/>
    <cellStyle name="_laroux_April 2000 Review_Property Disclosure 2000 Reforecast 8-00" xfId="90" xr:uid="{00000000-0005-0000-0000-000059000000}"/>
    <cellStyle name="_laroux_Aug Outlook Internet Marketing 10-14-99" xfId="91" xr:uid="{00000000-0005-0000-0000-00005A000000}"/>
    <cellStyle name="_laroux_Aug Outlook Internet Marketing 10-14-99_Black Scholes Valuation - Indigo" xfId="92" xr:uid="{00000000-0005-0000-0000-00005B000000}"/>
    <cellStyle name="_laroux_Black Scholes Valuation - Indigo" xfId="93" xr:uid="{00000000-0005-0000-0000-00005C000000}"/>
    <cellStyle name="_laroux_Geo Analysis file 10-7-99" xfId="94" xr:uid="{00000000-0005-0000-0000-00005D000000}"/>
    <cellStyle name="_laroux_Geo Analysis file 10-7-99_Black Scholes Valuation - Indigo" xfId="95" xr:uid="{00000000-0005-0000-0000-00005E000000}"/>
    <cellStyle name="_laroux_June 2000 Review - board package 7-14-00 v2" xfId="96" xr:uid="{00000000-0005-0000-0000-00005F000000}"/>
    <cellStyle name="_laroux_June 2000 Review - board package 7-14-00 v2_Black Scholes Valuation - Indigo" xfId="97" xr:uid="{00000000-0005-0000-0000-000060000000}"/>
    <cellStyle name="_laroux_revbyprod Prop Disc" xfId="98" xr:uid="{00000000-0005-0000-0000-000061000000}"/>
    <cellStyle name="_laroux_revbyprod Prop Disc_Black Scholes Valuation - Indigo" xfId="99" xr:uid="{00000000-0005-0000-0000-000062000000}"/>
    <cellStyle name="_laroux_Revenue Prop Disc Budget 12-21" xfId="100" xr:uid="{00000000-0005-0000-0000-000063000000}"/>
    <cellStyle name="_laroux_Revenue Prop Disc Budget 12-21_Black Scholes Valuation - Indigo" xfId="101" xr:uid="{00000000-0005-0000-0000-000064000000}"/>
    <cellStyle name="_laroux_Strategy Meeting 8-22-00b" xfId="102" xr:uid="{00000000-0005-0000-0000-000065000000}"/>
    <cellStyle name="_laroux_Strategy Meeting 8-22-00b_Black Scholes Valuation - Indigo" xfId="103" xr:uid="{00000000-0005-0000-0000-000066000000}"/>
    <cellStyle name="_laroux_Strategy Meeting Update 10-9-00" xfId="104" xr:uid="{00000000-0005-0000-0000-000067000000}"/>
    <cellStyle name="_laroux_Strategy Meeting Update 10-9-00_Black Scholes Valuation - Indigo" xfId="105" xr:uid="{00000000-0005-0000-0000-000068000000}"/>
    <cellStyle name="_laroux_Strategy Meeting Update 11-6-00" xfId="106" xr:uid="{00000000-0005-0000-0000-000069000000}"/>
    <cellStyle name="_laroux_Strategy Meeting Update 11-6-00_Black Scholes Valuation - Indigo" xfId="107" xr:uid="{00000000-0005-0000-0000-00006A000000}"/>
    <cellStyle name="_Lipton vs other brands" xfId="108" xr:uid="{00000000-0005-0000-0000-00006B000000}"/>
    <cellStyle name="_Lipton vs other brands_Resumen OKIN 20130412" xfId="109" xr:uid="{00000000-0005-0000-0000-00006C000000}"/>
    <cellStyle name="_MIX" xfId="110" xr:uid="{00000000-0005-0000-0000-00006D000000}"/>
    <cellStyle name="_MIX_Resumen OKIN 20130412" xfId="111" xr:uid="{00000000-0005-0000-0000-00006E000000}"/>
    <cellStyle name="_MIX2010" xfId="112" xr:uid="{00000000-0005-0000-0000-00006F000000}"/>
    <cellStyle name="_MIX2010_Resumen OKIN 20130412" xfId="113" xr:uid="{00000000-0005-0000-0000-000070000000}"/>
    <cellStyle name="_MIXYTDDIC" xfId="114" xr:uid="{00000000-0005-0000-0000-000071000000}"/>
    <cellStyle name="_MIXYTDDIC_Resumen OKIN 20130412" xfId="115" xr:uid="{00000000-0005-0000-0000-000072000000}"/>
    <cellStyle name="_MOD ANALISIS.v2" xfId="116" xr:uid="{00000000-0005-0000-0000-000073000000}"/>
    <cellStyle name="_MOD ANALISIS.v2_Resumen OKIN 20130412" xfId="117" xr:uid="{00000000-0005-0000-0000-000074000000}"/>
    <cellStyle name="_MOH&amp;LABOUR 2010" xfId="118" xr:uid="{00000000-0005-0000-0000-000075000000}"/>
    <cellStyle name="_MOH&amp;LABOUR 2010_Resumen OKIN 20130412" xfId="119" xr:uid="{00000000-0005-0000-0000-000076000000}"/>
    <cellStyle name="_Multiple" xfId="120" xr:uid="{00000000-0005-0000-0000-000077000000}"/>
    <cellStyle name="_MultipleSpace" xfId="121" xr:uid="{00000000-0005-0000-0000-000078000000}"/>
    <cellStyle name="_PALOTS" xfId="122" xr:uid="{00000000-0005-0000-0000-000079000000}"/>
    <cellStyle name="_PALOTS_Resumen OKIN 20130412" xfId="123" xr:uid="{00000000-0005-0000-0000-00007A000000}"/>
    <cellStyle name="_PHASING2009 (3)" xfId="124" xr:uid="{00000000-0005-0000-0000-00007B000000}"/>
    <cellStyle name="_PHASING2009 (3) (2) (2)" xfId="125" xr:uid="{00000000-0005-0000-0000-00007C000000}"/>
    <cellStyle name="_PHASING2009 (3) (2) (2)_Resumen OKIN 20130412" xfId="126" xr:uid="{00000000-0005-0000-0000-00007D000000}"/>
    <cellStyle name="_PHASING2009 (3)_Resumen OKIN 20130412" xfId="127" xr:uid="{00000000-0005-0000-0000-00007E000000}"/>
    <cellStyle name="_POR DEPARTAMENTOS DETALLE P12" xfId="128" xr:uid="{00000000-0005-0000-0000-00007F000000}"/>
    <cellStyle name="_POR DEPARTAMENTOS DETALLE P12_Resumen OKIN 20130412" xfId="129" xr:uid="{00000000-0005-0000-0000-000080000000}"/>
    <cellStyle name="_Productivity plan 2011" xfId="130" xr:uid="{00000000-0005-0000-0000-000081000000}"/>
    <cellStyle name="_PROYECTOS PHASE2.irr" xfId="131" xr:uid="{00000000-0005-0000-0000-000082000000}"/>
    <cellStyle name="_PROYECTOS PHASE2.irr_Resumen OKIN 20130412" xfId="132" xr:uid="{00000000-0005-0000-0000-000083000000}"/>
    <cellStyle name="_resumen aop" xfId="133" xr:uid="{00000000-0005-0000-0000-000084000000}"/>
    <cellStyle name="_resumen aop_Resumen OKIN 20130412" xfId="134" xr:uid="{00000000-0005-0000-0000-000085000000}"/>
    <cellStyle name="_resumen aop_VMOHAOP11" xfId="135" xr:uid="{00000000-0005-0000-0000-000086000000}"/>
    <cellStyle name="_resumen aop_VMOHAOP11_Resumen OKIN 20130412" xfId="136" xr:uid="{00000000-0005-0000-0000-000087000000}"/>
    <cellStyle name="_resumen aop_VMOHLEago10" xfId="137" xr:uid="{00000000-0005-0000-0000-000088000000}"/>
    <cellStyle name="_resumen aop_VMOHLEago10_Resumen OKIN 20130412" xfId="138" xr:uid="{00000000-0005-0000-0000-000089000000}"/>
    <cellStyle name="_RESUMEN GLOBAL 08" xfId="139" xr:uid="{00000000-0005-0000-0000-00008A000000}"/>
    <cellStyle name="_RESUMEN GLOBAL 08_Resumen OKIN 20130412" xfId="140" xr:uid="{00000000-0005-0000-0000-00008B000000}"/>
    <cellStyle name="_Revised template - Oct 21.04" xfId="141" xr:uid="{00000000-0005-0000-0000-00008C000000}"/>
    <cellStyle name="_Revised template - Oct 21.04_AOP Template Water and Energy China Test" xfId="142" xr:uid="{00000000-0005-0000-0000-00008D000000}"/>
    <cellStyle name="_ROLLING 2010 v2" xfId="143" xr:uid="{00000000-0005-0000-0000-00008E000000}"/>
    <cellStyle name="_ROLLING 2010 v2_Resumen OKIN 20130412" xfId="144" xr:uid="{00000000-0005-0000-0000-00008F000000}"/>
    <cellStyle name="_ROLLING 2010 v4 (2)" xfId="145" xr:uid="{00000000-0005-0000-0000-000090000000}"/>
    <cellStyle name="_ROLLING 2010 v4 (2)_Resumen OKIN 20130412" xfId="146" xr:uid="{00000000-0005-0000-0000-000091000000}"/>
    <cellStyle name="_Salarios Fábrica AOP 10" xfId="147" xr:uid="{00000000-0005-0000-0000-000092000000}"/>
    <cellStyle name="_Salarios Fábrica AOP 10_Resumen OKIN 20130412" xfId="148" xr:uid="{00000000-0005-0000-0000-000093000000}"/>
    <cellStyle name="_SAVING PROYECTO FIN LINEA S90 y ROBOT S80" xfId="149" xr:uid="{00000000-0005-0000-0000-000094000000}"/>
    <cellStyle name="_SAVING PROYECTO FIN LINEA S90 y ROBOT S80_Resumen OKIN 20130412" xfId="150" xr:uid="{00000000-0005-0000-0000-000095000000}"/>
    <cellStyle name="_SERGIO2011" xfId="151" xr:uid="{00000000-0005-0000-0000-000096000000}"/>
    <cellStyle name="_SERGIO2011_Resumen OKIN 20130412" xfId="152" xr:uid="{00000000-0005-0000-0000-000097000000}"/>
    <cellStyle name="_STATUS" xfId="153" xr:uid="{00000000-0005-0000-0000-000098000000}"/>
    <cellStyle name="_SubHeading" xfId="154" xr:uid="{00000000-0005-0000-0000-000099000000}"/>
    <cellStyle name="_SubHeading_Resumen OKIN 20130412" xfId="155" xr:uid="{00000000-0005-0000-0000-00009A000000}"/>
    <cellStyle name="_SubHeading_Sunny D model (CapEx v5)" xfId="156" xr:uid="{00000000-0005-0000-0000-00009B000000}"/>
    <cellStyle name="_Table" xfId="157" xr:uid="{00000000-0005-0000-0000-00009C000000}"/>
    <cellStyle name="_Table_Resumen OKIN 20130412" xfId="158" xr:uid="{00000000-0005-0000-0000-00009D000000}"/>
    <cellStyle name="_Table_Sunny D model (CapEx v5)" xfId="159" xr:uid="{00000000-0005-0000-0000-00009E000000}"/>
    <cellStyle name="_TableHead" xfId="160" xr:uid="{00000000-0005-0000-0000-00009F000000}"/>
    <cellStyle name="_TableHead_Resumen OKIN 20130412" xfId="161" xr:uid="{00000000-0005-0000-0000-0000A0000000}"/>
    <cellStyle name="_TableHead_Sunny D model (CapEx v5)" xfId="162" xr:uid="{00000000-0005-0000-0000-0000A1000000}"/>
    <cellStyle name="_TableRowHead" xfId="163" xr:uid="{00000000-0005-0000-0000-0000A2000000}"/>
    <cellStyle name="_TableRowHead_Resumen OKIN 20130412" xfId="164" xr:uid="{00000000-0005-0000-0000-0000A3000000}"/>
    <cellStyle name="_TableRowHead_Sunny D model (CapEx v5)" xfId="165" xr:uid="{00000000-0005-0000-0000-0000A4000000}"/>
    <cellStyle name="_TableSuperHead" xfId="166" xr:uid="{00000000-0005-0000-0000-0000A5000000}"/>
    <cellStyle name="_TableSuperHead_Resumen OKIN 20130412" xfId="167" xr:uid="{00000000-0005-0000-0000-0000A6000000}"/>
    <cellStyle name="_TableSuperHead_Sunny D model (CapEx v5)" xfId="168" xr:uid="{00000000-0005-0000-0000-0000A7000000}"/>
    <cellStyle name="_Turkey P&amp;Ls by Region" xfId="169" xr:uid="{00000000-0005-0000-0000-0000A8000000}"/>
    <cellStyle name="_UTILITIES 2008.phase ii" xfId="170" xr:uid="{00000000-0005-0000-0000-0000A9000000}"/>
    <cellStyle name="_UTILITIES 2009v2phase2.ex mercadona" xfId="171" xr:uid="{00000000-0005-0000-0000-0000AA000000}"/>
    <cellStyle name="_VNORESTE570" xfId="172" xr:uid="{00000000-0005-0000-0000-0000AB000000}"/>
    <cellStyle name="_VNORESTE570_Resumen OKIN 20130412" xfId="173" xr:uid="{00000000-0005-0000-0000-0000AC000000}"/>
    <cellStyle name="_Volumes for Murcia" xfId="174" xr:uid="{00000000-0005-0000-0000-0000AD000000}"/>
    <cellStyle name="_Volumes for Murcia_Resumen OKIN 20130412" xfId="175" xr:uid="{00000000-0005-0000-0000-0000AE000000}"/>
    <cellStyle name="_Water and Energy Template V5" xfId="176" xr:uid="{00000000-0005-0000-0000-0000AF000000}"/>
    <cellStyle name="•W_GE 3 MINIMUM" xfId="177" xr:uid="{00000000-0005-0000-0000-0000B0000000}"/>
    <cellStyle name="1998" xfId="178" xr:uid="{00000000-0005-0000-0000-0000B1000000}"/>
    <cellStyle name="¹éºÐÀ²_±âÅ¸" xfId="179" xr:uid="{00000000-0005-0000-0000-0000B2000000}"/>
    <cellStyle name="20% - Accent1" xfId="180" xr:uid="{00000000-0005-0000-0000-0000B3000000}"/>
    <cellStyle name="20% - Accent2" xfId="181" xr:uid="{00000000-0005-0000-0000-0000B4000000}"/>
    <cellStyle name="20% - Accent3" xfId="182" xr:uid="{00000000-0005-0000-0000-0000B5000000}"/>
    <cellStyle name="20% - Accent4" xfId="183" xr:uid="{00000000-0005-0000-0000-0000B6000000}"/>
    <cellStyle name="20% - Accent5" xfId="184" xr:uid="{00000000-0005-0000-0000-0000B7000000}"/>
    <cellStyle name="20% - Accent6" xfId="185" xr:uid="{00000000-0005-0000-0000-0000B8000000}"/>
    <cellStyle name="20% - Énfasis3" xfId="774" builtinId="38"/>
    <cellStyle name="40% - Accent1" xfId="186" xr:uid="{00000000-0005-0000-0000-0000B9000000}"/>
    <cellStyle name="40% - Accent2" xfId="187" xr:uid="{00000000-0005-0000-0000-0000BA000000}"/>
    <cellStyle name="40% - Accent3" xfId="188" xr:uid="{00000000-0005-0000-0000-0000BB000000}"/>
    <cellStyle name="40% - Accent4" xfId="189" xr:uid="{00000000-0005-0000-0000-0000BC000000}"/>
    <cellStyle name="40% - Accent5" xfId="190" xr:uid="{00000000-0005-0000-0000-0000BD000000}"/>
    <cellStyle name="40% - Accent6" xfId="191" xr:uid="{00000000-0005-0000-0000-0000BE000000}"/>
    <cellStyle name="60% - Accent1" xfId="192" xr:uid="{00000000-0005-0000-0000-0000BF000000}"/>
    <cellStyle name="60% - Accent2" xfId="193" xr:uid="{00000000-0005-0000-0000-0000C0000000}"/>
    <cellStyle name="60% - Accent3" xfId="194" xr:uid="{00000000-0005-0000-0000-0000C1000000}"/>
    <cellStyle name="60% - Accent4" xfId="195" xr:uid="{00000000-0005-0000-0000-0000C2000000}"/>
    <cellStyle name="60% - Accent5" xfId="196" xr:uid="{00000000-0005-0000-0000-0000C3000000}"/>
    <cellStyle name="60% - Accent6" xfId="197" xr:uid="{00000000-0005-0000-0000-0000C4000000}"/>
    <cellStyle name="60% - Énfasis3 2" xfId="776" xr:uid="{D01E4490-AC88-4A38-ABEF-D5F3BA91157F}"/>
    <cellStyle name="A satisfied Microsoft Office user" xfId="198" xr:uid="{00000000-0005-0000-0000-0000C5000000}"/>
    <cellStyle name="Accent1" xfId="199" xr:uid="{00000000-0005-0000-0000-0000C6000000}"/>
    <cellStyle name="Accent2" xfId="200" xr:uid="{00000000-0005-0000-0000-0000C7000000}"/>
    <cellStyle name="Accent3" xfId="201" xr:uid="{00000000-0005-0000-0000-0000C8000000}"/>
    <cellStyle name="Accent4" xfId="202" xr:uid="{00000000-0005-0000-0000-0000C9000000}"/>
    <cellStyle name="Accent5" xfId="203" xr:uid="{00000000-0005-0000-0000-0000CA000000}"/>
    <cellStyle name="Accent6" xfId="204" xr:uid="{00000000-0005-0000-0000-0000CB000000}"/>
    <cellStyle name="AcctEntry" xfId="205" xr:uid="{00000000-0005-0000-0000-0000CC000000}"/>
    <cellStyle name="AcctEntryTotal" xfId="206" xr:uid="{00000000-0005-0000-0000-0000CD000000}"/>
    <cellStyle name="ÅëÈ­ [0]_±âÅ¸" xfId="207" xr:uid="{00000000-0005-0000-0000-0000CE000000}"/>
    <cellStyle name="ÅëÈ­_±âÅ¸" xfId="208" xr:uid="{00000000-0005-0000-0000-0000CF000000}"/>
    <cellStyle name="Arial 10" xfId="209" xr:uid="{00000000-0005-0000-0000-0000D0000000}"/>
    <cellStyle name="Arial 12" xfId="210" xr:uid="{00000000-0005-0000-0000-0000D1000000}"/>
    <cellStyle name="ÄÞ¸¶ [0]_±âÅ¸" xfId="211" xr:uid="{00000000-0005-0000-0000-0000D2000000}"/>
    <cellStyle name="ÄÞ¸¶_±âÅ¸" xfId="212" xr:uid="{00000000-0005-0000-0000-0000D3000000}"/>
    <cellStyle name="Bad" xfId="213" xr:uid="{00000000-0005-0000-0000-0000D4000000}"/>
    <cellStyle name="Big Text" xfId="214" xr:uid="{00000000-0005-0000-0000-0000D5000000}"/>
    <cellStyle name="Blank" xfId="215" xr:uid="{00000000-0005-0000-0000-0000D6000000}"/>
    <cellStyle name="BlankP" xfId="216" xr:uid="{00000000-0005-0000-0000-0000D7000000}"/>
    <cellStyle name="Blue" xfId="217" xr:uid="{00000000-0005-0000-0000-0000D8000000}"/>
    <cellStyle name="Blue Block Hdr" xfId="218" xr:uid="{00000000-0005-0000-0000-0000D9000000}"/>
    <cellStyle name="Blue Col Hdr" xfId="219" xr:uid="{00000000-0005-0000-0000-0000DA000000}"/>
    <cellStyle name="Blueback" xfId="220" xr:uid="{00000000-0005-0000-0000-0000DB000000}"/>
    <cellStyle name="bluenodec" xfId="221" xr:uid="{00000000-0005-0000-0000-0000DC000000}"/>
    <cellStyle name="bluepercent" xfId="222" xr:uid="{00000000-0005-0000-0000-0000DD000000}"/>
    <cellStyle name="Body" xfId="223" xr:uid="{00000000-0005-0000-0000-0000DE000000}"/>
    <cellStyle name="Border" xfId="224" xr:uid="{00000000-0005-0000-0000-0000DF000000}"/>
    <cellStyle name="Border Heavy" xfId="225" xr:uid="{00000000-0005-0000-0000-0000E0000000}"/>
    <cellStyle name="Border Thin" xfId="226" xr:uid="{00000000-0005-0000-0000-0000E1000000}"/>
    <cellStyle name="Border_Resumen OKIN 20130412" xfId="227" xr:uid="{00000000-0005-0000-0000-0000E2000000}"/>
    <cellStyle name="BottlerNameAndCountry" xfId="228" xr:uid="{00000000-0005-0000-0000-0000E3000000}"/>
    <cellStyle name="Box Head" xfId="229" xr:uid="{00000000-0005-0000-0000-0000E4000000}"/>
    <cellStyle name="British Pound" xfId="230" xr:uid="{00000000-0005-0000-0000-0000E5000000}"/>
    <cellStyle name="Business Description" xfId="231" xr:uid="{00000000-0005-0000-0000-0000E6000000}"/>
    <cellStyle name="Ç¥ÁØ_¿ù°£¿ä¾àº¸°í" xfId="232" xr:uid="{00000000-0005-0000-0000-0000E7000000}"/>
    <cellStyle name="Calc Currency (0)" xfId="233" xr:uid="{00000000-0005-0000-0000-0000E8000000}"/>
    <cellStyle name="Calculation" xfId="234" xr:uid="{00000000-0005-0000-0000-0000E9000000}"/>
    <cellStyle name="Case" xfId="235" xr:uid="{00000000-0005-0000-0000-0000EA000000}"/>
    <cellStyle name="Category" xfId="236" xr:uid="{00000000-0005-0000-0000-0000EB000000}"/>
    <cellStyle name="Centered Heading" xfId="237" xr:uid="{00000000-0005-0000-0000-0000EC000000}"/>
    <cellStyle name="Changeable" xfId="238" xr:uid="{00000000-0005-0000-0000-0000ED000000}"/>
    <cellStyle name="Check Cell" xfId="239" xr:uid="{00000000-0005-0000-0000-0000EE000000}"/>
    <cellStyle name="ClosedAct" xfId="240" xr:uid="{00000000-0005-0000-0000-0000EF000000}"/>
    <cellStyle name="Co. Names" xfId="241" xr:uid="{00000000-0005-0000-0000-0000F0000000}"/>
    <cellStyle name="Col_hea" xfId="242" xr:uid="{00000000-0005-0000-0000-0000F1000000}"/>
    <cellStyle name="ColTop" xfId="243" xr:uid="{00000000-0005-0000-0000-0000F2000000}"/>
    <cellStyle name="Column_Title" xfId="244" xr:uid="{00000000-0005-0000-0000-0000F3000000}"/>
    <cellStyle name="ColumnAttributeAbovePrompt" xfId="245" xr:uid="{00000000-0005-0000-0000-0000F4000000}"/>
    <cellStyle name="ColumnAttributePrompt" xfId="246" xr:uid="{00000000-0005-0000-0000-0000F5000000}"/>
    <cellStyle name="ColumnAttributeValue" xfId="247" xr:uid="{00000000-0005-0000-0000-0000F6000000}"/>
    <cellStyle name="ColumnHeadingPrompt" xfId="248" xr:uid="{00000000-0005-0000-0000-0000F7000000}"/>
    <cellStyle name="ColumnHeadingValue" xfId="249" xr:uid="{00000000-0005-0000-0000-0000F8000000}"/>
    <cellStyle name="ComD“¬_x0004_1 FY96_97È¸ºñ" xfId="250" xr:uid="{00000000-0005-0000-0000-0000F9000000}"/>
    <cellStyle name="Comma  - Style1" xfId="251" xr:uid="{00000000-0005-0000-0000-0000FA000000}"/>
    <cellStyle name="Comma  - Style2" xfId="252" xr:uid="{00000000-0005-0000-0000-0000FB000000}"/>
    <cellStyle name="Comma  - Style3" xfId="253" xr:uid="{00000000-0005-0000-0000-0000FC000000}"/>
    <cellStyle name="Comma  - Style4" xfId="254" xr:uid="{00000000-0005-0000-0000-0000FD000000}"/>
    <cellStyle name="Comma  - Style5" xfId="255" xr:uid="{00000000-0005-0000-0000-0000FE000000}"/>
    <cellStyle name="Comma  - Style6" xfId="256" xr:uid="{00000000-0005-0000-0000-0000FF000000}"/>
    <cellStyle name="Comma  - Style7" xfId="257" xr:uid="{00000000-0005-0000-0000-000000010000}"/>
    <cellStyle name="Comma  - Style8" xfId="258" xr:uid="{00000000-0005-0000-0000-000001010000}"/>
    <cellStyle name="Comma [1]" xfId="259" xr:uid="{00000000-0005-0000-0000-000002010000}"/>
    <cellStyle name="Comma 0" xfId="260" xr:uid="{00000000-0005-0000-0000-000003010000}"/>
    <cellStyle name="Comma 0*" xfId="261" xr:uid="{00000000-0005-0000-0000-000004010000}"/>
    <cellStyle name="Comma 0.0" xfId="262" xr:uid="{00000000-0005-0000-0000-000005010000}"/>
    <cellStyle name="Comma 0.00" xfId="263" xr:uid="{00000000-0005-0000-0000-000006010000}"/>
    <cellStyle name="Comma 0.000" xfId="264" xr:uid="{00000000-0005-0000-0000-000007010000}"/>
    <cellStyle name="Comma 0.0000" xfId="265" xr:uid="{00000000-0005-0000-0000-000008010000}"/>
    <cellStyle name="Comma 2" xfId="266" xr:uid="{00000000-0005-0000-0000-000009010000}"/>
    <cellStyle name="Comma 3" xfId="267" xr:uid="{00000000-0005-0000-0000-00000A010000}"/>
    <cellStyle name="Comma with Sum line" xfId="268" xr:uid="{00000000-0005-0000-0000-00000B010000}"/>
    <cellStyle name="comma zerodec" xfId="269" xr:uid="{00000000-0005-0000-0000-00000C010000}"/>
    <cellStyle name="Comma0" xfId="270" xr:uid="{00000000-0005-0000-0000-00000D010000}"/>
    <cellStyle name="Company Name" xfId="271" xr:uid="{00000000-0005-0000-0000-00000E010000}"/>
    <cellStyle name="Copied" xfId="272" xr:uid="{00000000-0005-0000-0000-00000F010000}"/>
    <cellStyle name="Cover Date" xfId="273" xr:uid="{00000000-0005-0000-0000-000010010000}"/>
    <cellStyle name="Cover Subtitle" xfId="274" xr:uid="{00000000-0005-0000-0000-000011010000}"/>
    <cellStyle name="Cover Title" xfId="275" xr:uid="{00000000-0005-0000-0000-000012010000}"/>
    <cellStyle name="CrossPop" xfId="276" xr:uid="{00000000-0005-0000-0000-000013010000}"/>
    <cellStyle name="Cur_x0008_ency_Sheet1_laroux_pldt" xfId="277" xr:uid="{00000000-0005-0000-0000-000014010000}"/>
    <cellStyle name="Currency [1]" xfId="278" xr:uid="{00000000-0005-0000-0000-000015010000}"/>
    <cellStyle name="Currency [2]" xfId="279" xr:uid="{00000000-0005-0000-0000-000016010000}"/>
    <cellStyle name="Currency 0" xfId="280" xr:uid="{00000000-0005-0000-0000-000017010000}"/>
    <cellStyle name="Currency 0.0" xfId="281" xr:uid="{00000000-0005-0000-0000-000018010000}"/>
    <cellStyle name="Currency 0.00" xfId="282" xr:uid="{00000000-0005-0000-0000-000019010000}"/>
    <cellStyle name="Currency 0.000" xfId="283" xr:uid="{00000000-0005-0000-0000-00001A010000}"/>
    <cellStyle name="Currency 0.0000" xfId="284" xr:uid="{00000000-0005-0000-0000-00001B010000}"/>
    <cellStyle name="Currency 2" xfId="285" xr:uid="{00000000-0005-0000-0000-00001C010000}"/>
    <cellStyle name="Currency with Sum Lines" xfId="286" xr:uid="{00000000-0005-0000-0000-00001D010000}"/>
    <cellStyle name="Currency-$" xfId="287" xr:uid="{00000000-0005-0000-0000-00001E010000}"/>
    <cellStyle name="Currency*" xfId="288" xr:uid="{00000000-0005-0000-0000-00001F010000}"/>
    <cellStyle name="Currency-£" xfId="289" xr:uid="{00000000-0005-0000-0000-000020010000}"/>
    <cellStyle name="Currency0" xfId="290" xr:uid="{00000000-0005-0000-0000-000021010000}"/>
    <cellStyle name="Currency1" xfId="291" xr:uid="{00000000-0005-0000-0000-000022010000}"/>
    <cellStyle name="Currency-F" xfId="292" xr:uid="{00000000-0005-0000-0000-000023010000}"/>
    <cellStyle name="DARK" xfId="293" xr:uid="{00000000-0005-0000-0000-000024010000}"/>
    <cellStyle name="DATASTYLE" xfId="294" xr:uid="{00000000-0005-0000-0000-000025010000}"/>
    <cellStyle name="Date" xfId="295" xr:uid="{00000000-0005-0000-0000-000026010000}"/>
    <cellStyle name="Date Aligned" xfId="296" xr:uid="{00000000-0005-0000-0000-000027010000}"/>
    <cellStyle name="Date_~0040091" xfId="297" xr:uid="{00000000-0005-0000-0000-000028010000}"/>
    <cellStyle name="Date1" xfId="298" xr:uid="{00000000-0005-0000-0000-000029010000}"/>
    <cellStyle name="depth" xfId="299" xr:uid="{00000000-0005-0000-0000-00002A010000}"/>
    <cellStyle name="Dezimal [0]_Abacus Abfrage Project Vietnam2" xfId="300" xr:uid="{00000000-0005-0000-0000-00002B010000}"/>
    <cellStyle name="Dezimal_Abacus Abfrage Project Vietnam2" xfId="301" xr:uid="{00000000-0005-0000-0000-00002C010000}"/>
    <cellStyle name="Diseño" xfId="302" xr:uid="{00000000-0005-0000-0000-00002D010000}"/>
    <cellStyle name="d-m" xfId="303" xr:uid="{00000000-0005-0000-0000-00002E010000}"/>
    <cellStyle name="DMY" xfId="304" xr:uid="{00000000-0005-0000-0000-00002F010000}"/>
    <cellStyle name="D-M-Y" xfId="305" xr:uid="{00000000-0005-0000-0000-000030010000}"/>
    <cellStyle name="dollar" xfId="306" xr:uid="{00000000-0005-0000-0000-000031010000}"/>
    <cellStyle name="Dollar (zero dec)" xfId="307" xr:uid="{00000000-0005-0000-0000-000032010000}"/>
    <cellStyle name="dollar_Resumen OKIN 20130412" xfId="308" xr:uid="{00000000-0005-0000-0000-000033010000}"/>
    <cellStyle name="Dollar1" xfId="309" xr:uid="{00000000-0005-0000-0000-000034010000}"/>
    <cellStyle name="Dollar1Blue" xfId="310" xr:uid="{00000000-0005-0000-0000-000035010000}"/>
    <cellStyle name="Dollar2" xfId="311" xr:uid="{00000000-0005-0000-0000-000036010000}"/>
    <cellStyle name="Dollars" xfId="312" xr:uid="{00000000-0005-0000-0000-000037010000}"/>
    <cellStyle name="Dollars Per Share" xfId="313" xr:uid="{00000000-0005-0000-0000-000038010000}"/>
    <cellStyle name="DoneAct" xfId="314" xr:uid="{00000000-0005-0000-0000-000039010000}"/>
    <cellStyle name="Dotted Line" xfId="315" xr:uid="{00000000-0005-0000-0000-00003A010000}"/>
    <cellStyle name="Double Accounting" xfId="316" xr:uid="{00000000-0005-0000-0000-00003B010000}"/>
    <cellStyle name="DUEDECNOBORD" xfId="317" xr:uid="{00000000-0005-0000-0000-00003C010000}"/>
    <cellStyle name="DUEDECSIBORD" xfId="318" xr:uid="{00000000-0005-0000-0000-00003D010000}"/>
    <cellStyle name="Empty" xfId="319" xr:uid="{00000000-0005-0000-0000-00003E010000}"/>
    <cellStyle name="Énfasis1" xfId="773" builtinId="29"/>
    <cellStyle name="Entered" xfId="320" xr:uid="{00000000-0005-0000-0000-000040010000}"/>
    <cellStyle name="Entry" xfId="321" xr:uid="{00000000-0005-0000-0000-000041010000}"/>
    <cellStyle name="Estilo 1" xfId="322" xr:uid="{00000000-0005-0000-0000-000042010000}"/>
    <cellStyle name="Estilo 10" xfId="323" xr:uid="{00000000-0005-0000-0000-000043010000}"/>
    <cellStyle name="Estilo 11" xfId="324" xr:uid="{00000000-0005-0000-0000-000044010000}"/>
    <cellStyle name="Estilo 12" xfId="325" xr:uid="{00000000-0005-0000-0000-000045010000}"/>
    <cellStyle name="Estilo 13" xfId="326" xr:uid="{00000000-0005-0000-0000-000046010000}"/>
    <cellStyle name="Estilo 14" xfId="327" xr:uid="{00000000-0005-0000-0000-000047010000}"/>
    <cellStyle name="Estilo 15" xfId="328" xr:uid="{00000000-0005-0000-0000-000048010000}"/>
    <cellStyle name="Estilo 16" xfId="329" xr:uid="{00000000-0005-0000-0000-000049010000}"/>
    <cellStyle name="Estilo 17" xfId="330" xr:uid="{00000000-0005-0000-0000-00004A010000}"/>
    <cellStyle name="Estilo 18" xfId="331" xr:uid="{00000000-0005-0000-0000-00004B010000}"/>
    <cellStyle name="Estilo 19" xfId="332" xr:uid="{00000000-0005-0000-0000-00004C010000}"/>
    <cellStyle name="Estilo 2" xfId="333" xr:uid="{00000000-0005-0000-0000-00004D010000}"/>
    <cellStyle name="Estilo 20" xfId="334" xr:uid="{00000000-0005-0000-0000-00004E010000}"/>
    <cellStyle name="Estilo 21" xfId="335" xr:uid="{00000000-0005-0000-0000-00004F010000}"/>
    <cellStyle name="Estilo 22" xfId="336" xr:uid="{00000000-0005-0000-0000-000050010000}"/>
    <cellStyle name="Estilo 23" xfId="337" xr:uid="{00000000-0005-0000-0000-000051010000}"/>
    <cellStyle name="Estilo 24" xfId="338" xr:uid="{00000000-0005-0000-0000-000052010000}"/>
    <cellStyle name="Estilo 25" xfId="339" xr:uid="{00000000-0005-0000-0000-000053010000}"/>
    <cellStyle name="Estilo 26" xfId="340" xr:uid="{00000000-0005-0000-0000-000054010000}"/>
    <cellStyle name="Estilo 27" xfId="341" xr:uid="{00000000-0005-0000-0000-000055010000}"/>
    <cellStyle name="Estilo 28" xfId="342" xr:uid="{00000000-0005-0000-0000-000056010000}"/>
    <cellStyle name="Estilo 29" xfId="343" xr:uid="{00000000-0005-0000-0000-000057010000}"/>
    <cellStyle name="Estilo 3" xfId="344" xr:uid="{00000000-0005-0000-0000-000058010000}"/>
    <cellStyle name="Estilo 30" xfId="345" xr:uid="{00000000-0005-0000-0000-000059010000}"/>
    <cellStyle name="Estilo 31" xfId="346" xr:uid="{00000000-0005-0000-0000-00005A010000}"/>
    <cellStyle name="Estilo 32" xfId="347" xr:uid="{00000000-0005-0000-0000-00005B010000}"/>
    <cellStyle name="Estilo 33" xfId="348" xr:uid="{00000000-0005-0000-0000-00005C010000}"/>
    <cellStyle name="Estilo 34" xfId="349" xr:uid="{00000000-0005-0000-0000-00005D010000}"/>
    <cellStyle name="Estilo 35" xfId="350" xr:uid="{00000000-0005-0000-0000-00005E010000}"/>
    <cellStyle name="Estilo 36" xfId="351" xr:uid="{00000000-0005-0000-0000-00005F010000}"/>
    <cellStyle name="Estilo 4" xfId="352" xr:uid="{00000000-0005-0000-0000-000060010000}"/>
    <cellStyle name="Estilo 5" xfId="353" xr:uid="{00000000-0005-0000-0000-000061010000}"/>
    <cellStyle name="Estilo 6" xfId="354" xr:uid="{00000000-0005-0000-0000-000062010000}"/>
    <cellStyle name="Estilo 7" xfId="355" xr:uid="{00000000-0005-0000-0000-000063010000}"/>
    <cellStyle name="Estilo 8" xfId="356" xr:uid="{00000000-0005-0000-0000-000064010000}"/>
    <cellStyle name="Estilo 9" xfId="357" xr:uid="{00000000-0005-0000-0000-000065010000}"/>
    <cellStyle name="Euro" xfId="358" xr:uid="{00000000-0005-0000-0000-000066010000}"/>
    <cellStyle name="Excel Built-in Normal" xfId="359" xr:uid="{00000000-0005-0000-0000-000067010000}"/>
    <cellStyle name="Excel.Chart" xfId="360" xr:uid="{00000000-0005-0000-0000-000068010000}"/>
    <cellStyle name="Explanatory Text" xfId="361" xr:uid="{00000000-0005-0000-0000-000069010000}"/>
    <cellStyle name="F2" xfId="362" xr:uid="{00000000-0005-0000-0000-00006A010000}"/>
    <cellStyle name="F3" xfId="363" xr:uid="{00000000-0005-0000-0000-00006B010000}"/>
    <cellStyle name="F4" xfId="364" xr:uid="{00000000-0005-0000-0000-00006C010000}"/>
    <cellStyle name="F5" xfId="365" xr:uid="{00000000-0005-0000-0000-00006D010000}"/>
    <cellStyle name="F6" xfId="366" xr:uid="{00000000-0005-0000-0000-00006E010000}"/>
    <cellStyle name="F7" xfId="367" xr:uid="{00000000-0005-0000-0000-00006F010000}"/>
    <cellStyle name="F8" xfId="368" xr:uid="{00000000-0005-0000-0000-000070010000}"/>
    <cellStyle name="factsheet" xfId="369" xr:uid="{00000000-0005-0000-0000-000071010000}"/>
    <cellStyle name="Fixed" xfId="370" xr:uid="{00000000-0005-0000-0000-000072010000}"/>
    <cellStyle name="FMS" xfId="371" xr:uid="{00000000-0005-0000-0000-000073010000}"/>
    <cellStyle name="Footer" xfId="372" xr:uid="{00000000-0005-0000-0000-000074010000}"/>
    <cellStyle name="Footer SBILogo1" xfId="373" xr:uid="{00000000-0005-0000-0000-000075010000}"/>
    <cellStyle name="Footer SBILogo2" xfId="374" xr:uid="{00000000-0005-0000-0000-000076010000}"/>
    <cellStyle name="Footnote" xfId="375" xr:uid="{00000000-0005-0000-0000-000077010000}"/>
    <cellStyle name="Footnote Reference" xfId="376" xr:uid="{00000000-0005-0000-0000-000078010000}"/>
    <cellStyle name="Footnote_Capital_plan_template_2010" xfId="377" xr:uid="{00000000-0005-0000-0000-000079010000}"/>
    <cellStyle name="Footnotes" xfId="378" xr:uid="{00000000-0005-0000-0000-00007A010000}"/>
    <cellStyle name="Gevolgde hyperlink_Trop lot2 - inline stretch-decopack_28april_03" xfId="379" xr:uid="{00000000-0005-0000-0000-00007B010000}"/>
    <cellStyle name="globaldir" xfId="380" xr:uid="{00000000-0005-0000-0000-00007C010000}"/>
    <cellStyle name="Good" xfId="381" xr:uid="{00000000-0005-0000-0000-00007D010000}"/>
    <cellStyle name="Greenback" xfId="382" xr:uid="{00000000-0005-0000-0000-00007E010000}"/>
    <cellStyle name="Grey" xfId="383" xr:uid="{00000000-0005-0000-0000-00007F010000}"/>
    <cellStyle name="Grey Area" xfId="384" xr:uid="{00000000-0005-0000-0000-000080010000}"/>
    <cellStyle name="Grey_Black Scholes Valuation - Indigo" xfId="385" xr:uid="{00000000-0005-0000-0000-000081010000}"/>
    <cellStyle name="Hard Percent" xfId="386" xr:uid="{00000000-0005-0000-0000-000082010000}"/>
    <cellStyle name="Head 1" xfId="387" xr:uid="{00000000-0005-0000-0000-000083010000}"/>
    <cellStyle name="Head 2" xfId="388" xr:uid="{00000000-0005-0000-0000-000084010000}"/>
    <cellStyle name="Header" xfId="389" xr:uid="{00000000-0005-0000-0000-000085010000}"/>
    <cellStyle name="Header Draft Stamp" xfId="390" xr:uid="{00000000-0005-0000-0000-000086010000}"/>
    <cellStyle name="Header w/Underline" xfId="391" xr:uid="{00000000-0005-0000-0000-000087010000}"/>
    <cellStyle name="Header_Capital_plan_template_2010" xfId="392" xr:uid="{00000000-0005-0000-0000-000088010000}"/>
    <cellStyle name="Header1" xfId="393" xr:uid="{00000000-0005-0000-0000-000089010000}"/>
    <cellStyle name="Header2" xfId="394" xr:uid="{00000000-0005-0000-0000-00008A010000}"/>
    <cellStyle name="headers" xfId="395" xr:uid="{00000000-0005-0000-0000-00008B010000}"/>
    <cellStyle name="heading" xfId="396" xr:uid="{00000000-0005-0000-0000-00008C010000}"/>
    <cellStyle name="Heading 1" xfId="397" xr:uid="{00000000-0005-0000-0000-00008D010000}"/>
    <cellStyle name="Heading 1 Above" xfId="398" xr:uid="{00000000-0005-0000-0000-00008E010000}"/>
    <cellStyle name="Heading 1_2005 DBR Forecast - Bonus_Kicker" xfId="399" xr:uid="{00000000-0005-0000-0000-00008F010000}"/>
    <cellStyle name="Heading 1+" xfId="400" xr:uid="{00000000-0005-0000-0000-000090010000}"/>
    <cellStyle name="Heading 2" xfId="401" xr:uid="{00000000-0005-0000-0000-000091010000}"/>
    <cellStyle name="Heading 2 Below" xfId="402" xr:uid="{00000000-0005-0000-0000-000092010000}"/>
    <cellStyle name="Heading 2_2005 DBR Forecast - Bonus_Kicker" xfId="403" xr:uid="{00000000-0005-0000-0000-000093010000}"/>
    <cellStyle name="Heading 2+" xfId="404" xr:uid="{00000000-0005-0000-0000-000094010000}"/>
    <cellStyle name="Heading 3" xfId="405" xr:uid="{00000000-0005-0000-0000-000095010000}"/>
    <cellStyle name="Heading 3+" xfId="406" xr:uid="{00000000-0005-0000-0000-000096010000}"/>
    <cellStyle name="Heading 4" xfId="407" xr:uid="{00000000-0005-0000-0000-000097010000}"/>
    <cellStyle name="Heading Left" xfId="408" xr:uid="{00000000-0005-0000-0000-000098010000}"/>
    <cellStyle name="Heading No Underline" xfId="409" xr:uid="{00000000-0005-0000-0000-000099010000}"/>
    <cellStyle name="Heading Right" xfId="410" xr:uid="{00000000-0005-0000-0000-00009A010000}"/>
    <cellStyle name="Heading With Underline" xfId="411" xr:uid="{00000000-0005-0000-0000-00009B010000}"/>
    <cellStyle name="Heading_pldt" xfId="412" xr:uid="{00000000-0005-0000-0000-00009C010000}"/>
    <cellStyle name="Heading1" xfId="413" xr:uid="{00000000-0005-0000-0000-00009D010000}"/>
    <cellStyle name="Heading2" xfId="414" xr:uid="{00000000-0005-0000-0000-00009E010000}"/>
    <cellStyle name="Heading3" xfId="415" xr:uid="{00000000-0005-0000-0000-00009F010000}"/>
    <cellStyle name="Headings" xfId="416" xr:uid="{00000000-0005-0000-0000-0000A0010000}"/>
    <cellStyle name="Helvetica" xfId="417" xr:uid="{00000000-0005-0000-0000-0000A1010000}"/>
    <cellStyle name="Helveticaormal" xfId="418" xr:uid="{00000000-0005-0000-0000-0000A2010000}"/>
    <cellStyle name="Hheader" xfId="419" xr:uid="{00000000-0005-0000-0000-0000A3010000}"/>
    <cellStyle name="hidenorm" xfId="420" xr:uid="{00000000-0005-0000-0000-0000A4010000}"/>
    <cellStyle name="HIGH" xfId="421" xr:uid="{00000000-0005-0000-0000-0000A5010000}"/>
    <cellStyle name="Hipervínculo 2" xfId="422" xr:uid="{00000000-0005-0000-0000-0000A6010000}"/>
    <cellStyle name="i_ForeCastWeek" xfId="423" xr:uid="{00000000-0005-0000-0000-0000A7010000}"/>
    <cellStyle name="i_ForeCastWeek_Resumen OKIN 20130412" xfId="424" xr:uid="{00000000-0005-0000-0000-0000A8010000}"/>
    <cellStyle name="i_ForeCastWeek_wAccuracyChart" xfId="425" xr:uid="{00000000-0005-0000-0000-0000A9010000}"/>
    <cellStyle name="i_ForeCastWeek_wAccuracyChart_Resumen OKIN 20130412" xfId="426" xr:uid="{00000000-0005-0000-0000-0000AA010000}"/>
    <cellStyle name="i_ForeCastWeek_wFinal_Frct_Data" xfId="427" xr:uid="{00000000-0005-0000-0000-0000AB010000}"/>
    <cellStyle name="i_ForeCastWeek_wFinal_Frct_Data_Resumen OKIN 20130412" xfId="428" xr:uid="{00000000-0005-0000-0000-0000AC010000}"/>
    <cellStyle name="i_ForeCastWeek_wHist_Data" xfId="429" xr:uid="{00000000-0005-0000-0000-0000AD010000}"/>
    <cellStyle name="i_ForeCastWeek_wHist_Data_Resumen OKIN 20130412" xfId="430" xr:uid="{00000000-0005-0000-0000-0000AE010000}"/>
    <cellStyle name="i_ForeCastWeek_wInit_Frct_Data" xfId="431" xr:uid="{00000000-0005-0000-0000-0000AF010000}"/>
    <cellStyle name="i_ForeCastWeek_wInit_Frct_Data_Resumen OKIN 20130412" xfId="432" xr:uid="{00000000-0005-0000-0000-0000B0010000}"/>
    <cellStyle name="i_ForeCastWeek_wSKU_Accuracy" xfId="433" xr:uid="{00000000-0005-0000-0000-0000B1010000}"/>
    <cellStyle name="i_ForeCastWeek_wSKU_Accuracy_Resumen OKIN 20130412" xfId="434" xr:uid="{00000000-0005-0000-0000-0000B2010000}"/>
    <cellStyle name="i_GreyNum" xfId="435" xr:uid="{00000000-0005-0000-0000-0000B3010000}"/>
    <cellStyle name="i_GreyNum_Resumen OKIN 20130412" xfId="436" xr:uid="{00000000-0005-0000-0000-0000B4010000}"/>
    <cellStyle name="i_GreyNum_wAccuracyChart" xfId="437" xr:uid="{00000000-0005-0000-0000-0000B5010000}"/>
    <cellStyle name="i_GreyNum_wAccuracyChart_Resumen OKIN 20130412" xfId="438" xr:uid="{00000000-0005-0000-0000-0000B6010000}"/>
    <cellStyle name="i_GreyNum_wFinal_Frct_Data" xfId="439" xr:uid="{00000000-0005-0000-0000-0000B7010000}"/>
    <cellStyle name="i_GreyNum_wFinal_Frct_Data_Resumen OKIN 20130412" xfId="440" xr:uid="{00000000-0005-0000-0000-0000B8010000}"/>
    <cellStyle name="i_GreyNum_wHist_Data" xfId="441" xr:uid="{00000000-0005-0000-0000-0000B9010000}"/>
    <cellStyle name="i_GreyNum_wHist_Data_Resumen OKIN 20130412" xfId="442" xr:uid="{00000000-0005-0000-0000-0000BA010000}"/>
    <cellStyle name="i_GreyNum_wInit_Frct_Data" xfId="443" xr:uid="{00000000-0005-0000-0000-0000BB010000}"/>
    <cellStyle name="i_GreyNum_wInit_Frct_Data_Resumen OKIN 20130412" xfId="444" xr:uid="{00000000-0005-0000-0000-0000BC010000}"/>
    <cellStyle name="i_GreyNum_wSKU_Accuracy" xfId="445" xr:uid="{00000000-0005-0000-0000-0000BD010000}"/>
    <cellStyle name="i_GreyNum_wSKU_Accuracy_Resumen OKIN 20130412" xfId="446" xr:uid="{00000000-0005-0000-0000-0000BE010000}"/>
    <cellStyle name="Input" xfId="447" xr:uid="{00000000-0005-0000-0000-0000C0010000}"/>
    <cellStyle name="Input [yellow]" xfId="448" xr:uid="{00000000-0005-0000-0000-0000C1010000}"/>
    <cellStyle name="Input Currency" xfId="449" xr:uid="{00000000-0005-0000-0000-0000C2010000}"/>
    <cellStyle name="Input Currency 2" xfId="450" xr:uid="{00000000-0005-0000-0000-0000C3010000}"/>
    <cellStyle name="Input Currency_Information Template" xfId="451" xr:uid="{00000000-0005-0000-0000-0000C4010000}"/>
    <cellStyle name="Input Date" xfId="452" xr:uid="{00000000-0005-0000-0000-0000C5010000}"/>
    <cellStyle name="Input Multiple" xfId="453" xr:uid="{00000000-0005-0000-0000-0000C6010000}"/>
    <cellStyle name="Input Percent" xfId="454" xr:uid="{00000000-0005-0000-0000-0000C7010000}"/>
    <cellStyle name="Input_$cell" xfId="455" xr:uid="{00000000-0005-0000-0000-0000C8010000}"/>
    <cellStyle name="Insructions" xfId="456" xr:uid="{00000000-0005-0000-0000-0000C9010000}"/>
    <cellStyle name="Item Descriptions" xfId="457" xr:uid="{00000000-0005-0000-0000-0000CA010000}"/>
    <cellStyle name="Item Descriptions - Bold" xfId="458" xr:uid="{00000000-0005-0000-0000-0000CB010000}"/>
    <cellStyle name="Item Descriptions_6079BX" xfId="459" xr:uid="{00000000-0005-0000-0000-0000CC010000}"/>
    <cellStyle name="key" xfId="460" xr:uid="{00000000-0005-0000-0000-0000CD010000}"/>
    <cellStyle name="Komma [0]" xfId="461" xr:uid="{00000000-0005-0000-0000-0000CE010000}"/>
    <cellStyle name="Komma_Trop lot2 - inline stretch-decopack_28april_03" xfId="462" xr:uid="{00000000-0005-0000-0000-0000CF010000}"/>
    <cellStyle name="Label" xfId="463" xr:uid="{00000000-0005-0000-0000-0000D0010000}"/>
    <cellStyle name="Lable8Left" xfId="464" xr:uid="{00000000-0005-0000-0000-0000D1010000}"/>
    <cellStyle name="Level0" xfId="465" xr:uid="{00000000-0005-0000-0000-0000D2010000}"/>
    <cellStyle name="Level0 Num" xfId="466" xr:uid="{00000000-0005-0000-0000-0000D3010000}"/>
    <cellStyle name="Level1" xfId="467" xr:uid="{00000000-0005-0000-0000-0000D4010000}"/>
    <cellStyle name="Level2" xfId="468" xr:uid="{00000000-0005-0000-0000-0000D5010000}"/>
    <cellStyle name="LineItemPrompt" xfId="469" xr:uid="{00000000-0005-0000-0000-0000D6010000}"/>
    <cellStyle name="LineItemValue" xfId="470" xr:uid="{00000000-0005-0000-0000-0000D7010000}"/>
    <cellStyle name="Linked Cell" xfId="471" xr:uid="{00000000-0005-0000-0000-0000D8010000}"/>
    <cellStyle name="lou" xfId="472" xr:uid="{00000000-0005-0000-0000-0000D9010000}"/>
    <cellStyle name="m_FlagStyle" xfId="473" xr:uid="{00000000-0005-0000-0000-0000DA010000}"/>
    <cellStyle name="m_FlagStyle_Resumen OKIN 20130412" xfId="474" xr:uid="{00000000-0005-0000-0000-0000DB010000}"/>
    <cellStyle name="MDY" xfId="475" xr:uid="{00000000-0005-0000-0000-0000DC010000}"/>
    <cellStyle name="Microsoft Excel found an error in the formula you entered. Do you want to accept the correction proposed below?_x000d__x000d_|_x000d__x000d_• To accept the correction, click Yes._x000d_• To close this message and correct the formula yourself, click No." xfId="476" xr:uid="{00000000-0005-0000-0000-0000DD010000}"/>
    <cellStyle name="Migliaia (0)_ACTUAL 31-12-95" xfId="477" xr:uid="{00000000-0005-0000-0000-0000DE010000}"/>
    <cellStyle name="Migliaia_ACTUAL 30-06-95.XLS" xfId="478" xr:uid="{00000000-0005-0000-0000-0000DF010000}"/>
    <cellStyle name="Millares" xfId="778" builtinId="3"/>
    <cellStyle name="Millares [0] 2" xfId="479" xr:uid="{00000000-0005-0000-0000-0000E1010000}"/>
    <cellStyle name="Millares 2" xfId="480" xr:uid="{00000000-0005-0000-0000-0000E2010000}"/>
    <cellStyle name="Millares 3" xfId="481" xr:uid="{00000000-0005-0000-0000-0000E3010000}"/>
    <cellStyle name="Millares 4" xfId="482" xr:uid="{00000000-0005-0000-0000-0000E4010000}"/>
    <cellStyle name="Millares 5" xfId="483" xr:uid="{00000000-0005-0000-0000-0000E5010000}"/>
    <cellStyle name="millares(0)" xfId="484" xr:uid="{00000000-0005-0000-0000-0000E6010000}"/>
    <cellStyle name="Milliers [0]_Forecast" xfId="485" xr:uid="{00000000-0005-0000-0000-0000E7010000}"/>
    <cellStyle name="Milliers_Forecast" xfId="486" xr:uid="{00000000-0005-0000-0000-0000E8010000}"/>
    <cellStyle name="Millions" xfId="487" xr:uid="{00000000-0005-0000-0000-0000E9010000}"/>
    <cellStyle name="MIONOBOR" xfId="488" xr:uid="{00000000-0005-0000-0000-0000EA010000}"/>
    <cellStyle name="MIOSIBOR" xfId="489" xr:uid="{00000000-0005-0000-0000-0000EB010000}"/>
    <cellStyle name="Model" xfId="490" xr:uid="{00000000-0005-0000-0000-0000EC010000}"/>
    <cellStyle name="Moeda [0]_aola" xfId="491" xr:uid="{00000000-0005-0000-0000-0000ED010000}"/>
    <cellStyle name="Moeda_aola" xfId="492" xr:uid="{00000000-0005-0000-0000-0000EE010000}"/>
    <cellStyle name="Moneda" xfId="493" builtinId="4"/>
    <cellStyle name="Moneda 2" xfId="770" xr:uid="{6B1CA2FD-2EDC-4A95-9A34-2D0D071006EC}"/>
    <cellStyle name="Moneda 2 2" xfId="777" xr:uid="{D33CE914-E9F7-4961-A3E5-77F64B57F4FA}"/>
    <cellStyle name="Moneda 3" xfId="775" xr:uid="{16E99571-6281-4B2F-8577-7F9DD2079505}"/>
    <cellStyle name="Monétaire [0]_Forecast" xfId="494" xr:uid="{00000000-0005-0000-0000-0000F0010000}"/>
    <cellStyle name="Monetaire [0]_Locas" xfId="495" xr:uid="{00000000-0005-0000-0000-0000F1010000}"/>
    <cellStyle name="Monétaire [0]_Locas" xfId="496" xr:uid="{00000000-0005-0000-0000-0000F2010000}"/>
    <cellStyle name="Monetaire [0]_Locas_2008 TOP LINES" xfId="497" xr:uid="{00000000-0005-0000-0000-0000F3010000}"/>
    <cellStyle name="Monétaire [0]_Locas_AOP10MESV2" xfId="498" xr:uid="{00000000-0005-0000-0000-0000F4010000}"/>
    <cellStyle name="Monetaire [0]_Locas_Gr" xfId="499" xr:uid="{00000000-0005-0000-0000-0000F5010000}"/>
    <cellStyle name="Monétaire [0]_Locas_OG-PPL2011ago10og" xfId="500" xr:uid="{00000000-0005-0000-0000-0000F6010000}"/>
    <cellStyle name="Monetaire [0]_Locas_SEBU" xfId="501" xr:uid="{00000000-0005-0000-0000-0000F7010000}"/>
    <cellStyle name="Monétaire [0]_Locas_SERGIO2011" xfId="502" xr:uid="{00000000-0005-0000-0000-0000F8010000}"/>
    <cellStyle name="Monétaire_Forecast" xfId="503" xr:uid="{00000000-0005-0000-0000-0000F9010000}"/>
    <cellStyle name="Monetaire_Locas" xfId="504" xr:uid="{00000000-0005-0000-0000-0000FA010000}"/>
    <cellStyle name="Monétaire_Locas" xfId="505" xr:uid="{00000000-0005-0000-0000-0000FB010000}"/>
    <cellStyle name="Monetaire_Locas_ALGORITHM-Q3FCST03 VS ACT02" xfId="506" xr:uid="{00000000-0005-0000-0000-0000FC010000}"/>
    <cellStyle name="Monétaire_Locas_AOP10MESV2" xfId="507" xr:uid="{00000000-0005-0000-0000-0000FD010000}"/>
    <cellStyle name="Monetaire_Locas_Gr" xfId="508" xr:uid="{00000000-0005-0000-0000-0000FE010000}"/>
    <cellStyle name="Monétaire_Locas_OG-PPL2011ago10og" xfId="509" xr:uid="{00000000-0005-0000-0000-0000FF010000}"/>
    <cellStyle name="Monιtaire [0]_Locas" xfId="510" xr:uid="{00000000-0005-0000-0000-000000020000}"/>
    <cellStyle name="Monιtaire_Locas" xfId="511" xr:uid="{00000000-0005-0000-0000-000001020000}"/>
    <cellStyle name="Multiple" xfId="512" xr:uid="{00000000-0005-0000-0000-000002020000}"/>
    <cellStyle name="Multiple (no x)" xfId="513" xr:uid="{00000000-0005-0000-0000-000003020000}"/>
    <cellStyle name="Multiple (x)" xfId="514" xr:uid="{00000000-0005-0000-0000-000004020000}"/>
    <cellStyle name="Multiple [0]" xfId="515" xr:uid="{00000000-0005-0000-0000-000005020000}"/>
    <cellStyle name="Multiple [1]" xfId="516" xr:uid="{00000000-0005-0000-0000-000006020000}"/>
    <cellStyle name="Multiple_~7002754" xfId="517" xr:uid="{00000000-0005-0000-0000-000007020000}"/>
    <cellStyle name="Multiple1" xfId="518" xr:uid="{00000000-0005-0000-0000-000008020000}"/>
    <cellStyle name="Multiples" xfId="519" xr:uid="{00000000-0005-0000-0000-000009020000}"/>
    <cellStyle name="M-Y" xfId="520" xr:uid="{00000000-0005-0000-0000-00000A020000}"/>
    <cellStyle name="NA" xfId="521" xr:uid="{00000000-0005-0000-0000-00000B020000}"/>
    <cellStyle name="nf" xfId="522" xr:uid="{00000000-0005-0000-0000-00000C020000}"/>
    <cellStyle name="no dec" xfId="523" xr:uid="{00000000-0005-0000-0000-00000D020000}"/>
    <cellStyle name="No Decimals" xfId="524" xr:uid="{00000000-0005-0000-0000-00000E020000}"/>
    <cellStyle name="nobuild" xfId="525" xr:uid="{00000000-0005-0000-0000-00000F020000}"/>
    <cellStyle name="No-definido" xfId="526" xr:uid="{00000000-0005-0000-0000-000010020000}"/>
    <cellStyle name="noks" xfId="527" xr:uid="{00000000-0005-0000-0000-000011020000}"/>
    <cellStyle name="Non défini" xfId="528" xr:uid="{00000000-0005-0000-0000-000012020000}"/>
    <cellStyle name="Noríal_silicon_object_tcsi" xfId="529" xr:uid="{00000000-0005-0000-0000-000013020000}"/>
    <cellStyle name="Normal" xfId="0" builtinId="0"/>
    <cellStyle name="Normal - Style1" xfId="530" xr:uid="{00000000-0005-0000-0000-000015020000}"/>
    <cellStyle name="Normal [2]" xfId="531" xr:uid="{00000000-0005-0000-0000-000016020000}"/>
    <cellStyle name="Normal 2" xfId="532" xr:uid="{00000000-0005-0000-0000-000017020000}"/>
    <cellStyle name="Normal 2 2" xfId="533" xr:uid="{00000000-0005-0000-0000-000018020000}"/>
    <cellStyle name="Normal 2 3" xfId="534" xr:uid="{00000000-0005-0000-0000-000019020000}"/>
    <cellStyle name="Normal 2_Consumo" xfId="535" xr:uid="{00000000-0005-0000-0000-00001A020000}"/>
    <cellStyle name="Normal 3" xfId="536" xr:uid="{00000000-0005-0000-0000-00001B020000}"/>
    <cellStyle name="Normal 3 2" xfId="769" xr:uid="{9F1A27A2-1F60-4A36-BDEC-C1663A9A7AA6}"/>
    <cellStyle name="Normal 4" xfId="537" xr:uid="{00000000-0005-0000-0000-00001C020000}"/>
    <cellStyle name="Normal Bold" xfId="538" xr:uid="{00000000-0005-0000-0000-00001D020000}"/>
    <cellStyle name="Normal, Bold &amp; Underline" xfId="539" xr:uid="{00000000-0005-0000-0000-00001E020000}"/>
    <cellStyle name="Normal_Ategui Diciembre" xfId="771" xr:uid="{400D7AFA-9F7E-43A5-A2E0-515F91DFD751}"/>
    <cellStyle name="Normal_Hoja1" xfId="540" xr:uid="{00000000-0005-0000-0000-00001F020000}"/>
    <cellStyle name="Normale_ACTUAL 30-06-95.XLS" xfId="541" xr:uid="{00000000-0005-0000-0000-000020020000}"/>
    <cellStyle name="NormalGB" xfId="542" xr:uid="{00000000-0005-0000-0000-000021020000}"/>
    <cellStyle name="NORNOBORD" xfId="543" xr:uid="{00000000-0005-0000-0000-000022020000}"/>
    <cellStyle name="NORSIBORD" xfId="544" xr:uid="{00000000-0005-0000-0000-000023020000}"/>
    <cellStyle name="Note" xfId="545" xr:uid="{00000000-0005-0000-0000-000024020000}"/>
    <cellStyle name="Num0Un" xfId="546" xr:uid="{00000000-0005-0000-0000-000025020000}"/>
    <cellStyle name="Num1" xfId="547" xr:uid="{00000000-0005-0000-0000-000026020000}"/>
    <cellStyle name="Num1Blue" xfId="548" xr:uid="{00000000-0005-0000-0000-000027020000}"/>
    <cellStyle name="Num2" xfId="549" xr:uid="{00000000-0005-0000-0000-000028020000}"/>
    <cellStyle name="Num2Un" xfId="550" xr:uid="{00000000-0005-0000-0000-000029020000}"/>
    <cellStyle name="Number" xfId="551" xr:uid="{00000000-0005-0000-0000-00002A020000}"/>
    <cellStyle name="Numbers" xfId="552" xr:uid="{00000000-0005-0000-0000-00002B020000}"/>
    <cellStyle name="Numbers - Bold" xfId="553" xr:uid="{00000000-0005-0000-0000-00002C020000}"/>
    <cellStyle name="Numbers_6079BX" xfId="554" xr:uid="{00000000-0005-0000-0000-00002D020000}"/>
    <cellStyle name="Œ…‹æØ‚è [0.00]_GE 3 MINIMUM" xfId="555" xr:uid="{00000000-0005-0000-0000-00002E020000}"/>
    <cellStyle name="Œ…‹æØ‚è_GE 3 MINIMUM" xfId="556" xr:uid="{00000000-0005-0000-0000-00002F020000}"/>
    <cellStyle name="onedec" xfId="557" xr:uid="{00000000-0005-0000-0000-000030020000}"/>
    <cellStyle name="OSW_ColumnLabels" xfId="558" xr:uid="{00000000-0005-0000-0000-000031020000}"/>
    <cellStyle name="Output" xfId="559" xr:uid="{00000000-0005-0000-0000-000032020000}"/>
    <cellStyle name="OUTPUT AMOUNTS" xfId="560" xr:uid="{00000000-0005-0000-0000-000033020000}"/>
    <cellStyle name="OUTPUT COLUMN HEADINGS" xfId="561" xr:uid="{00000000-0005-0000-0000-000034020000}"/>
    <cellStyle name="OUTPUT LINE ITEMS" xfId="562" xr:uid="{00000000-0005-0000-0000-000035020000}"/>
    <cellStyle name="OUTPUT REPORT HEADING" xfId="563" xr:uid="{00000000-0005-0000-0000-000036020000}"/>
    <cellStyle name="OUTPUT REPORT TITLE" xfId="564" xr:uid="{00000000-0005-0000-0000-000037020000}"/>
    <cellStyle name="OUTPUT TEMPORARY" xfId="565" xr:uid="{00000000-0005-0000-0000-000038020000}"/>
    <cellStyle name="p/n" xfId="566" xr:uid="{00000000-0005-0000-0000-000039020000}"/>
    <cellStyle name="P_L" xfId="567" xr:uid="{00000000-0005-0000-0000-00003A020000}"/>
    <cellStyle name="Page Heading Large" xfId="568" xr:uid="{00000000-0005-0000-0000-00003B020000}"/>
    <cellStyle name="Page Heading Small" xfId="569" xr:uid="{00000000-0005-0000-0000-00003C020000}"/>
    <cellStyle name="Page Number" xfId="570" xr:uid="{00000000-0005-0000-0000-00003D020000}"/>
    <cellStyle name="PageHeader" xfId="571" xr:uid="{00000000-0005-0000-0000-00003E020000}"/>
    <cellStyle name="PageTop" xfId="572" xr:uid="{00000000-0005-0000-0000-00003F020000}"/>
    <cellStyle name="Paprastas_MKTG-1" xfId="573" xr:uid="{00000000-0005-0000-0000-000040020000}"/>
    <cellStyle name="ParaBirimi [0]_RESULTS" xfId="574" xr:uid="{00000000-0005-0000-0000-000041020000}"/>
    <cellStyle name="ParaBirimi_FX Forecasts_NY Treasury" xfId="575" xr:uid="{00000000-0005-0000-0000-000042020000}"/>
    <cellStyle name="Pct Pt." xfId="576" xr:uid="{00000000-0005-0000-0000-000043020000}"/>
    <cellStyle name="Perc1" xfId="577" xr:uid="{00000000-0005-0000-0000-000044020000}"/>
    <cellStyle name="Percent %" xfId="578" xr:uid="{00000000-0005-0000-0000-000045020000}"/>
    <cellStyle name="Percent % Long Underline" xfId="579" xr:uid="{00000000-0005-0000-0000-000046020000}"/>
    <cellStyle name="Percent %_~7002754" xfId="580" xr:uid="{00000000-0005-0000-0000-000047020000}"/>
    <cellStyle name="Percent [0]" xfId="581" xr:uid="{00000000-0005-0000-0000-000048020000}"/>
    <cellStyle name="Percent [1]" xfId="582" xr:uid="{00000000-0005-0000-0000-000049020000}"/>
    <cellStyle name="Percent [2]" xfId="583" xr:uid="{00000000-0005-0000-0000-00004A020000}"/>
    <cellStyle name="Percent 0.0%" xfId="584" xr:uid="{00000000-0005-0000-0000-00004B020000}"/>
    <cellStyle name="Percent 0.0% Long Underline" xfId="585" xr:uid="{00000000-0005-0000-0000-00004C020000}"/>
    <cellStyle name="Percent 0.0%_~7002754" xfId="586" xr:uid="{00000000-0005-0000-0000-00004D020000}"/>
    <cellStyle name="Percent 0.00%" xfId="587" xr:uid="{00000000-0005-0000-0000-00004E020000}"/>
    <cellStyle name="Percent 0.00% Long Underline" xfId="588" xr:uid="{00000000-0005-0000-0000-00004F020000}"/>
    <cellStyle name="Percent 0.00%_~7002754" xfId="589" xr:uid="{00000000-0005-0000-0000-000050020000}"/>
    <cellStyle name="Percent 0.000%" xfId="590" xr:uid="{00000000-0005-0000-0000-000051020000}"/>
    <cellStyle name="Percent 0.000% Long Underline" xfId="591" xr:uid="{00000000-0005-0000-0000-000052020000}"/>
    <cellStyle name="Percent 0.000%_~7002754" xfId="592" xr:uid="{00000000-0005-0000-0000-000053020000}"/>
    <cellStyle name="Percent 0.0000%" xfId="593" xr:uid="{00000000-0005-0000-0000-000054020000}"/>
    <cellStyle name="Percent 0.0000% Long Underline" xfId="594" xr:uid="{00000000-0005-0000-0000-000055020000}"/>
    <cellStyle name="Percent 0.0000%_~7002754" xfId="595" xr:uid="{00000000-0005-0000-0000-000056020000}"/>
    <cellStyle name="Percent Hard" xfId="596" xr:uid="{00000000-0005-0000-0000-000057020000}"/>
    <cellStyle name="Percent1" xfId="597" xr:uid="{00000000-0005-0000-0000-000058020000}"/>
    <cellStyle name="Percent1Blue" xfId="598" xr:uid="{00000000-0005-0000-0000-000059020000}"/>
    <cellStyle name="Percent2" xfId="599" xr:uid="{00000000-0005-0000-0000-00005A020000}"/>
    <cellStyle name="Percent2Blue" xfId="600" xr:uid="{00000000-0005-0000-0000-00005B020000}"/>
    <cellStyle name="PERCNOBORD" xfId="601" xr:uid="{00000000-0005-0000-0000-00005C020000}"/>
    <cellStyle name="PERCSIBORD" xfId="602" xr:uid="{00000000-0005-0000-0000-00005D020000}"/>
    <cellStyle name="Porcentaje" xfId="772" builtinId="5"/>
    <cellStyle name="Porcentaje 2" xfId="603" xr:uid="{00000000-0005-0000-0000-00005F020000}"/>
    <cellStyle name="Porcentaje 3" xfId="604" xr:uid="{00000000-0005-0000-0000-000060020000}"/>
    <cellStyle name="Porcentaje 4" xfId="605" xr:uid="{00000000-0005-0000-0000-000061020000}"/>
    <cellStyle name="Porcentual 2" xfId="606" xr:uid="{00000000-0005-0000-0000-000062020000}"/>
    <cellStyle name="Porcentual 2 2" xfId="607" xr:uid="{00000000-0005-0000-0000-000063020000}"/>
    <cellStyle name="Pourcentage_Locas" xfId="608" xr:uid="{00000000-0005-0000-0000-000064020000}"/>
    <cellStyle name="Price" xfId="609" xr:uid="{00000000-0005-0000-0000-000065020000}"/>
    <cellStyle name="PriceUn" xfId="610" xr:uid="{00000000-0005-0000-0000-000066020000}"/>
    <cellStyle name="pwstyle" xfId="611" xr:uid="{00000000-0005-0000-0000-000067020000}"/>
    <cellStyle name="Quantity" xfId="612" xr:uid="{00000000-0005-0000-0000-000068020000}"/>
    <cellStyle name="ReportTitlePrompt" xfId="613" xr:uid="{00000000-0005-0000-0000-000069020000}"/>
    <cellStyle name="ReportTitleValue" xfId="614" xr:uid="{00000000-0005-0000-0000-00006A020000}"/>
    <cellStyle name="RevList" xfId="615" xr:uid="{00000000-0005-0000-0000-00006B020000}"/>
    <cellStyle name="RowAcctAbovePrompt" xfId="616" xr:uid="{00000000-0005-0000-0000-00006C020000}"/>
    <cellStyle name="RowAcctSOBAbovePrompt" xfId="617" xr:uid="{00000000-0005-0000-0000-00006D020000}"/>
    <cellStyle name="RowAcctSOBValue" xfId="618" xr:uid="{00000000-0005-0000-0000-00006E020000}"/>
    <cellStyle name="RowAcctValue" xfId="619" xr:uid="{00000000-0005-0000-0000-00006F020000}"/>
    <cellStyle name="RowAttrAbovePrompt" xfId="620" xr:uid="{00000000-0005-0000-0000-000070020000}"/>
    <cellStyle name="RowAttrValue" xfId="621" xr:uid="{00000000-0005-0000-0000-000071020000}"/>
    <cellStyle name="RowColSetAbovePrompt" xfId="622" xr:uid="{00000000-0005-0000-0000-000072020000}"/>
    <cellStyle name="RowColSetLeftPrompt" xfId="623" xr:uid="{00000000-0005-0000-0000-000073020000}"/>
    <cellStyle name="RowColSetValue" xfId="624" xr:uid="{00000000-0005-0000-0000-000074020000}"/>
    <cellStyle name="RowLeftPrompt" xfId="625" xr:uid="{00000000-0005-0000-0000-000075020000}"/>
    <cellStyle name="Salomon Logo" xfId="626" xr:uid="{00000000-0005-0000-0000-000076020000}"/>
    <cellStyle name="SampleUsingFormatMask" xfId="627" xr:uid="{00000000-0005-0000-0000-000077020000}"/>
    <cellStyle name="SampleWithNoFormatMask" xfId="628" xr:uid="{00000000-0005-0000-0000-000078020000}"/>
    <cellStyle name="SAPBEXaggData" xfId="629" xr:uid="{00000000-0005-0000-0000-000079020000}"/>
    <cellStyle name="SAPBEXaggItemX" xfId="630" xr:uid="{00000000-0005-0000-0000-00007A020000}"/>
    <cellStyle name="SAPBEXchaText" xfId="631" xr:uid="{00000000-0005-0000-0000-00007B020000}"/>
    <cellStyle name="SAPBEXstdData" xfId="632" xr:uid="{00000000-0005-0000-0000-00007C020000}"/>
    <cellStyle name="SAPBEXstdItem" xfId="633" xr:uid="{00000000-0005-0000-0000-00007D020000}"/>
    <cellStyle name="SAPBEXstdItemX" xfId="634" xr:uid="{00000000-0005-0000-0000-00007E020000}"/>
    <cellStyle name="SCUserDesc" xfId="635" xr:uid="{00000000-0005-0000-0000-00007F020000}"/>
    <cellStyle name="SCUserRow" xfId="636" xr:uid="{00000000-0005-0000-0000-000080020000}"/>
    <cellStyle name="SDentry" xfId="637" xr:uid="{00000000-0005-0000-0000-000081020000}"/>
    <cellStyle name="SDheader" xfId="638" xr:uid="{00000000-0005-0000-0000-000082020000}"/>
    <cellStyle name="SEcategory" xfId="639" xr:uid="{00000000-0005-0000-0000-000083020000}"/>
    <cellStyle name="SEentry" xfId="640" xr:uid="{00000000-0005-0000-0000-000084020000}"/>
    <cellStyle name="SEformula" xfId="641" xr:uid="{00000000-0005-0000-0000-000085020000}"/>
    <cellStyle name="SEheader" xfId="642" xr:uid="{00000000-0005-0000-0000-000086020000}"/>
    <cellStyle name="SElocked" xfId="643" xr:uid="{00000000-0005-0000-0000-000087020000}"/>
    <cellStyle name="Separador de milhares [0]_Person" xfId="644" xr:uid="{00000000-0005-0000-0000-000088020000}"/>
    <cellStyle name="Separador de milhares_Person" xfId="645" xr:uid="{00000000-0005-0000-0000-000089020000}"/>
    <cellStyle name="SEPentry" xfId="646" xr:uid="{00000000-0005-0000-0000-00008A020000}"/>
    <cellStyle name="Shaded" xfId="647" xr:uid="{00000000-0005-0000-0000-00008B020000}"/>
    <cellStyle name="SHeader" xfId="648" xr:uid="{00000000-0005-0000-0000-00008C020000}"/>
    <cellStyle name="Single Accounting" xfId="649" xr:uid="{00000000-0005-0000-0000-00008D020000}"/>
    <cellStyle name="Slide Title" xfId="650" xr:uid="{00000000-0005-0000-0000-00008E020000}"/>
    <cellStyle name="Source" xfId="651" xr:uid="{00000000-0005-0000-0000-00008F020000}"/>
    <cellStyle name="SOUserDesc" xfId="652" xr:uid="{00000000-0005-0000-0000-000090020000}"/>
    <cellStyle name="SOUserRow" xfId="653" xr:uid="{00000000-0005-0000-0000-000091020000}"/>
    <cellStyle name="SPentry" xfId="654" xr:uid="{00000000-0005-0000-0000-000092020000}"/>
    <cellStyle name="SPformula" xfId="655" xr:uid="{00000000-0005-0000-0000-000093020000}"/>
    <cellStyle name="SPheader" xfId="656" xr:uid="{00000000-0005-0000-0000-000094020000}"/>
    <cellStyle name="SPlocked" xfId="657" xr:uid="{00000000-0005-0000-0000-000095020000}"/>
    <cellStyle name="SRheader" xfId="658" xr:uid="{00000000-0005-0000-0000-000096020000}"/>
    <cellStyle name="Sta_hea" xfId="659" xr:uid="{00000000-0005-0000-0000-000097020000}"/>
    <cellStyle name="Standard_2000 02 MU Team Meeting.xls Diagramm 1" xfId="660" xr:uid="{00000000-0005-0000-0000-000098020000}"/>
    <cellStyle name="Style 1" xfId="661" xr:uid="{00000000-0005-0000-0000-000099020000}"/>
    <cellStyle name="Style 2" xfId="662" xr:uid="{00000000-0005-0000-0000-00009A020000}"/>
    <cellStyle name="Style 3" xfId="663" xr:uid="{00000000-0005-0000-0000-00009B020000}"/>
    <cellStyle name="STYLE1 - Modelo1" xfId="664" xr:uid="{00000000-0005-0000-0000-00009C020000}"/>
    <cellStyle name="STYLE2 - Modelo2" xfId="665" xr:uid="{00000000-0005-0000-0000-00009D020000}"/>
    <cellStyle name="STYLE3 - Modelo3" xfId="666" xr:uid="{00000000-0005-0000-0000-00009E020000}"/>
    <cellStyle name="STYLE4 - Modelo4" xfId="667" xr:uid="{00000000-0005-0000-0000-00009F020000}"/>
    <cellStyle name="subcol_hea" xfId="668" xr:uid="{00000000-0005-0000-0000-0000A0020000}"/>
    <cellStyle name="Subtot" xfId="669" xr:uid="{00000000-0005-0000-0000-0000A1020000}"/>
    <cellStyle name="Subtotal" xfId="670" xr:uid="{00000000-0005-0000-0000-0000A2020000}"/>
    <cellStyle name="T_Normal" xfId="671" xr:uid="{00000000-0005-0000-0000-0000A3020000}"/>
    <cellStyle name="T_Normal_Resumen OKIN 20130412" xfId="672" xr:uid="{00000000-0005-0000-0000-0000A4020000}"/>
    <cellStyle name="Table Col Head" xfId="673" xr:uid="{00000000-0005-0000-0000-0000A5020000}"/>
    <cellStyle name="Table Head" xfId="674" xr:uid="{00000000-0005-0000-0000-0000A6020000}"/>
    <cellStyle name="Table Head Aligned" xfId="675" xr:uid="{00000000-0005-0000-0000-0000A7020000}"/>
    <cellStyle name="Table Head Blue" xfId="676" xr:uid="{00000000-0005-0000-0000-0000A8020000}"/>
    <cellStyle name="Table Head Green" xfId="677" xr:uid="{00000000-0005-0000-0000-0000A9020000}"/>
    <cellStyle name="Table Head_Capital_plan_template_2010" xfId="678" xr:uid="{00000000-0005-0000-0000-0000AA020000}"/>
    <cellStyle name="Table Source" xfId="679" xr:uid="{00000000-0005-0000-0000-0000AB020000}"/>
    <cellStyle name="Table Sub Head" xfId="680" xr:uid="{00000000-0005-0000-0000-0000AC020000}"/>
    <cellStyle name="Table Text" xfId="681" xr:uid="{00000000-0005-0000-0000-0000AD020000}"/>
    <cellStyle name="Table Title" xfId="682" xr:uid="{00000000-0005-0000-0000-0000AE020000}"/>
    <cellStyle name="Table Units" xfId="683" xr:uid="{00000000-0005-0000-0000-0000AF020000}"/>
    <cellStyle name="Table_Header" xfId="684" xr:uid="{00000000-0005-0000-0000-0000B0020000}"/>
    <cellStyle name="TableBody" xfId="685" xr:uid="{00000000-0005-0000-0000-0000B1020000}"/>
    <cellStyle name="TableColHeads" xfId="686" xr:uid="{00000000-0005-0000-0000-0000B2020000}"/>
    <cellStyle name="Text" xfId="687" xr:uid="{00000000-0005-0000-0000-0000B3020000}"/>
    <cellStyle name="Text 1" xfId="688" xr:uid="{00000000-0005-0000-0000-0000B4020000}"/>
    <cellStyle name="Text 2" xfId="689" xr:uid="{00000000-0005-0000-0000-0000B5020000}"/>
    <cellStyle name="Text 8" xfId="690" xr:uid="{00000000-0005-0000-0000-0000B6020000}"/>
    <cellStyle name="Text Head 1" xfId="691" xr:uid="{00000000-0005-0000-0000-0000B7020000}"/>
    <cellStyle name="Text Head 2" xfId="692" xr:uid="{00000000-0005-0000-0000-0000B8020000}"/>
    <cellStyle name="Text Indent 1" xfId="693" xr:uid="{00000000-0005-0000-0000-0000B9020000}"/>
    <cellStyle name="Text Indent 2" xfId="694" xr:uid="{00000000-0005-0000-0000-0000BA020000}"/>
    <cellStyle name="Text_Resumen OKIN 20130412" xfId="695" xr:uid="{00000000-0005-0000-0000-0000BB020000}"/>
    <cellStyle name="Thousands" xfId="696" xr:uid="{00000000-0005-0000-0000-0000BC020000}"/>
    <cellStyle name="Times 10" xfId="697" xr:uid="{00000000-0005-0000-0000-0000BD020000}"/>
    <cellStyle name="Times 12" xfId="698" xr:uid="{00000000-0005-0000-0000-0000BE020000}"/>
    <cellStyle name="Title" xfId="699" xr:uid="{00000000-0005-0000-0000-0000BF020000}"/>
    <cellStyle name="Title - bold dutch8" xfId="700" xr:uid="{00000000-0005-0000-0000-0000C0020000}"/>
    <cellStyle name="Title - PROJECT" xfId="701" xr:uid="{00000000-0005-0000-0000-0000C1020000}"/>
    <cellStyle name="Title - Underline" xfId="702" xr:uid="{00000000-0005-0000-0000-0000C2020000}"/>
    <cellStyle name="Title_Consumo" xfId="703" xr:uid="{00000000-0005-0000-0000-0000C3020000}"/>
    <cellStyle name="Title10" xfId="704" xr:uid="{00000000-0005-0000-0000-0000C4020000}"/>
    <cellStyle name="Title2" xfId="705" xr:uid="{00000000-0005-0000-0000-0000C5020000}"/>
    <cellStyle name="Title8" xfId="706" xr:uid="{00000000-0005-0000-0000-0000C6020000}"/>
    <cellStyle name="Title8Left" xfId="707" xr:uid="{00000000-0005-0000-0000-0000C7020000}"/>
    <cellStyle name="TitleCenter" xfId="708" xr:uid="{00000000-0005-0000-0000-0000C8020000}"/>
    <cellStyle name="TitleLeft" xfId="709" xr:uid="{00000000-0005-0000-0000-0000C9020000}"/>
    <cellStyle name="Titles - Col. Headings" xfId="710" xr:uid="{00000000-0005-0000-0000-0000CA020000}"/>
    <cellStyle name="Titles - Other" xfId="711" xr:uid="{00000000-0005-0000-0000-0000CB020000}"/>
    <cellStyle name="TOC 1" xfId="712" xr:uid="{00000000-0005-0000-0000-0000CC020000}"/>
    <cellStyle name="TOC 2" xfId="713" xr:uid="{00000000-0005-0000-0000-0000CD020000}"/>
    <cellStyle name="Total Bold" xfId="714" xr:uid="{00000000-0005-0000-0000-0000CE020000}"/>
    <cellStyle name="Total Currency" xfId="715" xr:uid="{00000000-0005-0000-0000-0000CF020000}"/>
    <cellStyle name="Total Normal" xfId="716" xr:uid="{00000000-0005-0000-0000-0000D0020000}"/>
    <cellStyle name="TransVal" xfId="717" xr:uid="{00000000-0005-0000-0000-0000D1020000}"/>
    <cellStyle name="ubordinated Debt" xfId="718" xr:uid="{00000000-0005-0000-0000-0000D2020000}"/>
    <cellStyle name="underline" xfId="719" xr:uid="{00000000-0005-0000-0000-0000D3020000}"/>
    <cellStyle name="units" xfId="720" xr:uid="{00000000-0005-0000-0000-0000D4020000}"/>
    <cellStyle name="UploadThisRowValue" xfId="721" xr:uid="{00000000-0005-0000-0000-0000D5020000}"/>
    <cellStyle name="Valuta (0)_ACTUAL 31-12-95" xfId="722" xr:uid="{00000000-0005-0000-0000-0000D6020000}"/>
    <cellStyle name="Valuta [0]" xfId="723" xr:uid="{00000000-0005-0000-0000-0000D7020000}"/>
    <cellStyle name="Valuta_ACTUAL 31-12-95" xfId="724" xr:uid="{00000000-0005-0000-0000-0000D8020000}"/>
    <cellStyle name="Vheader" xfId="725" xr:uid="{00000000-0005-0000-0000-0000D9020000}"/>
    <cellStyle name="Virgül [0]_1999 SATIŞ" xfId="726" xr:uid="{00000000-0005-0000-0000-0000DA020000}"/>
    <cellStyle name="Virgül_1999 SATIŞ" xfId="727" xr:uid="{00000000-0005-0000-0000-0000DB020000}"/>
    <cellStyle name="Währung [0]_Abacus Abfrage Project Vietnam2" xfId="728" xr:uid="{00000000-0005-0000-0000-0000DC020000}"/>
    <cellStyle name="Währung_Abacus Abfrage Project Vietnam2" xfId="729" xr:uid="{00000000-0005-0000-0000-0000DD020000}"/>
    <cellStyle name="Warning Text" xfId="730" xr:uid="{00000000-0005-0000-0000-0000DE020000}"/>
    <cellStyle name="XComma" xfId="731" xr:uid="{00000000-0005-0000-0000-0000DF020000}"/>
    <cellStyle name="XComma 0.0" xfId="732" xr:uid="{00000000-0005-0000-0000-0000E0020000}"/>
    <cellStyle name="XComma 0.00" xfId="733" xr:uid="{00000000-0005-0000-0000-0000E1020000}"/>
    <cellStyle name="XComma 0.000" xfId="734" xr:uid="{00000000-0005-0000-0000-0000E2020000}"/>
    <cellStyle name="XComma_~7002754" xfId="735" xr:uid="{00000000-0005-0000-0000-0000E3020000}"/>
    <cellStyle name="XCurrency" xfId="736" xr:uid="{00000000-0005-0000-0000-0000E4020000}"/>
    <cellStyle name="XCurrency 0.0" xfId="737" xr:uid="{00000000-0005-0000-0000-0000E5020000}"/>
    <cellStyle name="XCurrency 0.00" xfId="738" xr:uid="{00000000-0005-0000-0000-0000E6020000}"/>
    <cellStyle name="XCurrency 0.000" xfId="739" xr:uid="{00000000-0005-0000-0000-0000E7020000}"/>
    <cellStyle name="XCurrency_~7002754" xfId="740" xr:uid="{00000000-0005-0000-0000-0000E8020000}"/>
    <cellStyle name="year" xfId="741" xr:uid="{00000000-0005-0000-0000-0000E9020000}"/>
    <cellStyle name="Years" xfId="742" xr:uid="{00000000-0005-0000-0000-0000EA020000}"/>
    <cellStyle name="Yellowback" xfId="743" xr:uid="{00000000-0005-0000-0000-0000EB020000}"/>
    <cellStyle name="Yen" xfId="744" xr:uid="{00000000-0005-0000-0000-0000EC020000}"/>
    <cellStyle name="ΔήΈ¶ [0]_±βΕΈ" xfId="745" xr:uid="{00000000-0005-0000-0000-0000ED020000}"/>
    <cellStyle name="ΔήΈ¶_±βΕΈ" xfId="746" xr:uid="{00000000-0005-0000-0000-0000EE020000}"/>
    <cellStyle name="ΕλΘ­ [0]_±βΕΈ" xfId="747" xr:uid="{00000000-0005-0000-0000-0000EF020000}"/>
    <cellStyle name="ΕλΘ­_±βΕΈ" xfId="748" xr:uid="{00000000-0005-0000-0000-0000F0020000}"/>
    <cellStyle name="Η¥ΑΨ_°θΘΉ" xfId="749" xr:uid="{00000000-0005-0000-0000-0000F1020000}"/>
    <cellStyle name="ΉιΊΠΐ²_±βΕΈ" xfId="750" xr:uid="{00000000-0005-0000-0000-0000F2020000}"/>
    <cellStyle name="Обычный_2005 AOP MOH Labor v20040906" xfId="751" xr:uid="{00000000-0005-0000-0000-0000F3020000}"/>
    <cellStyle name="Финансовый_AVG cost by period by SKU by CostCompnt (w deleted items) Y2005M05" xfId="752" xr:uid="{00000000-0005-0000-0000-0000F4020000}"/>
    <cellStyle name="юormal_ICI2 MDO" xfId="753" xr:uid="{00000000-0005-0000-0000-0000F5020000}"/>
    <cellStyle name="عملة [0]_Assuit -04 Capital Plan" xfId="754" xr:uid="{00000000-0005-0000-0000-0000F6020000}"/>
    <cellStyle name="عملة_Assuit -04 Capital Plan" xfId="755" xr:uid="{00000000-0005-0000-0000-0000F7020000}"/>
    <cellStyle name="فاصلة [0]_Assuit -04 Capital Plan" xfId="756" xr:uid="{00000000-0005-0000-0000-0000F8020000}"/>
    <cellStyle name="فاصلة_Assuit -04 Capital Plan" xfId="757" xr:uid="{00000000-0005-0000-0000-0000F9020000}"/>
    <cellStyle name="쉼표 [0]_~0021736" xfId="758" xr:uid="{00000000-0005-0000-0000-0000FA020000}"/>
    <cellStyle name="쉼표_~0021736" xfId="759" xr:uid="{00000000-0005-0000-0000-0000FB020000}"/>
    <cellStyle name="지정되지 않음" xfId="760" xr:uid="{00000000-0005-0000-0000-0000FC020000}"/>
    <cellStyle name="콤마 [0]_12월전화" xfId="761" xr:uid="{00000000-0005-0000-0000-0000FD020000}"/>
    <cellStyle name="콤마_00P_SUP" xfId="762" xr:uid="{00000000-0005-0000-0000-0000FE020000}"/>
    <cellStyle name="표준_~0016709" xfId="763" xr:uid="{00000000-0005-0000-0000-0000FF020000}"/>
    <cellStyle name="一般_01budget" xfId="764" xr:uid="{00000000-0005-0000-0000-000000030000}"/>
    <cellStyle name="千分位_02tw_coc091301-1" xfId="765" xr:uid="{00000000-0005-0000-0000-000001030000}"/>
    <cellStyle name="常规_2001 national" xfId="766" xr:uid="{00000000-0005-0000-0000-000002030000}"/>
    <cellStyle name="桁区切り [0.00]_9813ACT" xfId="767" xr:uid="{00000000-0005-0000-0000-000003030000}"/>
    <cellStyle name="貨幣[0]_1998B" xfId="768" xr:uid="{00000000-0005-0000-0000-000004030000}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259080</xdr:rowOff>
    </xdr:from>
    <xdr:to>
      <xdr:col>14</xdr:col>
      <xdr:colOff>304800</xdr:colOff>
      <xdr:row>1</xdr:row>
      <xdr:rowOff>187325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62EAB18E-6DA6-48CE-A63F-8E623C803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59080"/>
          <a:ext cx="2447925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323850</xdr:colOff>
      <xdr:row>0</xdr:row>
      <xdr:rowOff>1</xdr:rowOff>
    </xdr:from>
    <xdr:to>
      <xdr:col>25</xdr:col>
      <xdr:colOff>476756</xdr:colOff>
      <xdr:row>4</xdr:row>
      <xdr:rowOff>59359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28C42E-2FB8-4051-944B-85ACA05F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425" y="1"/>
          <a:ext cx="10058906" cy="8213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tradeserver\NAS\Volumes\DISCO01\C\Programas\Programas%20de%20Oferta\Ficheros%20Actualizados%20Ene10\AT\DOMO%20LIGERO%20ESPA&#209;OL_AT_24_10_2011_con_ficha_ATR_y%20ris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tradeserver\NAS\Volumes\DISCO01\C\16.Programas\Programas%20de%20Oferta\Ficheros%20Actualizados%20Ene12\AT\MASIVOS\ATR%20electricidad%20v2.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tradeserver\NAS\Volumes\DISCO01\C\Programas\Programas%20de%20Oferta\DOMOS%20AT\VERSIONES%20ACTUALES\DOMO%20Menor%2025GWh_200906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tradeserver\NAS\Volumes\DISCO01\C\CONTROL%20OFERTAS_240303\OFERTAS%20REALIZADAS\ALTA%20TENSION\GLAXO\12%20MESES\P09082000101_GLAXO%20SMITHLINE_BIN(7.5%20Gwh)\P09082000101_GLAXO%20SMITHLINE_BIN(7.5%20Gwh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comerciales"/>
      <sheetName val="Consumo"/>
      <sheetName val="D Ofertas"/>
      <sheetName val="P. Energía"/>
      <sheetName val="S. Grupo"/>
      <sheetName val="Cálculos"/>
      <sheetName val="I.Comercial"/>
      <sheetName val="BACON_1"/>
      <sheetName val="S. Individual."/>
      <sheetName val="Clausulas"/>
      <sheetName val="OF binomico"/>
      <sheetName val="OF Multiclick Perfil  Q"/>
      <sheetName val="OF Multiclick Perfil"/>
      <sheetName val="OF Valle"/>
      <sheetName val="OF Indexada"/>
      <sheetName val="Of Descuento"/>
      <sheetName val="Cogenerador Binomico"/>
      <sheetName val="Binomico Grupo"/>
      <sheetName val="OF Indexada Grupo"/>
      <sheetName val="OF Grupo Multiclick Perfil "/>
      <sheetName val="Of Grupo  Descuento "/>
      <sheetName val="Binomico &lt;50, &gt;25"/>
      <sheetName val="Binomico&gt;50"/>
      <sheetName val="OF Valle 25 GWh"/>
      <sheetName val="OF Valle  &gt; 50 GWh"/>
      <sheetName val="Descuento 25 - 50 GWh"/>
      <sheetName val="Descuento &gt; 50 GWh "/>
      <sheetName val="OF Multiclick Perfil  &gt; 25 GWh"/>
      <sheetName val="OF Multiclick Perfil  &gt; 50"/>
      <sheetName val="Anexo 1"/>
      <sheetName val="Anexo 2"/>
      <sheetName val="Recálculo"/>
      <sheetName val="Wizard"/>
      <sheetName val="CRM "/>
      <sheetName val="Aceptación de Oferta y ATR"/>
      <sheetName val="Contract Info CRC"/>
      <sheetName val="despleg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3">
          <cell r="A3" t="str">
            <v>Binómico</v>
          </cell>
          <cell r="B3" t="str">
            <v>Cogenerador</v>
          </cell>
          <cell r="C3" t="str">
            <v xml:space="preserve">Parcialmente Internalizado &gt; 750 MWh (30€) </v>
          </cell>
          <cell r="D3" t="str">
            <v>si</v>
          </cell>
          <cell r="E3" t="str">
            <v>Alta Nueva</v>
          </cell>
          <cell r="F3">
            <v>1</v>
          </cell>
          <cell r="I3" t="str">
            <v>Concha Pero Sanz</v>
          </cell>
          <cell r="J3" t="str">
            <v>individual</v>
          </cell>
        </row>
        <row r="4">
          <cell r="A4" t="str">
            <v>Sólo Energía</v>
          </cell>
          <cell r="B4" t="str">
            <v>Gran consumidor 25GWh-50GWh</v>
          </cell>
          <cell r="C4" t="str">
            <v xml:space="preserve">Parcialmente Internalizado (30€) </v>
          </cell>
          <cell r="D4" t="str">
            <v>no</v>
          </cell>
          <cell r="E4" t="str">
            <v>Cambio Comercializadora</v>
          </cell>
          <cell r="F4">
            <v>2</v>
          </cell>
          <cell r="I4" t="str">
            <v>Fernando González</v>
          </cell>
          <cell r="J4" t="str">
            <v>conjunta</v>
          </cell>
        </row>
        <row r="5">
          <cell r="A5" t="str">
            <v>Multiclick_Binómico</v>
          </cell>
          <cell r="B5" t="str">
            <v>Gran consumidor 50GWh-100GWh</v>
          </cell>
          <cell r="C5" t="str">
            <v xml:space="preserve">Totalmente Internalizado (0€) </v>
          </cell>
          <cell r="D5" t="str">
            <v>----------------------------------</v>
          </cell>
          <cell r="E5" t="str">
            <v>Paso de Tur a Ml</v>
          </cell>
          <cell r="F5">
            <v>3</v>
          </cell>
          <cell r="I5" t="str">
            <v>Jose Manuel Álvarez</v>
          </cell>
          <cell r="J5" t="str">
            <v>colectiva</v>
          </cell>
        </row>
        <row r="6">
          <cell r="A6" t="str">
            <v>Multiclick_Sólo Energía</v>
          </cell>
          <cell r="B6" t="str">
            <v>Gran consumidor &gt;100GWh</v>
          </cell>
          <cell r="C6" t="str">
            <v>No internalizado Tarifa 3.1 (50 €)</v>
          </cell>
          <cell r="E6" t="str">
            <v>----------------------------------</v>
          </cell>
          <cell r="F6">
            <v>4</v>
          </cell>
          <cell r="I6" t="str">
            <v>Miguel González Salas</v>
          </cell>
          <cell r="J6" t="str">
            <v>----------------------------------</v>
          </cell>
        </row>
        <row r="7">
          <cell r="A7" t="str">
            <v>Indexado</v>
          </cell>
          <cell r="B7" t="str">
            <v>----------------------------------</v>
          </cell>
          <cell r="C7" t="str">
            <v>No internalizado Puntos Tipo 2 (65 €)</v>
          </cell>
          <cell r="F7">
            <v>5</v>
          </cell>
          <cell r="I7" t="str">
            <v>Juan Ángel Manso</v>
          </cell>
        </row>
        <row r="8">
          <cell r="A8" t="str">
            <v>Mixto_ Multiclick_Indexado_sin ATR</v>
          </cell>
          <cell r="C8" t="str">
            <v>No internalizado Puntos Tipo 1 (100 €)</v>
          </cell>
          <cell r="F8" t="str">
            <v>----------------------------------</v>
          </cell>
          <cell r="I8" t="str">
            <v>María José Granero</v>
          </cell>
        </row>
        <row r="9">
          <cell r="A9" t="str">
            <v>Mixto_ Multiclick_Indexado_con ATR</v>
          </cell>
          <cell r="C9" t="str">
            <v>Según facturación ATR</v>
          </cell>
          <cell r="I9" t="str">
            <v>Mercedes Real</v>
          </cell>
        </row>
        <row r="10">
          <cell r="A10" t="str">
            <v>Mixto_Multiclick_Binómico</v>
          </cell>
          <cell r="C10" t="str">
            <v>Equipo en propiedad</v>
          </cell>
          <cell r="I10" t="str">
            <v>Javier Gonzalez del Campo</v>
          </cell>
        </row>
        <row r="11">
          <cell r="A11" t="str">
            <v>Mixto_Multiclick_Sólo Energía</v>
          </cell>
          <cell r="C11" t="str">
            <v>----------------------------------</v>
          </cell>
          <cell r="I11" t="str">
            <v>Antonio Ojanguren</v>
          </cell>
        </row>
        <row r="12">
          <cell r="A12" t="str">
            <v>Mixto_Indexado_Sólo Energía</v>
          </cell>
          <cell r="I12" t="str">
            <v>Amador Lopez Boado</v>
          </cell>
        </row>
        <row r="13">
          <cell r="A13" t="str">
            <v>Mixto_Indexado_Binómico</v>
          </cell>
          <cell r="I13" t="str">
            <v>Manuel Jurado</v>
          </cell>
        </row>
        <row r="14">
          <cell r="A14" t="str">
            <v>Valle</v>
          </cell>
          <cell r="I14" t="str">
            <v>----------------------------------</v>
          </cell>
        </row>
        <row r="15">
          <cell r="A15" t="str">
            <v>Descuento</v>
          </cell>
        </row>
        <row r="16">
          <cell r="A16" t="str">
            <v>----------------------------------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eptación de Oferta y ATR"/>
      <sheetName val="desplegables"/>
      <sheetName val="Estructura_CRM"/>
      <sheetName val="Poblaciones"/>
      <sheetName val="Municipios"/>
    </sheetNames>
    <sheetDataSet>
      <sheetData sheetId="0"/>
      <sheetData sheetId="1">
        <row r="3">
          <cell r="D3" t="str">
            <v>Acceso</v>
          </cell>
          <cell r="G3" t="str">
            <v>Alava</v>
          </cell>
          <cell r="M3" t="str">
            <v>España</v>
          </cell>
          <cell r="P3" t="str">
            <v>01110 | ALFALFA</v>
          </cell>
          <cell r="S3" t="str">
            <v>2.0A</v>
          </cell>
          <cell r="V3">
            <v>1.1499999999999999</v>
          </cell>
          <cell r="AG3">
            <v>1</v>
          </cell>
          <cell r="AL3" t="str">
            <v>Sí</v>
          </cell>
          <cell r="AO3" t="str">
            <v>Sí</v>
          </cell>
          <cell r="BA3" t="str">
            <v>Tipo 1</v>
          </cell>
          <cell r="BJ3" t="str">
            <v>Concha Pero Sanz</v>
          </cell>
          <cell r="BM3" t="str">
            <v>1 Telemarketing</v>
          </cell>
          <cell r="CG3" t="str">
            <v>ACERO</v>
          </cell>
          <cell r="CM3" t="str">
            <v>Domicialización</v>
          </cell>
          <cell r="CP3" t="str">
            <v>Pago al contado</v>
          </cell>
          <cell r="CS3" t="str">
            <v>Individual</v>
          </cell>
          <cell r="CV3" t="str">
            <v>11-Llamada telefónica</v>
          </cell>
          <cell r="CY3" t="str">
            <v>Binómico AT</v>
          </cell>
        </row>
        <row r="4">
          <cell r="D4" t="str">
            <v>Acera</v>
          </cell>
          <cell r="G4" t="str">
            <v>Albacete</v>
          </cell>
          <cell r="M4" t="str">
            <v>Afganistán</v>
          </cell>
          <cell r="P4" t="str">
            <v>01121 | CULTIVO DE FRUTAS</v>
          </cell>
          <cell r="S4" t="str">
            <v>2.0DHA</v>
          </cell>
          <cell r="V4">
            <v>2.2999999999999998</v>
          </cell>
          <cell r="AG4">
            <v>2</v>
          </cell>
          <cell r="AL4" t="str">
            <v>No</v>
          </cell>
          <cell r="AO4" t="str">
            <v>No</v>
          </cell>
          <cell r="BA4" t="str">
            <v>Tipo 2</v>
          </cell>
          <cell r="BJ4" t="str">
            <v>Fernando González</v>
          </cell>
          <cell r="BM4" t="str">
            <v>2 Call Center</v>
          </cell>
          <cell r="CG4" t="str">
            <v>ADMIN. PÚBLICAS</v>
          </cell>
          <cell r="CM4" t="str">
            <v>Transferencia</v>
          </cell>
          <cell r="CP4" t="str">
            <v>Pago a 30 días</v>
          </cell>
          <cell r="CS4" t="str">
            <v>Conjunta</v>
          </cell>
          <cell r="CV4" t="str">
            <v>12-Empleados Teléfono-Carta imp-Carta corte-Corte+Baja</v>
          </cell>
          <cell r="CY4" t="str">
            <v>Binómico BT</v>
          </cell>
        </row>
        <row r="5">
          <cell r="D5" t="str">
            <v>Afueras</v>
          </cell>
          <cell r="G5" t="str">
            <v>Alicante</v>
          </cell>
          <cell r="M5" t="str">
            <v>Albania</v>
          </cell>
          <cell r="P5" t="str">
            <v>01122 | ARBORICULTURA (VIVERO)</v>
          </cell>
          <cell r="S5" t="str">
            <v>2.0DHS</v>
          </cell>
          <cell r="V5">
            <v>3.45</v>
          </cell>
          <cell r="AG5">
            <v>3</v>
          </cell>
          <cell r="BJ5" t="str">
            <v>Jose Manuel Álvarez</v>
          </cell>
          <cell r="BM5" t="str">
            <v>3 Fuerza de Ventas</v>
          </cell>
          <cell r="CG5" t="str">
            <v>ALIMENTACIÓN</v>
          </cell>
          <cell r="CP5" t="str">
            <v>Pago a 60 días</v>
          </cell>
          <cell r="CS5" t="str">
            <v>Colectiva</v>
          </cell>
          <cell r="CV5" t="str">
            <v>13-Carta imp-Cartacorte-Corte+Baja</v>
          </cell>
          <cell r="CY5" t="str">
            <v>Binómico BT Supervalle</v>
          </cell>
        </row>
        <row r="6">
          <cell r="D6" t="str">
            <v>Agrupación</v>
          </cell>
          <cell r="G6" t="str">
            <v>Almeria</v>
          </cell>
          <cell r="M6" t="str">
            <v>Andorra</v>
          </cell>
          <cell r="P6" t="str">
            <v>01131 | CAVA CON UVA EXCLUSIV. PROPIA</v>
          </cell>
          <cell r="S6" t="str">
            <v>2.1A</v>
          </cell>
          <cell r="V6">
            <v>4.5999999999999996</v>
          </cell>
          <cell r="AG6">
            <v>4</v>
          </cell>
          <cell r="BJ6" t="str">
            <v>Miguel González Salas</v>
          </cell>
          <cell r="BM6" t="str">
            <v>4 Mailing</v>
          </cell>
          <cell r="CG6" t="str">
            <v>AUTOMOCIÓN</v>
          </cell>
          <cell r="CP6" t="str">
            <v>Pago a 90 días</v>
          </cell>
          <cell r="CV6" t="str">
            <v>14-CartaCorte-Corte+Baja</v>
          </cell>
          <cell r="CY6" t="str">
            <v>Energía AT</v>
          </cell>
        </row>
        <row r="7">
          <cell r="D7" t="str">
            <v>Alameda</v>
          </cell>
          <cell r="G7" t="str">
            <v>Asturias</v>
          </cell>
          <cell r="M7" t="str">
            <v>Angola</v>
          </cell>
          <cell r="P7" t="str">
            <v>01132 | AGRIOS</v>
          </cell>
          <cell r="S7" t="str">
            <v>2.1DHA</v>
          </cell>
          <cell r="V7">
            <v>5.75</v>
          </cell>
          <cell r="AG7">
            <v>5</v>
          </cell>
          <cell r="BJ7" t="str">
            <v>Juan Ángel Manso</v>
          </cell>
          <cell r="BM7" t="str">
            <v>5 Oficinas Comerciales</v>
          </cell>
          <cell r="CG7" t="str">
            <v>BIENES EQUIPO/ELECTR</v>
          </cell>
          <cell r="CP7" t="str">
            <v>Pago a día 30 del mes</v>
          </cell>
          <cell r="CV7" t="str">
            <v>15-Carta imp-Teléfono-Gestor-Cartacorte-Corte+Baja</v>
          </cell>
          <cell r="CY7" t="str">
            <v>Energía BT</v>
          </cell>
        </row>
        <row r="8">
          <cell r="D8" t="str">
            <v>Apartamento</v>
          </cell>
          <cell r="G8" t="str">
            <v>Avila</v>
          </cell>
          <cell r="M8" t="str">
            <v>Anguilla</v>
          </cell>
          <cell r="P8" t="str">
            <v>01133 | ACEITUNA DE MESA</v>
          </cell>
          <cell r="S8" t="str">
            <v>2.1DHS</v>
          </cell>
          <cell r="V8">
            <v>6.9</v>
          </cell>
          <cell r="BJ8" t="str">
            <v>María José Granero</v>
          </cell>
          <cell r="BM8" t="str">
            <v>6 Partnership</v>
          </cell>
          <cell r="CG8" t="str">
            <v>CERÁMICA Y CONSTRUCC</v>
          </cell>
          <cell r="CP8" t="str">
            <v>Pago a 8 días</v>
          </cell>
          <cell r="CV8" t="str">
            <v>16-Carta imp-Teléfono-Carta corte-Corte y Baja</v>
          </cell>
          <cell r="CY8" t="str">
            <v>Mixto AT</v>
          </cell>
        </row>
        <row r="9">
          <cell r="D9" t="str">
            <v>Acequia</v>
          </cell>
          <cell r="G9" t="str">
            <v>Badajoz</v>
          </cell>
          <cell r="M9" t="str">
            <v>Antártida</v>
          </cell>
          <cell r="P9" t="str">
            <v>01134 | CAFE</v>
          </cell>
          <cell r="S9" t="str">
            <v>3.0A</v>
          </cell>
          <cell r="V9">
            <v>8.0500000000000007</v>
          </cell>
          <cell r="BJ9" t="str">
            <v>Mercedes Real</v>
          </cell>
          <cell r="BM9" t="str">
            <v>7 Internet</v>
          </cell>
          <cell r="CG9" t="str">
            <v>DISTRIBUCIÓN</v>
          </cell>
          <cell r="CP9" t="str">
            <v>Pago a 15 días</v>
          </cell>
          <cell r="CV9" t="str">
            <v>21-Administraciones públicas</v>
          </cell>
          <cell r="CY9" t="str">
            <v>Precio Indexado AT</v>
          </cell>
        </row>
        <row r="10">
          <cell r="D10" t="str">
            <v>Arrabal</v>
          </cell>
          <cell r="G10" t="str">
            <v>Baleares</v>
          </cell>
          <cell r="M10" t="str">
            <v>Antigua/Barbuda</v>
          </cell>
          <cell r="P10" t="str">
            <v>01135 | PLANTAS PARA BEBIDAS</v>
          </cell>
          <cell r="S10" t="str">
            <v>3.1A</v>
          </cell>
          <cell r="V10">
            <v>9.1999999999999993</v>
          </cell>
          <cell r="BJ10" t="str">
            <v>Javier Gonzalez del Campo</v>
          </cell>
          <cell r="BM10" t="str">
            <v>8 Mass Media</v>
          </cell>
          <cell r="CG10" t="str">
            <v>FARMACÉUTICOS</v>
          </cell>
          <cell r="CP10" t="str">
            <v>Pago a 10 días</v>
          </cell>
          <cell r="CY10" t="str">
            <v>Precio Indexado BT</v>
          </cell>
        </row>
        <row r="11">
          <cell r="D11" t="str">
            <v>Autopista/Autovía</v>
          </cell>
          <cell r="G11" t="str">
            <v>Barcelona</v>
          </cell>
          <cell r="M11" t="str">
            <v>Antillas Neerl.</v>
          </cell>
          <cell r="P11" t="str">
            <v>01210 | CORRAL DE GANADO BOVINO</v>
          </cell>
          <cell r="S11" t="str">
            <v>6.1</v>
          </cell>
          <cell r="BJ11" t="str">
            <v>Antonio Ojanguren</v>
          </cell>
          <cell r="BM11" t="str">
            <v>9 Móvil</v>
          </cell>
          <cell r="CG11" t="str">
            <v>HOSPITALES</v>
          </cell>
          <cell r="CP11" t="str">
            <v>Pago a 20 días</v>
          </cell>
          <cell r="CY11" t="str">
            <v>Producto eventual provisional</v>
          </cell>
        </row>
        <row r="12">
          <cell r="D12" t="str">
            <v>Avenida</v>
          </cell>
          <cell r="G12" t="str">
            <v>Burgos</v>
          </cell>
          <cell r="M12" t="str">
            <v>Arabia Saudí</v>
          </cell>
          <cell r="P12" t="str">
            <v>01221 | GANADO OVINO Y CAPRINO</v>
          </cell>
          <cell r="S12" t="str">
            <v>6.2</v>
          </cell>
          <cell r="BJ12" t="str">
            <v>Amador Lopez Boado</v>
          </cell>
          <cell r="BM12" t="str">
            <v>A Winback</v>
          </cell>
          <cell r="CG12" t="str">
            <v>HOTELES</v>
          </cell>
          <cell r="CP12" t="str">
            <v>Pago a 75 días</v>
          </cell>
          <cell r="CY12" t="str">
            <v>Producto sin derecho TUR alta tension</v>
          </cell>
        </row>
        <row r="13">
          <cell r="D13" t="str">
            <v>Barranco</v>
          </cell>
          <cell r="G13" t="str">
            <v>Caceres</v>
          </cell>
          <cell r="M13" t="str">
            <v>Argelia</v>
          </cell>
          <cell r="P13" t="str">
            <v>01222 | GANADO EQUINO</v>
          </cell>
          <cell r="S13" t="str">
            <v>6.3</v>
          </cell>
          <cell r="BJ13" t="str">
            <v>Manuel Jurado</v>
          </cell>
          <cell r="CG13" t="str">
            <v>MADERA Y MUEBLES</v>
          </cell>
          <cell r="CP13" t="str">
            <v>Pago a 45 días</v>
          </cell>
          <cell r="CY13" t="str">
            <v>Producto sin derecho TUR baja tension</v>
          </cell>
        </row>
        <row r="14">
          <cell r="D14" t="str">
            <v>Barriada</v>
          </cell>
          <cell r="G14" t="str">
            <v>Cadiz</v>
          </cell>
          <cell r="M14" t="str">
            <v>Armenia</v>
          </cell>
          <cell r="P14" t="str">
            <v>01231 | CORRAL GANADO PORCINO INTENS.</v>
          </cell>
          <cell r="S14" t="str">
            <v>6.4</v>
          </cell>
          <cell r="CG14" t="str">
            <v>PAPELERAS</v>
          </cell>
          <cell r="CP14" t="str">
            <v>Pago a día 25 del mes</v>
          </cell>
          <cell r="CY14" t="str">
            <v>Producto TUR</v>
          </cell>
        </row>
        <row r="15">
          <cell r="D15" t="str">
            <v>Bajada</v>
          </cell>
          <cell r="G15" t="str">
            <v>Cantabria</v>
          </cell>
          <cell r="M15" t="str">
            <v>Aruba</v>
          </cell>
          <cell r="P15" t="str">
            <v>01232 | CORRAL GANADO PORCINO EXTENS.</v>
          </cell>
          <cell r="S15" t="str">
            <v>6.5</v>
          </cell>
          <cell r="CG15" t="str">
            <v>PLÁSTICOS</v>
          </cell>
          <cell r="CP15" t="str">
            <v>Pago a 15 días colectiva</v>
          </cell>
          <cell r="CY15" t="str">
            <v>Producto TUR Supervalle</v>
          </cell>
        </row>
        <row r="16">
          <cell r="D16" t="str">
            <v>Bloque</v>
          </cell>
          <cell r="G16" t="str">
            <v>Castellon</v>
          </cell>
          <cell r="M16" t="str">
            <v>Austria</v>
          </cell>
          <cell r="P16" t="str">
            <v>01240 | AVICULTURA</v>
          </cell>
          <cell r="CG16" t="str">
            <v>QUÍMICO</v>
          </cell>
          <cell r="CP16" t="str">
            <v>Pago a día 20 del mes</v>
          </cell>
          <cell r="CY16" t="str">
            <v>Tranchas AT</v>
          </cell>
        </row>
        <row r="17">
          <cell r="D17" t="str">
            <v>Barrio</v>
          </cell>
          <cell r="G17" t="str">
            <v>Ceuta</v>
          </cell>
          <cell r="M17" t="str">
            <v>Azerbaiyán</v>
          </cell>
          <cell r="P17" t="str">
            <v>01250 | CERA DE ABEJA</v>
          </cell>
          <cell r="CG17" t="str">
            <v>TELECOMUNICACIONES</v>
          </cell>
          <cell r="CP17" t="str">
            <v>Pago a 7 días</v>
          </cell>
          <cell r="CY17" t="str">
            <v>Único AT</v>
          </cell>
        </row>
        <row r="18">
          <cell r="D18" t="str">
            <v>Colonia</v>
          </cell>
          <cell r="G18" t="str">
            <v>Ciudad Real</v>
          </cell>
          <cell r="M18" t="str">
            <v>Azul</v>
          </cell>
          <cell r="P18" t="str">
            <v>01300 | AGRICULTURA Y GANADO COMBINADO</v>
          </cell>
          <cell r="CG18" t="str">
            <v>TEXTIL</v>
          </cell>
          <cell r="CP18" t="str">
            <v>Pago a 25 días</v>
          </cell>
          <cell r="CY18" t="str">
            <v>Único BT</v>
          </cell>
        </row>
        <row r="19">
          <cell r="D19" t="str">
            <v>Calleja</v>
          </cell>
          <cell r="G19" t="str">
            <v>Cordoba</v>
          </cell>
          <cell r="M19" t="str">
            <v>Bahamas</v>
          </cell>
          <cell r="P19" t="str">
            <v>01410 | AGRICULTURA, SERVICIOS A LA</v>
          </cell>
          <cell r="CG19" t="str">
            <v>TRANSPORTES</v>
          </cell>
          <cell r="CP19" t="str">
            <v>Pago a día 5 del mes</v>
          </cell>
        </row>
        <row r="20">
          <cell r="D20" t="str">
            <v>Carril</v>
          </cell>
          <cell r="G20" t="str">
            <v>Cuenca</v>
          </cell>
          <cell r="M20" t="str">
            <v>Bahráin</v>
          </cell>
          <cell r="P20" t="str">
            <v>01420 | GANADERIA,SERV.,EXC. VETERIN.</v>
          </cell>
          <cell r="CG20" t="str">
            <v>UTILITIES</v>
          </cell>
          <cell r="CP20" t="str">
            <v>Pago a 15 de cada mes</v>
          </cell>
        </row>
        <row r="21">
          <cell r="D21" t="str">
            <v>Cortijo</v>
          </cell>
          <cell r="G21" t="str">
            <v>Gerona</v>
          </cell>
          <cell r="M21" t="str">
            <v>Bangladesh</v>
          </cell>
          <cell r="P21" t="str">
            <v>01501 | CAZA</v>
          </cell>
          <cell r="CG21" t="str">
            <v>VIDRIO</v>
          </cell>
          <cell r="CP21" t="str">
            <v>Pago a 35 días</v>
          </cell>
        </row>
        <row r="22">
          <cell r="D22" t="str">
            <v>Callejón</v>
          </cell>
          <cell r="G22" t="str">
            <v>Granada</v>
          </cell>
          <cell r="M22" t="str">
            <v>Barbados</v>
          </cell>
          <cell r="P22" t="str">
            <v>01502 | REPOBLACION CINEGETICA</v>
          </cell>
          <cell r="CG22" t="str">
            <v>DIVERSOS, OTROS</v>
          </cell>
          <cell r="CP22" t="str">
            <v>Vencimiento 1 mes siguiente o posterior</v>
          </cell>
        </row>
        <row r="23">
          <cell r="D23" t="str">
            <v>Calle</v>
          </cell>
          <cell r="G23" t="str">
            <v>Guadalajara</v>
          </cell>
          <cell r="M23" t="str">
            <v>Belice</v>
          </cell>
          <cell r="P23" t="str">
            <v>01503 | CAZA, SERVICIOS A LA</v>
          </cell>
          <cell r="CP23" t="str">
            <v>Vencimiento 1 mes n+1, cualquier día lím</v>
          </cell>
        </row>
        <row r="24">
          <cell r="D24" t="str">
            <v>Complejo</v>
          </cell>
          <cell r="G24" t="str">
            <v>Guipuzcoa</v>
          </cell>
          <cell r="M24" t="str">
            <v>Benín</v>
          </cell>
          <cell r="P24" t="str">
            <v>01600 | AGRICULTURA. EXPLOTACIONES DE</v>
          </cell>
          <cell r="CP24" t="str">
            <v>Vencimiento 1 mes n+2, cualquier día lím</v>
          </cell>
        </row>
        <row r="25">
          <cell r="D25" t="str">
            <v>Camino</v>
          </cell>
          <cell r="G25" t="str">
            <v>Huelva</v>
          </cell>
          <cell r="M25" t="str">
            <v>Bermudas</v>
          </cell>
          <cell r="P25" t="str">
            <v>02011 | SELVICULTURA</v>
          </cell>
          <cell r="CP25" t="str">
            <v>Vencimiento a 7 días</v>
          </cell>
        </row>
        <row r="26">
          <cell r="D26" t="str">
            <v>Coperativa</v>
          </cell>
          <cell r="G26" t="str">
            <v>Huesca</v>
          </cell>
          <cell r="M26" t="str">
            <v>Bielorrusia</v>
          </cell>
          <cell r="P26" t="str">
            <v>02012 | CORCHO EN BRUTO</v>
          </cell>
          <cell r="CP26" t="str">
            <v>Vencimiento a 20 días</v>
          </cell>
        </row>
        <row r="27">
          <cell r="D27" t="str">
            <v>Carretera</v>
          </cell>
          <cell r="G27" t="str">
            <v>Jaen</v>
          </cell>
          <cell r="M27" t="str">
            <v>Bosnia-Herz.</v>
          </cell>
          <cell r="P27" t="str">
            <v>02020 | CORTADORES DE LEﾑA</v>
          </cell>
        </row>
        <row r="28">
          <cell r="D28" t="str">
            <v>Casa</v>
          </cell>
          <cell r="G28" t="str">
            <v>La Coruña</v>
          </cell>
          <cell r="M28" t="str">
            <v>Botsuana</v>
          </cell>
          <cell r="P28" t="str">
            <v>05010 | PESCA</v>
          </cell>
        </row>
        <row r="29">
          <cell r="D29" t="str">
            <v>Cuesta</v>
          </cell>
          <cell r="G29" t="str">
            <v>La Rioja</v>
          </cell>
          <cell r="M29" t="str">
            <v>Brasil</v>
          </cell>
          <cell r="P29" t="str">
            <v>05021 | ACUICULTURA NO MARINA</v>
          </cell>
        </row>
        <row r="30">
          <cell r="D30" t="str">
            <v>Diseminado</v>
          </cell>
          <cell r="G30" t="str">
            <v>Las Palmas</v>
          </cell>
          <cell r="M30" t="str">
            <v>Brunéi</v>
          </cell>
          <cell r="P30" t="str">
            <v>05022 | ACUICULTURA MARINA</v>
          </cell>
        </row>
        <row r="31">
          <cell r="D31" t="str">
            <v>Edificio</v>
          </cell>
          <cell r="G31" t="str">
            <v>Leon</v>
          </cell>
          <cell r="M31" t="str">
            <v>Bulgaria</v>
          </cell>
          <cell r="P31" t="str">
            <v>10101 | ANTRACITA</v>
          </cell>
        </row>
        <row r="32">
          <cell r="D32" t="str">
            <v>Entrada</v>
          </cell>
          <cell r="G32" t="str">
            <v>Lerida</v>
          </cell>
          <cell r="M32" t="str">
            <v>Burkina Faso</v>
          </cell>
          <cell r="P32" t="str">
            <v>10102 | CARBON HULLA</v>
          </cell>
        </row>
        <row r="33">
          <cell r="D33" t="str">
            <v>Finca</v>
          </cell>
          <cell r="G33" t="str">
            <v>Lugo</v>
          </cell>
          <cell r="M33" t="str">
            <v>Burundi</v>
          </cell>
          <cell r="P33" t="str">
            <v>10200 | CARBON LIGNITO</v>
          </cell>
        </row>
        <row r="34">
          <cell r="D34" t="str">
            <v>Ficticio</v>
          </cell>
          <cell r="G34" t="str">
            <v>Madrid</v>
          </cell>
          <cell r="M34" t="str">
            <v>Bután</v>
          </cell>
          <cell r="P34" t="str">
            <v>10300 | TURBA SECA PARA QUEMAR</v>
          </cell>
        </row>
        <row r="35">
          <cell r="D35" t="str">
            <v>Glorieta</v>
          </cell>
          <cell r="G35" t="str">
            <v>Malaga</v>
          </cell>
          <cell r="M35" t="str">
            <v>Cabo Verde</v>
          </cell>
          <cell r="P35" t="str">
            <v>11100 | GAS NATURAL (PROSPECCION)</v>
          </cell>
        </row>
        <row r="36">
          <cell r="D36" t="str">
            <v>Grupo</v>
          </cell>
          <cell r="G36" t="str">
            <v>Melilla</v>
          </cell>
          <cell r="M36" t="str">
            <v>Camboya</v>
          </cell>
          <cell r="P36" t="str">
            <v>11200 | PETROLEO (PROSPECCION)</v>
          </cell>
        </row>
        <row r="37">
          <cell r="D37" t="str">
            <v>Lugar</v>
          </cell>
          <cell r="G37" t="str">
            <v>Murcia</v>
          </cell>
          <cell r="M37" t="str">
            <v>Camerún</v>
          </cell>
          <cell r="P37" t="str">
            <v>12000 | MINAS DE URANIO</v>
          </cell>
        </row>
        <row r="38">
          <cell r="D38" t="str">
            <v>Masía</v>
          </cell>
          <cell r="G38" t="str">
            <v>Navarra</v>
          </cell>
          <cell r="M38" t="str">
            <v>Chad</v>
          </cell>
          <cell r="P38" t="str">
            <v>13100 | HIERRO</v>
          </cell>
        </row>
        <row r="39">
          <cell r="D39" t="str">
            <v>Mercado</v>
          </cell>
          <cell r="G39" t="str">
            <v>Orense</v>
          </cell>
          <cell r="M39" t="str">
            <v>China</v>
          </cell>
          <cell r="P39" t="str">
            <v>13123 | PIZARRA PARA LA CONSTRUCCION</v>
          </cell>
        </row>
        <row r="40">
          <cell r="D40" t="str">
            <v>Muelle</v>
          </cell>
          <cell r="G40" t="str">
            <v>Palencia</v>
          </cell>
          <cell r="M40" t="str">
            <v>Chipre</v>
          </cell>
          <cell r="P40" t="str">
            <v>13201 | ZINC</v>
          </cell>
        </row>
        <row r="41">
          <cell r="D41" t="str">
            <v>Manzana</v>
          </cell>
          <cell r="G41" t="str">
            <v>Pontevedra</v>
          </cell>
          <cell r="M41" t="str">
            <v>Ciudad Vaticano</v>
          </cell>
          <cell r="P41" t="str">
            <v>13202 | BAUXITA</v>
          </cell>
        </row>
        <row r="42">
          <cell r="D42" t="str">
            <v>Núcleo</v>
          </cell>
          <cell r="G42" t="str">
            <v>Salamanca</v>
          </cell>
          <cell r="M42" t="str">
            <v>Comoras</v>
          </cell>
          <cell r="P42" t="str">
            <v>13203 | COBALTO</v>
          </cell>
        </row>
        <row r="43">
          <cell r="D43" t="str">
            <v>Parque</v>
          </cell>
          <cell r="G43" t="str">
            <v>Segovia</v>
          </cell>
          <cell r="M43" t="str">
            <v>Corea del Norte</v>
          </cell>
          <cell r="P43" t="str">
            <v>14111 | GRANITO</v>
          </cell>
        </row>
        <row r="44">
          <cell r="D44" t="str">
            <v>Poblado</v>
          </cell>
          <cell r="G44" t="str">
            <v>Sevilla</v>
          </cell>
          <cell r="M44" t="str">
            <v>Costa de Marfil</v>
          </cell>
          <cell r="P44" t="str">
            <v>14113 | ALABASTRO</v>
          </cell>
        </row>
        <row r="45">
          <cell r="D45" t="str">
            <v>Partida</v>
          </cell>
          <cell r="G45" t="str">
            <v>Soria</v>
          </cell>
          <cell r="M45" t="str">
            <v>Croacia</v>
          </cell>
          <cell r="P45" t="str">
            <v>14121 | YESO CRUDO</v>
          </cell>
        </row>
        <row r="46">
          <cell r="D46" t="str">
            <v>Paseo</v>
          </cell>
          <cell r="G46" t="str">
            <v>Sta. Cruz Tenerife</v>
          </cell>
          <cell r="M46" t="str">
            <v>de Isl.Marshall</v>
          </cell>
          <cell r="P46" t="str">
            <v>14122 | CRETA</v>
          </cell>
        </row>
        <row r="47">
          <cell r="D47" t="str">
            <v>Polígono Industrial</v>
          </cell>
          <cell r="G47" t="str">
            <v>Tarragona</v>
          </cell>
          <cell r="M47" t="str">
            <v>E.A.U.</v>
          </cell>
          <cell r="P47" t="str">
            <v>14123 | CALIZA</v>
          </cell>
        </row>
        <row r="48">
          <cell r="D48" t="str">
            <v>Paraje</v>
          </cell>
          <cell r="G48" t="str">
            <v>Teruel</v>
          </cell>
          <cell r="M48" t="str">
            <v>Egipto</v>
          </cell>
          <cell r="P48" t="str">
            <v>14130 | PIZARRAS</v>
          </cell>
        </row>
        <row r="49">
          <cell r="D49" t="str">
            <v>Pantalán</v>
          </cell>
          <cell r="G49" t="str">
            <v>Toledo</v>
          </cell>
          <cell r="M49" t="str">
            <v>El Salvador</v>
          </cell>
          <cell r="P49" t="str">
            <v>14210 | ARENA</v>
          </cell>
        </row>
        <row r="50">
          <cell r="D50" t="str">
            <v>Polígono</v>
          </cell>
          <cell r="G50" t="str">
            <v>Valencia</v>
          </cell>
          <cell r="M50" t="str">
            <v>Eritrea</v>
          </cell>
          <cell r="P50" t="str">
            <v>14221 | CAOLIN</v>
          </cell>
        </row>
        <row r="51">
          <cell r="D51" t="str">
            <v>Patio</v>
          </cell>
          <cell r="G51" t="str">
            <v>Valladolid</v>
          </cell>
          <cell r="M51" t="str">
            <v>Eslovaquia</v>
          </cell>
          <cell r="P51" t="str">
            <v>14222 | ARCILLA</v>
          </cell>
        </row>
        <row r="52">
          <cell r="D52" t="str">
            <v>Parque</v>
          </cell>
          <cell r="G52" t="str">
            <v>Vizcaya</v>
          </cell>
          <cell r="M52" t="str">
            <v>Eslovenia</v>
          </cell>
          <cell r="P52" t="str">
            <v>14301 | FOSFATOS</v>
          </cell>
        </row>
        <row r="53">
          <cell r="D53" t="str">
            <v>Prolongación</v>
          </cell>
          <cell r="G53" t="str">
            <v>Zamora</v>
          </cell>
          <cell r="M53" t="str">
            <v>Estonia</v>
          </cell>
          <cell r="P53" t="str">
            <v>14302 | SALES POTASICAS</v>
          </cell>
        </row>
        <row r="54">
          <cell r="D54" t="str">
            <v>Pasaje</v>
          </cell>
          <cell r="G54" t="str">
            <v>Zaragoza</v>
          </cell>
          <cell r="M54" t="str">
            <v>Etiopía</v>
          </cell>
          <cell r="P54" t="str">
            <v>14303 | AZUFRE</v>
          </cell>
        </row>
        <row r="55">
          <cell r="D55" t="str">
            <v>Plazoleta</v>
          </cell>
          <cell r="M55" t="str">
            <v>Federación Rusa</v>
          </cell>
          <cell r="P55" t="str">
            <v>14304 | ESPATO FLUOR</v>
          </cell>
        </row>
        <row r="56">
          <cell r="D56" t="str">
            <v>Playa</v>
          </cell>
          <cell r="M56" t="str">
            <v>Filipinas</v>
          </cell>
          <cell r="P56" t="str">
            <v>14305 | BARIO</v>
          </cell>
        </row>
        <row r="57">
          <cell r="D57" t="str">
            <v>Plaza</v>
          </cell>
          <cell r="M57" t="str">
            <v>Finlandia</v>
          </cell>
          <cell r="P57" t="str">
            <v>14401 | SAL FINA DE MESA</v>
          </cell>
        </row>
        <row r="58">
          <cell r="D58" t="str">
            <v>Rambla</v>
          </cell>
          <cell r="M58" t="str">
            <v>Fiyi</v>
          </cell>
          <cell r="P58" t="str">
            <v>14402 | SAL GEMA Y MANANTIAL</v>
          </cell>
        </row>
        <row r="59">
          <cell r="D59" t="str">
            <v>Ronda</v>
          </cell>
          <cell r="M59" t="str">
            <v>French S.Territ</v>
          </cell>
          <cell r="P59" t="str">
            <v>14501 | FELDESPATOS</v>
          </cell>
        </row>
        <row r="60">
          <cell r="D60" t="str">
            <v>Residencial</v>
          </cell>
          <cell r="M60" t="str">
            <v>Gabón</v>
          </cell>
          <cell r="P60" t="str">
            <v>14502 | AMIANTO</v>
          </cell>
        </row>
        <row r="61">
          <cell r="D61" t="str">
            <v>Senda</v>
          </cell>
          <cell r="M61" t="str">
            <v>Gambia</v>
          </cell>
          <cell r="P61" t="str">
            <v>15110 | ACEITES ANIMALES COMESTIBLES</v>
          </cell>
        </row>
        <row r="62">
          <cell r="D62" t="str">
            <v>Subida</v>
          </cell>
          <cell r="M62" t="str">
            <v>Georgia</v>
          </cell>
          <cell r="P62" t="str">
            <v>15120 | MATADERO DE AVES</v>
          </cell>
        </row>
        <row r="63">
          <cell r="D63" t="str">
            <v>Travesía</v>
          </cell>
          <cell r="M63" t="str">
            <v>Ghana</v>
          </cell>
          <cell r="P63" t="str">
            <v>15130 | CARNE EN CONSERVA</v>
          </cell>
        </row>
        <row r="64">
          <cell r="D64" t="str">
            <v>Torrente</v>
          </cell>
          <cell r="M64" t="str">
            <v>Gibraltar</v>
          </cell>
          <cell r="P64" t="str">
            <v>15201 | PESCADO CONGELADO</v>
          </cell>
        </row>
        <row r="65">
          <cell r="D65" t="str">
            <v>Transversal</v>
          </cell>
          <cell r="M65" t="str">
            <v>Granada</v>
          </cell>
          <cell r="P65" t="str">
            <v>15202 | CONSERVAS DE PESCADO</v>
          </cell>
        </row>
        <row r="66">
          <cell r="D66" t="str">
            <v>Urbanización</v>
          </cell>
          <cell r="M66" t="str">
            <v>Groenlandia</v>
          </cell>
          <cell r="P66" t="str">
            <v>15203 | PESCADO AHUMADO</v>
          </cell>
        </row>
        <row r="67">
          <cell r="D67" t="str">
            <v>Vial</v>
          </cell>
          <cell r="M67" t="str">
            <v>Guadalupe</v>
          </cell>
          <cell r="P67" t="str">
            <v>15310 | LEGUMBRES EN CONSERVA</v>
          </cell>
        </row>
        <row r="68">
          <cell r="D68" t="str">
            <v>Zona</v>
          </cell>
          <cell r="M68" t="str">
            <v>Guam</v>
          </cell>
          <cell r="P68" t="str">
            <v>15321 | MOSTOS NATURALES</v>
          </cell>
        </row>
        <row r="69">
          <cell r="M69" t="str">
            <v>Guayana Franc.</v>
          </cell>
          <cell r="P69" t="str">
            <v>15322 | ZUMOS DE FRUTAS Y HORTALIZAS</v>
          </cell>
        </row>
        <row r="70">
          <cell r="M70" t="str">
            <v>Guinea</v>
          </cell>
          <cell r="P70" t="str">
            <v>15331 | HORTALIZAS CONGELADAS</v>
          </cell>
        </row>
        <row r="71">
          <cell r="M71" t="str">
            <v>Guinea Ecuator.</v>
          </cell>
          <cell r="P71" t="str">
            <v>15332 | CONFITURAS</v>
          </cell>
        </row>
        <row r="72">
          <cell r="M72" t="str">
            <v>Guinea-Bissau</v>
          </cell>
          <cell r="P72" t="str">
            <v>15333 | ACEITUNAS</v>
          </cell>
        </row>
        <row r="73">
          <cell r="M73" t="str">
            <v>Guyana</v>
          </cell>
          <cell r="P73" t="str">
            <v>15334 | CONSERVAS DE FRUTAS</v>
          </cell>
        </row>
        <row r="74">
          <cell r="M74" t="str">
            <v>Honduras</v>
          </cell>
          <cell r="P74" t="str">
            <v>15411 | ACEITES DE OLIVA</v>
          </cell>
        </row>
        <row r="75">
          <cell r="M75" t="str">
            <v>Hong Kong</v>
          </cell>
          <cell r="P75" t="str">
            <v>15412 | ACEITES DE ORUJO</v>
          </cell>
        </row>
        <row r="76">
          <cell r="M76" t="str">
            <v>Hungría</v>
          </cell>
          <cell r="P76" t="str">
            <v>15413 | ACEITES ANIMALES NO COMESTIBLE</v>
          </cell>
        </row>
        <row r="77">
          <cell r="M77" t="str">
            <v>India</v>
          </cell>
          <cell r="P77" t="str">
            <v>15420 | ACEITES VEGETALES REFINADOS</v>
          </cell>
        </row>
        <row r="78">
          <cell r="M78" t="str">
            <v>Indonesia</v>
          </cell>
          <cell r="P78" t="str">
            <v>15430 | MARGARINAS</v>
          </cell>
        </row>
        <row r="79">
          <cell r="M79" t="str">
            <v>Irán</v>
          </cell>
          <cell r="P79" t="str">
            <v>15511 | ENVASADO DE LECHE</v>
          </cell>
        </row>
        <row r="80">
          <cell r="M80" t="str">
            <v>Iraq</v>
          </cell>
          <cell r="P80" t="str">
            <v>15512 | QUESOS</v>
          </cell>
        </row>
        <row r="81">
          <cell r="M81" t="str">
            <v>Irlanda</v>
          </cell>
          <cell r="P81" t="str">
            <v>15520 | HELADOS</v>
          </cell>
        </row>
        <row r="82">
          <cell r="M82" t="str">
            <v>Is.Heard/Mcdon.</v>
          </cell>
          <cell r="P82" t="str">
            <v>15611 | AGLOMERADOS DE TRIGO</v>
          </cell>
        </row>
        <row r="83">
          <cell r="M83" t="str">
            <v>Is.Vírgenes USA</v>
          </cell>
          <cell r="P83" t="str">
            <v>15612 | ARROZ, DESCASCARILL./PREPARADO</v>
          </cell>
        </row>
        <row r="84">
          <cell r="M84" t="str">
            <v>Isl.Marianas N.</v>
          </cell>
          <cell r="P84" t="str">
            <v>15613 | FRUTOS, SECADO DE</v>
          </cell>
        </row>
        <row r="85">
          <cell r="M85" t="str">
            <v>Isl.S.Sandwich</v>
          </cell>
          <cell r="P85" t="str">
            <v>15620 | ACEITE DE MAIZ</v>
          </cell>
        </row>
        <row r="86">
          <cell r="M86" t="str">
            <v>Isl.Turcas y C.</v>
          </cell>
          <cell r="P86" t="str">
            <v>15710 | ALFALFA, DESHIDRATACION DE</v>
          </cell>
        </row>
        <row r="87">
          <cell r="M87" t="str">
            <v>Isl.Vírgenes GB</v>
          </cell>
          <cell r="P87" t="str">
            <v>15720 | ALIMENTOS PARA ANIMALES</v>
          </cell>
        </row>
        <row r="88">
          <cell r="M88" t="str">
            <v>Isla Christmas</v>
          </cell>
          <cell r="P88" t="str">
            <v>15811 | BIZCOCHOS</v>
          </cell>
        </row>
        <row r="89">
          <cell r="M89" t="str">
            <v>Islandia</v>
          </cell>
          <cell r="P89" t="str">
            <v>15812 | PASTELERIA DE CORTA DURACION</v>
          </cell>
        </row>
        <row r="90">
          <cell r="M90" t="str">
            <v>Islas Bouvet</v>
          </cell>
          <cell r="P90" t="str">
            <v>15821 | GALLETAS</v>
          </cell>
        </row>
        <row r="91">
          <cell r="M91" t="str">
            <v>Islas Caimán</v>
          </cell>
          <cell r="P91" t="str">
            <v>15822 | PAN SECO, PRODUCTOS DE</v>
          </cell>
        </row>
        <row r="92">
          <cell r="M92" t="str">
            <v>Islas Cocos</v>
          </cell>
          <cell r="P92" t="str">
            <v>15830 | AZUCAR</v>
          </cell>
        </row>
        <row r="93">
          <cell r="M93" t="str">
            <v>Islas Cook</v>
          </cell>
          <cell r="P93" t="str">
            <v>15841 | BOMBONES</v>
          </cell>
        </row>
        <row r="94">
          <cell r="M94" t="str">
            <v>Islas Feroe</v>
          </cell>
          <cell r="P94" t="str">
            <v>15842 | CARAMELOS</v>
          </cell>
        </row>
        <row r="95">
          <cell r="M95" t="str">
            <v>Islas Malvinas</v>
          </cell>
          <cell r="P95" t="str">
            <v>15850 | MACARRONES SIN COCER</v>
          </cell>
        </row>
        <row r="96">
          <cell r="M96" t="str">
            <v>Islas Niue</v>
          </cell>
          <cell r="P96" t="str">
            <v>15860 | ACHICORIA</v>
          </cell>
        </row>
        <row r="97">
          <cell r="M97" t="str">
            <v>Islas Norfolk</v>
          </cell>
          <cell r="P97" t="str">
            <v>15870 | CONDIMENTOS</v>
          </cell>
        </row>
        <row r="98">
          <cell r="M98" t="str">
            <v>Islas Pitcairn</v>
          </cell>
          <cell r="P98" t="str">
            <v>15881 | ALIMENTOS INFANTILES</v>
          </cell>
        </row>
        <row r="99">
          <cell r="M99" t="str">
            <v>Islas Salomón</v>
          </cell>
          <cell r="P99" t="str">
            <v>15882 | ALIMENTOS DE REGIMEN</v>
          </cell>
        </row>
        <row r="100">
          <cell r="M100" t="str">
            <v>Islas Tokelau</v>
          </cell>
          <cell r="P100" t="str">
            <v>15890 | CALDOS CONCENTRADOS</v>
          </cell>
        </row>
        <row r="101">
          <cell r="M101" t="str">
            <v>IslMenAlejEEUU</v>
          </cell>
          <cell r="P101" t="str">
            <v>15911 | AGUARDIENTE NATURAL</v>
          </cell>
        </row>
        <row r="102">
          <cell r="M102" t="str">
            <v>Jamaica</v>
          </cell>
          <cell r="P102" t="str">
            <v>15912 | AGUARDIENTE COMPUESTO</v>
          </cell>
        </row>
        <row r="103">
          <cell r="M103" t="str">
            <v>Jordania</v>
          </cell>
          <cell r="P103" t="str">
            <v>15920 | ALCOHOLES ETILICOS</v>
          </cell>
        </row>
        <row r="104">
          <cell r="M104" t="str">
            <v>Kazajistán</v>
          </cell>
          <cell r="P104" t="str">
            <v>15931 | VINOS ENVASADOS,ELABORACION DE</v>
          </cell>
        </row>
        <row r="105">
          <cell r="M105" t="str">
            <v>Kenia</v>
          </cell>
          <cell r="P105" t="str">
            <v>15932 | BODEGA</v>
          </cell>
        </row>
        <row r="106">
          <cell r="M106" t="str">
            <v>Kirguizistán</v>
          </cell>
          <cell r="P106" t="str">
            <v>15940 | SIDRA</v>
          </cell>
        </row>
        <row r="107">
          <cell r="M107" t="str">
            <v>Kiribati</v>
          </cell>
          <cell r="P107" t="str">
            <v>15950 | APERITIVOS VINICOLAS</v>
          </cell>
        </row>
        <row r="108">
          <cell r="M108" t="str">
            <v>Kuwait</v>
          </cell>
          <cell r="P108" t="str">
            <v>15960 | CERVEZA</v>
          </cell>
        </row>
        <row r="109">
          <cell r="M109" t="str">
            <v>Laos</v>
          </cell>
          <cell r="P109" t="str">
            <v>15970 | LEVADURA DE CERVEZA</v>
          </cell>
        </row>
        <row r="110">
          <cell r="M110" t="str">
            <v>Lesoto</v>
          </cell>
          <cell r="P110" t="str">
            <v>15981 | AGUA DE MANANTIAL, ENVASADO DE</v>
          </cell>
        </row>
        <row r="111">
          <cell r="M111" t="str">
            <v>Letonia</v>
          </cell>
          <cell r="P111" t="str">
            <v>15982 | BEBIDAS NO ALCOHOLICAS</v>
          </cell>
        </row>
        <row r="112">
          <cell r="M112" t="str">
            <v>Liberia</v>
          </cell>
          <cell r="P112" t="str">
            <v>16000 | CIGARRILLOS</v>
          </cell>
        </row>
        <row r="113">
          <cell r="M113" t="str">
            <v>Libia</v>
          </cell>
          <cell r="P113" t="str">
            <v>17110 | ALGODON, HILADO DEL</v>
          </cell>
        </row>
        <row r="114">
          <cell r="M114" t="str">
            <v>Liechtenstein</v>
          </cell>
          <cell r="P114" t="str">
            <v>17120 | HILADOS DE LANA</v>
          </cell>
        </row>
        <row r="115">
          <cell r="M115" t="str">
            <v>Lituania</v>
          </cell>
          <cell r="P115" t="str">
            <v>17130 | LANA PEINADA, HILADOS</v>
          </cell>
        </row>
        <row r="116">
          <cell r="M116" t="str">
            <v>Luxemburgo</v>
          </cell>
          <cell r="P116" t="str">
            <v>17140 | LINO</v>
          </cell>
        </row>
        <row r="117">
          <cell r="M117" t="str">
            <v>Macao</v>
          </cell>
          <cell r="P117" t="str">
            <v>17150 | FIBRA SINTETICA, HILADO/TEJIDO</v>
          </cell>
        </row>
        <row r="118">
          <cell r="M118" t="str">
            <v>Macedonia</v>
          </cell>
          <cell r="P118" t="str">
            <v>17160 | HILADOS DE FIBRAS DURAS</v>
          </cell>
        </row>
        <row r="119">
          <cell r="M119" t="str">
            <v>Madagascar</v>
          </cell>
          <cell r="P119" t="str">
            <v>17170 | FIBRAS DURAS</v>
          </cell>
        </row>
        <row r="120">
          <cell r="M120" t="str">
            <v>Malasia</v>
          </cell>
          <cell r="P120" t="str">
            <v>17210 | ALGODON, TEJIDO DEL</v>
          </cell>
        </row>
        <row r="121">
          <cell r="M121" t="str">
            <v>Malaui</v>
          </cell>
          <cell r="P121" t="str">
            <v>17220 | LANA CARDADA, TEJIDOS</v>
          </cell>
        </row>
        <row r="122">
          <cell r="M122" t="str">
            <v>Maldivas</v>
          </cell>
          <cell r="P122" t="str">
            <v>17230 | LANA PEINADA, TEJIDOS</v>
          </cell>
        </row>
        <row r="123">
          <cell r="M123" t="str">
            <v>Malí</v>
          </cell>
          <cell r="P123" t="str">
            <v>17240 | SEDA, MEZCLAS DE</v>
          </cell>
        </row>
        <row r="124">
          <cell r="M124" t="str">
            <v>Malta</v>
          </cell>
          <cell r="P124" t="str">
            <v>17250 | TEJIDOS DE FIBRAS DURAS</v>
          </cell>
        </row>
        <row r="125">
          <cell r="M125" t="str">
            <v>Marruecos</v>
          </cell>
          <cell r="P125" t="str">
            <v>17301 | TEJIDOS DE TEXTILES</v>
          </cell>
        </row>
        <row r="126">
          <cell r="M126" t="str">
            <v>Martinica</v>
          </cell>
          <cell r="P126" t="str">
            <v>17302 | ESTAMPADOS TEXTILES</v>
          </cell>
        </row>
        <row r="127">
          <cell r="M127" t="str">
            <v>Mauricio (Isl.)</v>
          </cell>
          <cell r="P127" t="str">
            <v>17303 | APRESTOS/OTRO ACABADO TEXTIL</v>
          </cell>
        </row>
        <row r="128">
          <cell r="M128" t="str">
            <v>Mauritania</v>
          </cell>
          <cell r="P128" t="str">
            <v>17400 | ABANICOS</v>
          </cell>
        </row>
        <row r="129">
          <cell r="M129" t="str">
            <v>Mayotte</v>
          </cell>
          <cell r="P129" t="str">
            <v>17510 | ALFOMBRAS</v>
          </cell>
        </row>
        <row r="130">
          <cell r="M130" t="str">
            <v>Micronesia</v>
          </cell>
          <cell r="P130" t="str">
            <v>17520 | BRAMANTES</v>
          </cell>
        </row>
        <row r="131">
          <cell r="M131" t="str">
            <v>Moldavia</v>
          </cell>
          <cell r="P131" t="str">
            <v>17541 | PASAMANERIA</v>
          </cell>
        </row>
        <row r="132">
          <cell r="M132" t="str">
            <v>Mónaco</v>
          </cell>
          <cell r="P132" t="str">
            <v>17542 | TEJIDOS IMPREGNADOS</v>
          </cell>
        </row>
        <row r="133">
          <cell r="M133" t="str">
            <v>Mongolia</v>
          </cell>
          <cell r="P133" t="str">
            <v>17543 | ALGODON HIDROFILO</v>
          </cell>
        </row>
        <row r="134">
          <cell r="M134" t="str">
            <v>Montserrat</v>
          </cell>
          <cell r="P134" t="str">
            <v>17600 | GENEROS DE PUNTO EN PIEZA</v>
          </cell>
        </row>
        <row r="135">
          <cell r="M135" t="str">
            <v>Mozambique</v>
          </cell>
          <cell r="P135" t="str">
            <v>17710 | CALCETINES</v>
          </cell>
        </row>
        <row r="136">
          <cell r="M136" t="str">
            <v>Myanmar</v>
          </cell>
          <cell r="P136" t="str">
            <v>17720 | BLUSAS DE PUNTO</v>
          </cell>
        </row>
        <row r="137">
          <cell r="M137" t="str">
            <v>Naciones Unidas</v>
          </cell>
          <cell r="P137" t="str">
            <v>18100 | PIEL, PRENDAS DE</v>
          </cell>
        </row>
        <row r="138">
          <cell r="M138" t="str">
            <v>Namibia</v>
          </cell>
          <cell r="P138" t="str">
            <v>18210 | MILITARES, CONFEC. DE PRENDAS</v>
          </cell>
        </row>
        <row r="139">
          <cell r="M139" t="str">
            <v>Naranja</v>
          </cell>
          <cell r="P139" t="str">
            <v>18221 | ABRIGOS INFANTILES NO DE PUNTO</v>
          </cell>
        </row>
        <row r="140">
          <cell r="M140" t="str">
            <v>Nauru</v>
          </cell>
          <cell r="P140" t="str">
            <v>18222 | MODISTERIA A MEDIDA</v>
          </cell>
        </row>
        <row r="141">
          <cell r="M141" t="str">
            <v>Nepal</v>
          </cell>
          <cell r="P141" t="str">
            <v>18231 | ABRIGOS DE PUNTO EN GENERAL</v>
          </cell>
        </row>
        <row r="142">
          <cell r="M142" t="str">
            <v>Níger</v>
          </cell>
          <cell r="P142" t="str">
            <v>18232 | BATAS DE SEﾑORA</v>
          </cell>
        </row>
        <row r="143">
          <cell r="M143" t="str">
            <v>Nigeria</v>
          </cell>
          <cell r="P143" t="str">
            <v>18241 | ROPA BEBE</v>
          </cell>
        </row>
        <row r="144">
          <cell r="M144" t="str">
            <v>Nueva Caledonia</v>
          </cell>
          <cell r="P144" t="str">
            <v>18242 | CHANDALS</v>
          </cell>
        </row>
        <row r="145">
          <cell r="M145" t="str">
            <v>Nueva Zelanda</v>
          </cell>
          <cell r="P145" t="str">
            <v>18243 | ACCESORIOS DE VESTIDOS DE PIEL</v>
          </cell>
        </row>
        <row r="146">
          <cell r="M146" t="str">
            <v>Omán</v>
          </cell>
          <cell r="P146" t="str">
            <v>18301 | CURTIDO PIELES</v>
          </cell>
        </row>
        <row r="147">
          <cell r="M147" t="str">
            <v>OTAN</v>
          </cell>
          <cell r="P147" t="str">
            <v>18302 | ABRIGOS DE PIEL</v>
          </cell>
        </row>
        <row r="148">
          <cell r="M148" t="str">
            <v>Países Bajos</v>
          </cell>
          <cell r="P148" t="str">
            <v>19100 | CUERO SINTETICO</v>
          </cell>
        </row>
        <row r="149">
          <cell r="M149" t="str">
            <v>Pakistán</v>
          </cell>
          <cell r="P149" t="str">
            <v>19201 | BAULES DE OTRAS MATERIAS</v>
          </cell>
        </row>
        <row r="150">
          <cell r="M150" t="str">
            <v>Palaos</v>
          </cell>
          <cell r="P150" t="str">
            <v>19202 | BOTAS NO CALZADO</v>
          </cell>
        </row>
        <row r="151">
          <cell r="M151" t="str">
            <v>Palestina</v>
          </cell>
          <cell r="P151" t="str">
            <v>19300 | ALPARGATAS</v>
          </cell>
        </row>
        <row r="152">
          <cell r="M152" t="str">
            <v>PapuaNvaGuinea</v>
          </cell>
          <cell r="P152" t="str">
            <v>20101 | MADERA INDUSTRIAL</v>
          </cell>
        </row>
        <row r="153">
          <cell r="M153" t="str">
            <v>Polinesia fran.</v>
          </cell>
          <cell r="P153" t="str">
            <v>20102 | HARINA DE MADERA</v>
          </cell>
        </row>
        <row r="154">
          <cell r="M154" t="str">
            <v>Polonia</v>
          </cell>
          <cell r="P154" t="str">
            <v>20200 | CHAPA GRUESA DE MADERA</v>
          </cell>
        </row>
        <row r="155">
          <cell r="M155" t="str">
            <v>Puerto Rico</v>
          </cell>
          <cell r="P155" t="str">
            <v>20201 | ASERRADO DE MADERA</v>
          </cell>
        </row>
        <row r="156">
          <cell r="M156" t="str">
            <v>Qatar</v>
          </cell>
          <cell r="P156" t="str">
            <v>20301 | CARPINTERIA DE MADERA</v>
          </cell>
        </row>
        <row r="157">
          <cell r="M157" t="str">
            <v>Reino Unido</v>
          </cell>
          <cell r="P157" t="str">
            <v>20302 | ESTRUCTURAS DE MADERA</v>
          </cell>
        </row>
        <row r="158">
          <cell r="M158" t="str">
            <v>República Checa</v>
          </cell>
          <cell r="P158" t="str">
            <v>20400 | BANDEJAS DE MADERA</v>
          </cell>
        </row>
        <row r="159">
          <cell r="M159" t="str">
            <v>República Congo</v>
          </cell>
          <cell r="P159" t="str">
            <v>20510 | ARTICULOS DE ADORNO DE MADERA</v>
          </cell>
        </row>
        <row r="160">
          <cell r="M160" t="str">
            <v>República Congo</v>
          </cell>
          <cell r="P160" t="str">
            <v>20521 | AGLOMERADOS DE CORCHO</v>
          </cell>
        </row>
        <row r="161">
          <cell r="M161" t="str">
            <v>Reunión</v>
          </cell>
          <cell r="P161" t="str">
            <v>20522 | CESTERIA, ARTICULOS DE</v>
          </cell>
        </row>
        <row r="162">
          <cell r="M162" t="str">
            <v>Ruanda</v>
          </cell>
          <cell r="P162" t="str">
            <v>21111 | CARTON, PASTA VIRGEN DE</v>
          </cell>
        </row>
        <row r="163">
          <cell r="M163" t="str">
            <v>S.Cris.&amp; Nieves</v>
          </cell>
          <cell r="P163" t="str">
            <v>21112 | CARTON, PASTA REGENERADA DE</v>
          </cell>
        </row>
        <row r="164">
          <cell r="M164" t="str">
            <v>S.Pedr.,Miquel.</v>
          </cell>
          <cell r="P164" t="str">
            <v>21120 | BOBINAS DE PAPEL, CARTON</v>
          </cell>
        </row>
        <row r="165">
          <cell r="M165" t="str">
            <v>S.Tomé,Príncipe</v>
          </cell>
          <cell r="P165" t="str">
            <v>21210 | BOLSAS DE PAPEL</v>
          </cell>
        </row>
        <row r="166">
          <cell r="M166" t="str">
            <v>Sáhara occid.</v>
          </cell>
          <cell r="P166" t="str">
            <v>21220 | COMPRESAS DE CELULOSA</v>
          </cell>
        </row>
        <row r="167">
          <cell r="M167" t="str">
            <v>Samoa americana</v>
          </cell>
          <cell r="P167" t="str">
            <v>21230 | OFICINA,ARTICULOS PAPEL/CARTON</v>
          </cell>
        </row>
        <row r="168">
          <cell r="M168" t="str">
            <v>Samoa Occident.</v>
          </cell>
          <cell r="P168" t="str">
            <v>21240 | PAPEL DECORADO</v>
          </cell>
        </row>
        <row r="169">
          <cell r="M169" t="str">
            <v>San Marino</v>
          </cell>
          <cell r="P169" t="str">
            <v>21250 | BANDAS DE PAPEL</v>
          </cell>
        </row>
        <row r="170">
          <cell r="M170" t="str">
            <v>San Vicente</v>
          </cell>
          <cell r="P170" t="str">
            <v>22110 | CARTOGRAFIA</v>
          </cell>
        </row>
        <row r="171">
          <cell r="M171" t="str">
            <v>Santa Helena</v>
          </cell>
          <cell r="P171" t="str">
            <v>22120 | DIARIOS</v>
          </cell>
        </row>
        <row r="172">
          <cell r="M172" t="str">
            <v>Santa Lucía</v>
          </cell>
          <cell r="P172" t="str">
            <v>22130 | REVISTAS</v>
          </cell>
        </row>
        <row r="173">
          <cell r="M173" t="str">
            <v>Senegal</v>
          </cell>
          <cell r="P173" t="str">
            <v>22140 | CASETTES, GRABACION DE</v>
          </cell>
        </row>
        <row r="174">
          <cell r="M174" t="str">
            <v>Serbia/Monten.</v>
          </cell>
          <cell r="P174" t="str">
            <v>22150 | CALENDARIOS</v>
          </cell>
        </row>
        <row r="175">
          <cell r="M175" t="str">
            <v>Seychelles</v>
          </cell>
          <cell r="P175" t="str">
            <v>22210 | IMPRENTA</v>
          </cell>
        </row>
        <row r="176">
          <cell r="M176" t="str">
            <v>Sierra Leona</v>
          </cell>
          <cell r="P176" t="str">
            <v>22220 | ARTES GRAFICAS, IMPRESION</v>
          </cell>
        </row>
        <row r="177">
          <cell r="M177" t="str">
            <v>Singapur</v>
          </cell>
          <cell r="P177" t="str">
            <v>22230 | ENCUADERNACION</v>
          </cell>
        </row>
        <row r="178">
          <cell r="M178" t="str">
            <v>Somalia</v>
          </cell>
          <cell r="P178" t="str">
            <v>22240 | FOTOGRABADO</v>
          </cell>
        </row>
        <row r="179">
          <cell r="M179" t="str">
            <v>Sri Lanka</v>
          </cell>
          <cell r="P179" t="str">
            <v>22250 | ARTES GRAFICAS, ACTIV. ANEXAS</v>
          </cell>
        </row>
        <row r="180">
          <cell r="M180" t="str">
            <v>Suazilandia</v>
          </cell>
          <cell r="P180" t="str">
            <v>23100 | ALQUITRAN DE COQUERIAS</v>
          </cell>
        </row>
        <row r="181">
          <cell r="M181" t="str">
            <v>Sudáfrica</v>
          </cell>
          <cell r="P181" t="str">
            <v>23200 | ACEITES LUBRICANTES PETROLIF.</v>
          </cell>
        </row>
        <row r="182">
          <cell r="M182" t="str">
            <v>Sudán</v>
          </cell>
          <cell r="P182" t="str">
            <v>23301 | COMBUSTIBLES NUCLEARES</v>
          </cell>
        </row>
        <row r="183">
          <cell r="M183" t="str">
            <v>Suecia</v>
          </cell>
          <cell r="P183" t="str">
            <v>23302 | RESIDUOS RADIOACTIV.,PROCESADO</v>
          </cell>
        </row>
        <row r="184">
          <cell r="M184" t="str">
            <v>Surinam</v>
          </cell>
          <cell r="P184" t="str">
            <v>24110 | AIRE COMPRIMIDO O LIQUIDO</v>
          </cell>
        </row>
        <row r="185">
          <cell r="M185" t="str">
            <v>Svalbard</v>
          </cell>
          <cell r="P185" t="str">
            <v>24120 | COLORANTES</v>
          </cell>
        </row>
        <row r="186">
          <cell r="M186" t="str">
            <v>Tailandia</v>
          </cell>
          <cell r="P186" t="str">
            <v>24130 | ACIDOS INORGANICOS</v>
          </cell>
        </row>
        <row r="187">
          <cell r="M187" t="str">
            <v>Taiwan</v>
          </cell>
          <cell r="P187" t="str">
            <v>24141 | ANTRACENO</v>
          </cell>
        </row>
        <row r="188">
          <cell r="M188" t="str">
            <v>Tanzania</v>
          </cell>
          <cell r="P188" t="str">
            <v>24142 | ACEITES DE RESINA</v>
          </cell>
        </row>
        <row r="189">
          <cell r="M189" t="str">
            <v>Tayikistán</v>
          </cell>
          <cell r="P189" t="str">
            <v>24150 | ABONOS</v>
          </cell>
        </row>
        <row r="190">
          <cell r="M190" t="str">
            <v>Terr.br.Oc.Ind.</v>
          </cell>
          <cell r="P190" t="str">
            <v>24160 | ACETALES</v>
          </cell>
        </row>
        <row r="191">
          <cell r="M191" t="str">
            <v>Timor Oriental</v>
          </cell>
          <cell r="P191" t="str">
            <v>24170 | BUTILO, CAUCHO</v>
          </cell>
        </row>
        <row r="192">
          <cell r="M192" t="str">
            <v>Timor oriental</v>
          </cell>
          <cell r="P192" t="str">
            <v>24200 | EMULSIONES FITOSANITARIAS</v>
          </cell>
        </row>
        <row r="193">
          <cell r="M193" t="str">
            <v>Togo</v>
          </cell>
          <cell r="P193" t="str">
            <v>24301 | ACUARELAS</v>
          </cell>
        </row>
        <row r="194">
          <cell r="M194" t="str">
            <v>Tonga</v>
          </cell>
          <cell r="P194" t="str">
            <v>24302 | TINTAS DE IMPRENTA</v>
          </cell>
        </row>
        <row r="195">
          <cell r="M195" t="str">
            <v>TrinidadyTobago</v>
          </cell>
          <cell r="P195" t="str">
            <v>24410 | ADRENALINA</v>
          </cell>
        </row>
        <row r="196">
          <cell r="M196" t="str">
            <v>Túnez</v>
          </cell>
          <cell r="P196" t="str">
            <v>24421 | ESPECIALIDADES FARMACEUTICAS</v>
          </cell>
        </row>
        <row r="197">
          <cell r="M197" t="str">
            <v>Turkmenistán</v>
          </cell>
          <cell r="P197" t="str">
            <v>24422 | APOSITOS</v>
          </cell>
        </row>
        <row r="198">
          <cell r="M198" t="str">
            <v>Turquía</v>
          </cell>
          <cell r="P198" t="str">
            <v>24510 | BETUNES PARA EL CALZADO</v>
          </cell>
        </row>
        <row r="199">
          <cell r="M199" t="str">
            <v>Tuvalu</v>
          </cell>
          <cell r="P199" t="str">
            <v>24520 | ADITIVOS PARA BAﾑOS</v>
          </cell>
        </row>
        <row r="200">
          <cell r="M200" t="str">
            <v>Ucrania</v>
          </cell>
          <cell r="P200" t="str">
            <v>24611 | EXPLOSIVOS (EXC. BOMBAS/MINAS)</v>
          </cell>
        </row>
        <row r="201">
          <cell r="M201" t="str">
            <v>Uganda</v>
          </cell>
          <cell r="P201" t="str">
            <v>24612 | ANTORCHAS</v>
          </cell>
        </row>
        <row r="202">
          <cell r="M202" t="str">
            <v>Unión Europea</v>
          </cell>
          <cell r="P202" t="str">
            <v>24620 | ADHESIVOS</v>
          </cell>
        </row>
        <row r="203">
          <cell r="M203" t="str">
            <v>Uzbekistán</v>
          </cell>
          <cell r="P203" t="str">
            <v>24630 | ACEITES ESENCIALES</v>
          </cell>
        </row>
        <row r="204">
          <cell r="M204" t="str">
            <v>Vanuatu</v>
          </cell>
          <cell r="P204" t="str">
            <v>24640 | CARTULINAS SENSIBILIZADAS</v>
          </cell>
        </row>
        <row r="205">
          <cell r="M205" t="str">
            <v>Vietnam</v>
          </cell>
          <cell r="P205" t="str">
            <v>24650 | CINTAS VIRGENES DE AUDIO,VIDEO</v>
          </cell>
        </row>
        <row r="206">
          <cell r="M206" t="str">
            <v>Wallis,Futuna</v>
          </cell>
          <cell r="P206" t="str">
            <v>24661 | ACEITES INDUST., TRATAMIENTO</v>
          </cell>
        </row>
        <row r="207">
          <cell r="M207" t="str">
            <v>Yemen</v>
          </cell>
          <cell r="P207" t="str">
            <v>24662 | ABRASIVOS QUIMICOS</v>
          </cell>
        </row>
        <row r="208">
          <cell r="M208" t="str">
            <v>Yibuti</v>
          </cell>
          <cell r="P208" t="str">
            <v>24700 | ACRILICAS, FIBRAS</v>
          </cell>
        </row>
        <row r="209">
          <cell r="M209" t="str">
            <v>Zambia</v>
          </cell>
          <cell r="P209" t="str">
            <v>25110 | CAMARA DE CAUCHO</v>
          </cell>
        </row>
        <row r="210">
          <cell r="M210" t="str">
            <v>Zimbabue</v>
          </cell>
          <cell r="P210" t="str">
            <v>25120 | CUBIERTAS DE CAUCHO,REPARACION</v>
          </cell>
        </row>
        <row r="211">
          <cell r="P211" t="str">
            <v>25130 | AISLADORES DE CAUCHO</v>
          </cell>
        </row>
        <row r="212">
          <cell r="P212" t="str">
            <v>25210 | BANDAS DE PLASTICO</v>
          </cell>
        </row>
        <row r="213">
          <cell r="P213" t="str">
            <v>25220 | BIDONES DE PLASTICO</v>
          </cell>
        </row>
        <row r="214">
          <cell r="P214" t="str">
            <v>25230 | BAﾑERAS DE PLASTICO</v>
          </cell>
        </row>
        <row r="215">
          <cell r="P215" t="str">
            <v>25241 | AISLAMIENTOS DE PLASTICO</v>
          </cell>
        </row>
        <row r="216">
          <cell r="P216" t="str">
            <v>25242 | AISLADORES DE PLASTICO</v>
          </cell>
        </row>
        <row r="217">
          <cell r="P217" t="str">
            <v>26110 | ACRISTALAMIENTOS</v>
          </cell>
        </row>
        <row r="218">
          <cell r="P218" t="str">
            <v>26120 | AISLADORES DE VIDRIO O CRISTAL</v>
          </cell>
        </row>
        <row r="219">
          <cell r="P219" t="str">
            <v>26130 | BOTELLAS DE VIDRIO</v>
          </cell>
        </row>
        <row r="220">
          <cell r="P220" t="str">
            <v>26140 | AISLAMIENTOS TERMICOS,FIBRA DE</v>
          </cell>
        </row>
        <row r="221">
          <cell r="P221" t="str">
            <v>26150 | AISLADORES DE VIDRIO</v>
          </cell>
        </row>
        <row r="222">
          <cell r="P222" t="str">
            <v>26210 | ADORNOS DE CERAMICA</v>
          </cell>
        </row>
        <row r="223">
          <cell r="P223" t="str">
            <v>26220 | APARATOS SANITARIOS</v>
          </cell>
        </row>
        <row r="224">
          <cell r="P224" t="str">
            <v>26230 | AISLADORES CERAMICOS</v>
          </cell>
        </row>
        <row r="225">
          <cell r="P225" t="str">
            <v>26240 | ALFARERIA INDUSTRIAL</v>
          </cell>
        </row>
        <row r="226">
          <cell r="P226" t="str">
            <v>26250 | CASCOS DE CERAMICA</v>
          </cell>
        </row>
        <row r="227">
          <cell r="P227" t="str">
            <v>26260 | AISLANTES TERMICOS CERAMICOS</v>
          </cell>
        </row>
        <row r="228">
          <cell r="P228" t="str">
            <v>26300 | ARTICULOS DE GRES</v>
          </cell>
        </row>
        <row r="229">
          <cell r="P229" t="str">
            <v>26400 | ARTICULOS DE PORCELANA</v>
          </cell>
        </row>
        <row r="230">
          <cell r="P230" t="str">
            <v>26510 | CEMENTO ARTIFICIAL</v>
          </cell>
        </row>
        <row r="231">
          <cell r="P231" t="str">
            <v>26520 | CAL</v>
          </cell>
        </row>
        <row r="232">
          <cell r="P232" t="str">
            <v>26530 | ESCAYOLA</v>
          </cell>
        </row>
        <row r="233">
          <cell r="P233" t="str">
            <v>26610 | ACEQUIAS DE HORMIGON, PREFABR.</v>
          </cell>
        </row>
        <row r="234">
          <cell r="P234" t="str">
            <v>26620 | ARTICULOS DERIVADOS DEL YESO</v>
          </cell>
        </row>
        <row r="235">
          <cell r="P235" t="str">
            <v>26630 | HORMIGON PREPARADO</v>
          </cell>
        </row>
        <row r="236">
          <cell r="P236" t="str">
            <v>26640 | MORTEROS NO REFRACTARIOS</v>
          </cell>
        </row>
        <row r="237">
          <cell r="P237" t="str">
            <v>26650 | FIBROCEMENTO</v>
          </cell>
        </row>
        <row r="238">
          <cell r="P238" t="str">
            <v>26660 | MUROS, ELEMENTOS DE HORMIGON</v>
          </cell>
        </row>
        <row r="239">
          <cell r="P239" t="str">
            <v>26701 | ADOQUINES DE PIEDRA</v>
          </cell>
        </row>
        <row r="240">
          <cell r="P240" t="str">
            <v>26702 | PIEDRAS ARTIFICIALES</v>
          </cell>
        </row>
        <row r="241">
          <cell r="P241" t="str">
            <v>26810 | ABRASIVOS METALICOS, PAPELES</v>
          </cell>
        </row>
        <row r="242">
          <cell r="P242" t="str">
            <v>26820 | AGLOMERADOS ASFALTICOS</v>
          </cell>
        </row>
        <row r="243">
          <cell r="P243" t="str">
            <v>27100 | ACERO CECA</v>
          </cell>
        </row>
        <row r="244">
          <cell r="P244" t="str">
            <v>27211 | TUBOS DE HIERRO</v>
          </cell>
        </row>
        <row r="245">
          <cell r="P245" t="str">
            <v>27212 | ACCESORIOS DE TUBERIAS</v>
          </cell>
        </row>
        <row r="246">
          <cell r="P246" t="str">
            <v>27221 | ACERO MOLDEADO, PIEZAS DE</v>
          </cell>
        </row>
        <row r="247">
          <cell r="P247" t="str">
            <v>27222 | TUBOS DE ACERO, ACCESORIOS DE</v>
          </cell>
        </row>
        <row r="248">
          <cell r="P248" t="str">
            <v>27310 | ESTIRADO EN FRIO</v>
          </cell>
        </row>
        <row r="249">
          <cell r="P249" t="str">
            <v>27320 | LAMINADO EN FRIO DE ACERO</v>
          </cell>
        </row>
        <row r="250">
          <cell r="P250" t="str">
            <v>27330 | ACERO TREFILADO,ESTIRADO,PERF.</v>
          </cell>
        </row>
        <row r="251">
          <cell r="P251" t="str">
            <v>27340 | ALAMBRE ACERO,ESTIRADO EN FRIO</v>
          </cell>
        </row>
        <row r="252">
          <cell r="P252" t="str">
            <v>27351 | FERROALEACIONES NO CECA</v>
          </cell>
        </row>
        <row r="253">
          <cell r="P253" t="str">
            <v>27352 | HIERRO, POLVO DE</v>
          </cell>
        </row>
        <row r="254">
          <cell r="P254" t="str">
            <v>27410 | AMALGAMAS DE METALES PRECIOSOS</v>
          </cell>
        </row>
        <row r="255">
          <cell r="P255" t="str">
            <v>27420 | ALAMBRE DE ALUMINIO</v>
          </cell>
        </row>
        <row r="256">
          <cell r="P256" t="str">
            <v>27431 | CHAPA DE PLOMO</v>
          </cell>
        </row>
        <row r="257">
          <cell r="P257" t="str">
            <v>27432 | CHAPA DE ZINC Y ESTAﾑO</v>
          </cell>
        </row>
        <row r="258">
          <cell r="P258" t="str">
            <v>27433 | PERFILES DE ESTAﾑO</v>
          </cell>
        </row>
        <row r="259">
          <cell r="P259" t="str">
            <v>27440 | ALAMBRE DE COBRE</v>
          </cell>
        </row>
        <row r="260">
          <cell r="P260" t="str">
            <v>27450 | ALEAC.OTROS METALES NO FERREOS</v>
          </cell>
        </row>
        <row r="261">
          <cell r="P261" t="str">
            <v>27510 | FUNDICION, HIERRO</v>
          </cell>
        </row>
        <row r="262">
          <cell r="P262" t="str">
            <v>27520 | ACERO, FUNDICION DE</v>
          </cell>
        </row>
        <row r="263">
          <cell r="P263" t="str">
            <v>27530 | ALUMINIO, FUNDICION DE</v>
          </cell>
        </row>
        <row r="264">
          <cell r="P264" t="str">
            <v>27540 | BRONCE</v>
          </cell>
        </row>
        <row r="265">
          <cell r="P265" t="str">
            <v>28110 | ARMAZONES DE METAL</v>
          </cell>
        </row>
        <row r="266">
          <cell r="P266" t="str">
            <v>28120 | BALCONES METALICOS</v>
          </cell>
        </row>
        <row r="267">
          <cell r="P267" t="str">
            <v>28210 | CALDERAS</v>
          </cell>
        </row>
        <row r="268">
          <cell r="P268" t="str">
            <v>28220 | CALDERAS PARA CALEFAC. CENTRAL</v>
          </cell>
        </row>
        <row r="269">
          <cell r="P269" t="str">
            <v>28300 | GENERADORES DE VAPOR</v>
          </cell>
        </row>
        <row r="270">
          <cell r="P270" t="str">
            <v>28401 | ACERO FORJADO, PIEZAS DE</v>
          </cell>
        </row>
        <row r="271">
          <cell r="P271" t="str">
            <v>28402 | EMBUTICION DE METALES</v>
          </cell>
        </row>
        <row r="272">
          <cell r="P272" t="str">
            <v>28403 | METALURGIAS DE POLVO</v>
          </cell>
        </row>
        <row r="273">
          <cell r="P273" t="str">
            <v>28510 | ANODIZACION DE METALES</v>
          </cell>
        </row>
        <row r="274">
          <cell r="P274" t="str">
            <v>28520 | AJUSTE, TALLER DE</v>
          </cell>
        </row>
        <row r="275">
          <cell r="P275" t="str">
            <v>28610 | CUBERTERIAS</v>
          </cell>
        </row>
        <row r="276">
          <cell r="P276" t="str">
            <v>28621 | ABRAZADERAS</v>
          </cell>
        </row>
        <row r="277">
          <cell r="P277" t="str">
            <v>28622 | ACCESOR. PARA MAQUINAS HERRAM.</v>
          </cell>
        </row>
        <row r="278">
          <cell r="P278" t="str">
            <v>28630 | ARTICULOS DE CERRAJERIA</v>
          </cell>
        </row>
        <row r="279">
          <cell r="P279" t="str">
            <v>28710 | BALDES METALICOS</v>
          </cell>
        </row>
        <row r="280">
          <cell r="P280" t="str">
            <v>28720 | CAJAS METALICAS</v>
          </cell>
        </row>
        <row r="281">
          <cell r="P281" t="str">
            <v>28730 | AGUJAS DE COSER</v>
          </cell>
        </row>
        <row r="282">
          <cell r="P282" t="str">
            <v>28740 | ALCAYATAS</v>
          </cell>
        </row>
        <row r="283">
          <cell r="P283" t="str">
            <v>28751 | BAﾑERAS DE METAL COMUN</v>
          </cell>
        </row>
        <row r="284">
          <cell r="P284" t="str">
            <v>28752 | ARMARIOS BLINDADOS</v>
          </cell>
        </row>
        <row r="285">
          <cell r="P285" t="str">
            <v>28753 | ANCLAS DE BARCO</v>
          </cell>
        </row>
        <row r="286">
          <cell r="P286" t="str">
            <v>29110 | MOTORES PARA BARCOS</v>
          </cell>
        </row>
        <row r="287">
          <cell r="P287" t="str">
            <v>29121 | BOMBAS DE FLUIDOS</v>
          </cell>
        </row>
        <row r="288">
          <cell r="P288" t="str">
            <v>29122 | COMPRESORES</v>
          </cell>
        </row>
        <row r="289">
          <cell r="P289" t="str">
            <v>29130 | GRIFERIA</v>
          </cell>
        </row>
        <row r="290">
          <cell r="P290" t="str">
            <v>29141 | ENGRANAJES</v>
          </cell>
        </row>
        <row r="291">
          <cell r="P291" t="str">
            <v>29142 | CADENAS DE BICICLETA</v>
          </cell>
        </row>
        <row r="292">
          <cell r="P292" t="str">
            <v>29210 | HORNOS INDUST. O DE LABORATOR.</v>
          </cell>
        </row>
        <row r="293">
          <cell r="P293" t="str">
            <v>29221 | ASCENSORES</v>
          </cell>
        </row>
        <row r="294">
          <cell r="P294" t="str">
            <v>29222 | CARRETILLAS ELEVADORAS</v>
          </cell>
        </row>
        <row r="295">
          <cell r="P295" t="str">
            <v>29230 | ACONDICIONADORES INDUSTRIALES</v>
          </cell>
        </row>
        <row r="296">
          <cell r="P296" t="str">
            <v>29242 | BALANZAS NO DE PRECISION</v>
          </cell>
        </row>
        <row r="297">
          <cell r="P297" t="str">
            <v>29243 | EXTINT./EQUIPO CONTRA INCENDIO</v>
          </cell>
        </row>
        <row r="298">
          <cell r="P298" t="str">
            <v>29310 | AGRICOLA, TRACTORES</v>
          </cell>
        </row>
        <row r="299">
          <cell r="P299" t="str">
            <v>29321 | AGRICOLA,MAQUINARIA,NO TRACTO.</v>
          </cell>
        </row>
        <row r="300">
          <cell r="P300" t="str">
            <v>29401 | MAQUINAS DE TRABAJO DE METALES</v>
          </cell>
        </row>
        <row r="301">
          <cell r="P301" t="str">
            <v>29402 | MAQUINAS DE MADERA Y CORCHO</v>
          </cell>
        </row>
        <row r="302">
          <cell r="P302" t="str">
            <v>29403 | MAQUINAS DE MINERAL. NO METAL.</v>
          </cell>
        </row>
        <row r="303">
          <cell r="P303" t="str">
            <v>29510 | LINGOTERAS</v>
          </cell>
        </row>
        <row r="304">
          <cell r="P304" t="str">
            <v>29520 | MAQUINAS DE MINERIA/OBRAS PUB.</v>
          </cell>
        </row>
        <row r="305">
          <cell r="P305" t="str">
            <v>29530 | MAQUINAS PARA ALIMENTA./BEBIDA</v>
          </cell>
        </row>
        <row r="306">
          <cell r="P306" t="str">
            <v>29541 | MAQUINAS DE COSER</v>
          </cell>
        </row>
        <row r="307">
          <cell r="P307" t="str">
            <v>29542 | LAVADORAS</v>
          </cell>
        </row>
        <row r="308">
          <cell r="P308" t="str">
            <v>29543 | CALZADO, MAQUINAS PARA INDUST.</v>
          </cell>
        </row>
        <row r="309">
          <cell r="P309" t="str">
            <v>29550 | MAQUINAS DE PAPEL/ARTES GRAFI.</v>
          </cell>
        </row>
        <row r="310">
          <cell r="P310" t="str">
            <v>29561 | ARTES GRAFICAS,MAQUINAS FAB.DE</v>
          </cell>
        </row>
        <row r="311">
          <cell r="P311" t="str">
            <v>29562 | CAUCHO,MAQUINAS PARA FABRIC.DE</v>
          </cell>
        </row>
        <row r="312">
          <cell r="P312" t="str">
            <v>29563 | MOLDES DE FUNDICION</v>
          </cell>
        </row>
        <row r="313">
          <cell r="P313" t="str">
            <v>29601 | ARMAMENTO PESADO</v>
          </cell>
        </row>
        <row r="314">
          <cell r="P314" t="str">
            <v>29602 | ARMAS DE CAZA</v>
          </cell>
        </row>
        <row r="315">
          <cell r="P315" t="str">
            <v>29710 | ACONDICIONADORES DOME. DE AIRE</v>
          </cell>
        </row>
        <row r="316">
          <cell r="P316" t="str">
            <v>29720 | APARATOS DOMESTICOS NO ELECT.</v>
          </cell>
        </row>
        <row r="317">
          <cell r="P317" t="str">
            <v>30010 | CAJAS REGISTRADORAS</v>
          </cell>
        </row>
        <row r="318">
          <cell r="P318" t="str">
            <v>30020 | IMPRESORAS</v>
          </cell>
        </row>
        <row r="319">
          <cell r="P319" t="str">
            <v>31100 | ALTERNADORES</v>
          </cell>
        </row>
        <row r="320">
          <cell r="P320" t="str">
            <v>31200 | CAJAS DE EMPALME</v>
          </cell>
        </row>
        <row r="321">
          <cell r="P321" t="str">
            <v>31300 | CABLES ELECTRICOS</v>
          </cell>
        </row>
        <row r="322">
          <cell r="P322" t="str">
            <v>31400 | ACUMULADOR.ELECT. Y SUS PIEZAS</v>
          </cell>
        </row>
        <row r="323">
          <cell r="P323" t="str">
            <v>31501 | BOMBILLAS</v>
          </cell>
        </row>
        <row r="324">
          <cell r="P324" t="str">
            <v>31502 | ANUNCIOS LUMINOSOS</v>
          </cell>
        </row>
        <row r="325">
          <cell r="P325" t="str">
            <v>31611 | ALTERNADORES PARA AUTOMOVILES</v>
          </cell>
        </row>
        <row r="326">
          <cell r="P326" t="str">
            <v>31612 | CLAXONS</v>
          </cell>
        </row>
        <row r="327">
          <cell r="P327" t="str">
            <v>31620 | AISLANTES DIST.VIDRIO/CERAMICA</v>
          </cell>
        </row>
        <row r="328">
          <cell r="P328" t="str">
            <v>32100 | AMPLIFICADORES DE IMAGEN</v>
          </cell>
        </row>
        <row r="329">
          <cell r="P329" t="str">
            <v>32201 | ANTENAS DE EMISION</v>
          </cell>
        </row>
        <row r="330">
          <cell r="P330" t="str">
            <v>32202 | CENTRALITAS TELEFONICAS</v>
          </cell>
        </row>
        <row r="331">
          <cell r="P331" t="str">
            <v>32300 | ALTAVOCES</v>
          </cell>
        </row>
        <row r="332">
          <cell r="P332" t="str">
            <v>33100 | APARATOS PARA CIRUGIA</v>
          </cell>
        </row>
        <row r="333">
          <cell r="P333" t="str">
            <v>33200 | APARATOS ELECTROMEDICOS</v>
          </cell>
        </row>
        <row r="334">
          <cell r="P334" t="str">
            <v>33401 | GAFAS</v>
          </cell>
        </row>
        <row r="335">
          <cell r="P335" t="str">
            <v>33402 | CAMARA FOTOGRAFICA</v>
          </cell>
        </row>
        <row r="336">
          <cell r="P336" t="str">
            <v>34100 | AUTOMOVILES,CONTRUC. Y MONTAJE</v>
          </cell>
        </row>
        <row r="337">
          <cell r="P337" t="str">
            <v>34200 | AUTOMOVILES, CARROCERIA DE</v>
          </cell>
        </row>
        <row r="338">
          <cell r="P338" t="str">
            <v>34300 | AMORTIGUADORES PARA AUTOMOVIL.</v>
          </cell>
        </row>
        <row r="339">
          <cell r="P339" t="str">
            <v>35111 | ASTILLEROS BARCOS, EXC. RECREO</v>
          </cell>
        </row>
        <row r="340">
          <cell r="P340" t="str">
            <v>35112 | BARCOS, DESGUACE</v>
          </cell>
        </row>
        <row r="341">
          <cell r="P341" t="str">
            <v>35120 | ASTILLEROS DE BARCOS DE RECREO</v>
          </cell>
        </row>
        <row r="342">
          <cell r="P342" t="str">
            <v>35200 | AUTOMOTORES</v>
          </cell>
        </row>
        <row r="343">
          <cell r="P343" t="str">
            <v>35300 | AERONAVES</v>
          </cell>
        </row>
        <row r="344">
          <cell r="P344" t="str">
            <v>35410 | CICLOMOTORES</v>
          </cell>
        </row>
        <row r="345">
          <cell r="P345" t="str">
            <v>35420 | BICICLETAS</v>
          </cell>
        </row>
        <row r="346">
          <cell r="P346" t="str">
            <v>35430 | INVALIDOS, VEHICULOS PARA</v>
          </cell>
        </row>
        <row r="347">
          <cell r="P347" t="str">
            <v>35500 | CARRETAS</v>
          </cell>
        </row>
        <row r="348">
          <cell r="P348" t="str">
            <v>36110 | ASIENTOS</v>
          </cell>
        </row>
        <row r="349">
          <cell r="P349" t="str">
            <v>36120 | CABINAS TELEFONICAS</v>
          </cell>
        </row>
        <row r="350">
          <cell r="P350" t="str">
            <v>36130 | MUEBLES DE COCINA Y BAﾑO</v>
          </cell>
        </row>
        <row r="351">
          <cell r="P351" t="str">
            <v>36141 | CAMAS DE MADERA</v>
          </cell>
        </row>
        <row r="352">
          <cell r="P352" t="str">
            <v>36142 | MUEBLES DE JARDIN</v>
          </cell>
        </row>
        <row r="353">
          <cell r="P353" t="str">
            <v>36143 | MAMPARAS METALICAS</v>
          </cell>
        </row>
        <row r="354">
          <cell r="P354" t="str">
            <v>36144 | MUEBLES DE MADERA, ACABADO DE</v>
          </cell>
        </row>
        <row r="355">
          <cell r="P355" t="str">
            <v>36150 | COLCHONES</v>
          </cell>
        </row>
        <row r="356">
          <cell r="P356" t="str">
            <v>36210 | MEDALLAS</v>
          </cell>
        </row>
        <row r="357">
          <cell r="P357" t="str">
            <v>36221 | ARTICULOS DE JOYERIA</v>
          </cell>
        </row>
        <row r="358">
          <cell r="P358" t="str">
            <v>36222 | ORFEBRERIA</v>
          </cell>
        </row>
        <row r="359">
          <cell r="P359" t="str">
            <v>36300 | ACCESORIOS MUSICALES</v>
          </cell>
        </row>
        <row r="360">
          <cell r="P360" t="str">
            <v>36400 | ARTICULOS DEPORT. NO PLASTICOS</v>
          </cell>
        </row>
        <row r="361">
          <cell r="P361" t="str">
            <v>36500 | BILLARES</v>
          </cell>
        </row>
        <row r="362">
          <cell r="P362" t="str">
            <v>36610 | BISUTERIA</v>
          </cell>
        </row>
        <row r="363">
          <cell r="P363" t="str">
            <v>36620 | BROCHAS</v>
          </cell>
        </row>
        <row r="364">
          <cell r="P364" t="str">
            <v>36630 | AMBAR, ARTICULOS DE</v>
          </cell>
        </row>
        <row r="365">
          <cell r="P365" t="str">
            <v>37100 | CHATARRA, RECICLAJE DE</v>
          </cell>
        </row>
        <row r="366">
          <cell r="P366" t="str">
            <v>37200 | PAPEL, RECICLAJE DE</v>
          </cell>
        </row>
        <row r="367">
          <cell r="P367" t="str">
            <v>40101 | CENTRAL HIDROELECTRICA</v>
          </cell>
        </row>
        <row r="368">
          <cell r="P368" t="str">
            <v>40102 | CENTRAL TERMICA CLASICA</v>
          </cell>
        </row>
        <row r="369">
          <cell r="P369" t="str">
            <v>40103 | CENTRAL NUCLEAR</v>
          </cell>
        </row>
        <row r="370">
          <cell r="P370" t="str">
            <v>40104 | ELECTRICIDAD, PRODUC. EOLICA</v>
          </cell>
        </row>
        <row r="371">
          <cell r="P371" t="str">
            <v>40105 | DIST. ELECT.,(CICLO COMPLETO)</v>
          </cell>
        </row>
        <row r="372">
          <cell r="P372" t="str">
            <v>40106 | DIST. ELECT., DISTRIBUIDORES</v>
          </cell>
        </row>
        <row r="373">
          <cell r="P373" t="str">
            <v>40200 | ALQUITRAN DE FABRICAS DE GAS</v>
          </cell>
        </row>
        <row r="374">
          <cell r="P374" t="str">
            <v>40300 | AGUA CALIENTE Y DISTRIBUCION</v>
          </cell>
        </row>
        <row r="375">
          <cell r="P375" t="str">
            <v>41000 | ABASTECIM. DE AGUA,EMPRESAS DE</v>
          </cell>
        </row>
        <row r="376">
          <cell r="P376" t="str">
            <v>45111 | DEMOLICION DE INMUEBLES</v>
          </cell>
        </row>
        <row r="377">
          <cell r="P377" t="str">
            <v>45112 | MOVIMIENTOS DE TIERRA</v>
          </cell>
        </row>
        <row r="378">
          <cell r="P378" t="str">
            <v>45120 | PERFORACIONES PARA LA CONSTRU.</v>
          </cell>
        </row>
        <row r="379">
          <cell r="P379" t="str">
            <v>45211 | OBRAS</v>
          </cell>
        </row>
        <row r="380">
          <cell r="P380" t="str">
            <v>45212 | CONSTRUCCION DE PUENTES</v>
          </cell>
        </row>
        <row r="381">
          <cell r="P381" t="str">
            <v>45213 | CONSTRUCCION DE TUNELES</v>
          </cell>
        </row>
        <row r="382">
          <cell r="P382" t="str">
            <v>45214 | CONSTRUCCION DE REDES DE ABTO.</v>
          </cell>
        </row>
        <row r="383">
          <cell r="P383" t="str">
            <v>45215 | CONSTRUCCION TENDIDOS ELECTRI.</v>
          </cell>
        </row>
        <row r="384">
          <cell r="P384" t="str">
            <v>45216 | CONSTRUC. PARA TELECOMUNICAC.</v>
          </cell>
        </row>
        <row r="385">
          <cell r="P385" t="str">
            <v>45217 | CONSTRUCCION OTROS</v>
          </cell>
        </row>
        <row r="386">
          <cell r="P386" t="str">
            <v>45221 | CONSTRUC. CUBIERTAS Y TEJADOS</v>
          </cell>
        </row>
        <row r="387">
          <cell r="P387" t="str">
            <v>45222 | CONSTRUCCION (IMPERMEABILIZACI</v>
          </cell>
        </row>
        <row r="388">
          <cell r="P388" t="str">
            <v>45231 | CONSTRUCCION DE VIAS FERREAS</v>
          </cell>
        </row>
        <row r="389">
          <cell r="P389" t="str">
            <v>45232 | CARRETERAS</v>
          </cell>
        </row>
        <row r="390">
          <cell r="P390" t="str">
            <v>45240 | ACEQUIAS EN GENERAL</v>
          </cell>
        </row>
        <row r="391">
          <cell r="P391" t="str">
            <v>45251 | MONTAJE ARMAZONES/EST. METALI.</v>
          </cell>
        </row>
        <row r="392">
          <cell r="P392" t="str">
            <v>45252 | CIMENTACIONES</v>
          </cell>
        </row>
        <row r="393">
          <cell r="P393" t="str">
            <v>45253 | CONST. POZOS, MINAS, CHIMENEAS</v>
          </cell>
        </row>
        <row r="394">
          <cell r="P394" t="str">
            <v>45310 | INSTALACIONES ELECTRICAS</v>
          </cell>
        </row>
        <row r="395">
          <cell r="P395" t="str">
            <v>45320 | AISLAM. TERMICOS, ACUSTICOS</v>
          </cell>
        </row>
        <row r="396">
          <cell r="P396" t="str">
            <v>45331 | FONTANERIA</v>
          </cell>
        </row>
        <row r="397">
          <cell r="P397" t="str">
            <v>45332 | CLIMATIZACION, INSTALACION DE</v>
          </cell>
        </row>
        <row r="398">
          <cell r="P398" t="str">
            <v>45340 | ILUMINAC. OBRAS PUB.,INSTALAC.</v>
          </cell>
        </row>
        <row r="399">
          <cell r="P399" t="str">
            <v>45410 | REVOCAMIENTO</v>
          </cell>
        </row>
        <row r="400">
          <cell r="P400" t="str">
            <v>45421 | CARPINTERIA NO METAL.,INSTALA.</v>
          </cell>
        </row>
        <row r="401">
          <cell r="P401" t="str">
            <v>45422 | CARPINTERIA METALICA, INSTALA.</v>
          </cell>
        </row>
        <row r="402">
          <cell r="P402" t="str">
            <v>45430 | REVEST. SUELOS/PAREDES, INSTA.</v>
          </cell>
        </row>
        <row r="403">
          <cell r="P403" t="str">
            <v>45441 | ACRISTALAMIENTO, INSTALACION</v>
          </cell>
        </row>
        <row r="404">
          <cell r="P404" t="str">
            <v>45442 | PINTURA EDIFICIOS Y OBRA CIVIL</v>
          </cell>
        </row>
        <row r="405">
          <cell r="P405" t="str">
            <v>45450 | LIMPIEZA EXTERIOR DE EDIFICIOS</v>
          </cell>
        </row>
        <row r="406">
          <cell r="P406" t="str">
            <v>45500 | ANDAMIOS CON SU MONTAJE</v>
          </cell>
        </row>
        <row r="407">
          <cell r="P407" t="str">
            <v>50101 | AUTOMOVILES</v>
          </cell>
        </row>
        <row r="408">
          <cell r="P408" t="str">
            <v>50102 | CAMIONES, VENTA DE</v>
          </cell>
        </row>
        <row r="409">
          <cell r="P409" t="str">
            <v>50103 | AUTOMOVILES,VENTA DE CARAVANAS</v>
          </cell>
        </row>
        <row r="410">
          <cell r="P410" t="str">
            <v>50200 | AUTOMOVILES, REPARACION DE</v>
          </cell>
        </row>
        <row r="411">
          <cell r="P411" t="str">
            <v>50301 | AUTOMOVILES,VENTA DE REPUESTOS</v>
          </cell>
        </row>
        <row r="412">
          <cell r="P412" t="str">
            <v>50302 | AUTOMOVILES, ACCESORIOS DE</v>
          </cell>
        </row>
        <row r="413">
          <cell r="P413" t="str">
            <v>50400 | AUTOMOVILES, ACCESORIOS DE</v>
          </cell>
        </row>
        <row r="414">
          <cell r="P414" t="str">
            <v>50500 | ACEITES LUBRICANTES</v>
          </cell>
        </row>
        <row r="415">
          <cell r="P415" t="str">
            <v>51110 | INTERM. MATER. PRIMAS AGRARIAS</v>
          </cell>
        </row>
        <row r="416">
          <cell r="P416" t="str">
            <v>51120 | INTERM. MINERALES, METALES</v>
          </cell>
        </row>
        <row r="417">
          <cell r="P417" t="str">
            <v>51130 | INTERM. MADERA/MATE. CONSTRUC.</v>
          </cell>
        </row>
        <row r="418">
          <cell r="P418" t="str">
            <v>51140 | FOTOCOPIAS, DELEG. APARATOS DE</v>
          </cell>
        </row>
        <row r="419">
          <cell r="P419" t="str">
            <v>51150 | INTERMEDIARIOS DE ARTICULOS DE</v>
          </cell>
        </row>
        <row r="420">
          <cell r="P420" t="str">
            <v>51160 | INTERMEDIARIOS DE CALZADO</v>
          </cell>
        </row>
        <row r="421">
          <cell r="P421" t="str">
            <v>51170 | INTERMEDIARIOS DE ALIMENTACION</v>
          </cell>
        </row>
        <row r="422">
          <cell r="P422" t="str">
            <v>51180 | INTERMEDIARIOS DE MAQUINARIA</v>
          </cell>
        </row>
        <row r="423">
          <cell r="P423" t="str">
            <v>51190 | INTERM. DE PRODUCTOS VARIADOS</v>
          </cell>
        </row>
        <row r="424">
          <cell r="P424" t="str">
            <v>51210 | ALIMENTOS PARA GANADO</v>
          </cell>
        </row>
        <row r="425">
          <cell r="P425" t="str">
            <v>51220 | ARBORICULTURA</v>
          </cell>
        </row>
        <row r="426">
          <cell r="P426" t="str">
            <v>51230 | ANIMALES VIVOS</v>
          </cell>
        </row>
        <row r="427">
          <cell r="P427" t="str">
            <v>51240 | CUERO EN BRUTO</v>
          </cell>
        </row>
        <row r="428">
          <cell r="P428" t="str">
            <v>51250 | TABACO EN RAMA</v>
          </cell>
        </row>
        <row r="429">
          <cell r="P429" t="str">
            <v>51310 | ACEITUNA</v>
          </cell>
        </row>
        <row r="430">
          <cell r="P430" t="str">
            <v>51321 | CARNE</v>
          </cell>
        </row>
        <row r="431">
          <cell r="P431" t="str">
            <v>51322 | CHACINA</v>
          </cell>
        </row>
        <row r="432">
          <cell r="P432" t="str">
            <v>51323 | ANIMALES DE GRANJA</v>
          </cell>
        </row>
        <row r="433">
          <cell r="P433" t="str">
            <v>51330 | ACEITES COMESTIBLES</v>
          </cell>
        </row>
        <row r="434">
          <cell r="P434" t="str">
            <v>51340 | AGUA MINERAL</v>
          </cell>
        </row>
        <row r="435">
          <cell r="P435" t="str">
            <v>51350 | TABACO</v>
          </cell>
        </row>
        <row r="436">
          <cell r="P436" t="str">
            <v>51360 | AZUCAR</v>
          </cell>
        </row>
        <row r="437">
          <cell r="P437" t="str">
            <v>51370 | CACAO</v>
          </cell>
        </row>
        <row r="438">
          <cell r="P438" t="str">
            <v>51381 | MARISCOS</v>
          </cell>
        </row>
        <row r="439">
          <cell r="P439" t="str">
            <v>51382 | ALIMENTOS INFANTILES</v>
          </cell>
        </row>
        <row r="440">
          <cell r="P440" t="str">
            <v>51391 | CAMARA FRIGORIF.,MAYORIS.CARNE</v>
          </cell>
        </row>
        <row r="441">
          <cell r="P441" t="str">
            <v>51392 | VARIOS DE ALIMENTOS, BEBIDAS</v>
          </cell>
        </row>
        <row r="442">
          <cell r="P442" t="str">
            <v>51410 | COLCHAS</v>
          </cell>
        </row>
        <row r="443">
          <cell r="P443" t="str">
            <v>51421 | CAMISERIA</v>
          </cell>
        </row>
        <row r="444">
          <cell r="P444" t="str">
            <v>51422 | ALPARGATAS</v>
          </cell>
        </row>
        <row r="445">
          <cell r="P445" t="str">
            <v>51423 | ACCESORIOS DE VESTIR</v>
          </cell>
        </row>
        <row r="446">
          <cell r="P446" t="str">
            <v>51430 | ANTENAS</v>
          </cell>
        </row>
        <row r="447">
          <cell r="P447" t="str">
            <v>51441 | ALFARERIA, PRODUCTOS DE</v>
          </cell>
        </row>
        <row r="448">
          <cell r="P448" t="str">
            <v>51442 | DROGUERIA</v>
          </cell>
        </row>
        <row r="449">
          <cell r="P449" t="str">
            <v>51450 | BELLEZA, PRODUCTOS DE</v>
          </cell>
        </row>
        <row r="450">
          <cell r="P450" t="str">
            <v>51460 | FARMACEUTICOS, PRODUCTOS</v>
          </cell>
        </row>
        <row r="451">
          <cell r="P451" t="str">
            <v>51471 | DISTRIBUCION DE LIBROS</v>
          </cell>
        </row>
        <row r="452">
          <cell r="P452" t="str">
            <v>51472 | JUEGOS</v>
          </cell>
        </row>
        <row r="453">
          <cell r="P453" t="str">
            <v>51473 | JOYERIA, ARTICULOS DE</v>
          </cell>
        </row>
        <row r="454">
          <cell r="P454" t="str">
            <v>51474 | BOLSOS</v>
          </cell>
        </row>
        <row r="455">
          <cell r="P455" t="str">
            <v>51475 | ALFOMBRAS</v>
          </cell>
        </row>
        <row r="456">
          <cell r="P456" t="str">
            <v>51510 | ACEITES NO COMESTIBLES</v>
          </cell>
        </row>
        <row r="457">
          <cell r="P457" t="str">
            <v>51521 | MINERALES METALICOS</v>
          </cell>
        </row>
        <row r="458">
          <cell r="P458" t="str">
            <v>51522 | ACERO</v>
          </cell>
        </row>
        <row r="459">
          <cell r="P459" t="str">
            <v>51523 | METALES PRECIOSOS</v>
          </cell>
        </row>
        <row r="460">
          <cell r="P460" t="str">
            <v>51524 | BRONCE</v>
          </cell>
        </row>
        <row r="461">
          <cell r="P461" t="str">
            <v>51531 | CORCHO EN BRUTO</v>
          </cell>
        </row>
        <row r="462">
          <cell r="P462" t="str">
            <v>51532 | BARNICES</v>
          </cell>
        </row>
        <row r="463">
          <cell r="P463" t="str">
            <v>51533 | ARENA</v>
          </cell>
        </row>
        <row r="464">
          <cell r="P464" t="str">
            <v>51534 | BAÑERAS</v>
          </cell>
        </row>
        <row r="465">
          <cell r="P465" t="str">
            <v>51541 | CUCHILLERIA</v>
          </cell>
        </row>
        <row r="466">
          <cell r="P466" t="str">
            <v>51542 | CALEFACCION, MATERIALES DE</v>
          </cell>
        </row>
        <row r="467">
          <cell r="P467" t="str">
            <v>51551 | ABONOS</v>
          </cell>
        </row>
        <row r="468">
          <cell r="P468" t="str">
            <v>51552 | CAUCHO</v>
          </cell>
        </row>
        <row r="469">
          <cell r="P469" t="str">
            <v>51553 | ACEITES INDUSTRIALES</v>
          </cell>
        </row>
        <row r="470">
          <cell r="P470" t="str">
            <v>51560 | ALGODON</v>
          </cell>
        </row>
        <row r="471">
          <cell r="P471" t="str">
            <v>51571 | CHATARRA</v>
          </cell>
        </row>
        <row r="472">
          <cell r="P472" t="str">
            <v>51572 | CARTON DE DESECHOS</v>
          </cell>
        </row>
        <row r="473">
          <cell r="P473" t="str">
            <v>51611 | MAQUINARIA PARA MADERA, CORCHO</v>
          </cell>
        </row>
        <row r="474">
          <cell r="P474" t="str">
            <v>51612 | HERRAMIENT. PARA TRABAJAR MET.</v>
          </cell>
        </row>
        <row r="475">
          <cell r="P475" t="str">
            <v>51620 | MAQUINARIA PARA CONST./MINERIA</v>
          </cell>
        </row>
        <row r="476">
          <cell r="P476" t="str">
            <v>51630 | MAQUINARIA PARA INDUST. TEXTIL</v>
          </cell>
        </row>
        <row r="477">
          <cell r="P477" t="str">
            <v>51640 | EQUIPOS DE OFICINA</v>
          </cell>
        </row>
        <row r="478">
          <cell r="P478" t="str">
            <v>51651 | COMPONENTES ELECTRONICOS</v>
          </cell>
        </row>
        <row r="479">
          <cell r="P479" t="str">
            <v>51652 | ASCENSORES</v>
          </cell>
        </row>
        <row r="480">
          <cell r="P480" t="str">
            <v>51653 | AERONAVES</v>
          </cell>
        </row>
        <row r="481">
          <cell r="P481" t="str">
            <v>51660 | CABAÑA Y APEROS DE LABRANZA</v>
          </cell>
        </row>
        <row r="482">
          <cell r="P482" t="str">
            <v>51680 | COMER MAYOR OTRAS MAQ./EQ. OFI</v>
          </cell>
        </row>
        <row r="483">
          <cell r="P483" t="str">
            <v>52111 | HIPERMERCADOS,MAS DE 2.500 M2.</v>
          </cell>
        </row>
        <row r="484">
          <cell r="P484" t="str">
            <v>52112 | COOPERATIVAS DE CONSUMO</v>
          </cell>
        </row>
        <row r="485">
          <cell r="P485" t="str">
            <v>52113 | SUPERSERVIC.,ENTRE 120-399 M2.</v>
          </cell>
        </row>
        <row r="486">
          <cell r="P486" t="str">
            <v>52114 | AUTOSERVICIOS (ENTRE 119 Y 40</v>
          </cell>
        </row>
        <row r="487">
          <cell r="P487" t="str">
            <v>52115 | LONJAS DE COMERCIO</v>
          </cell>
        </row>
        <row r="488">
          <cell r="P488" t="str">
            <v>52121 | BAZAR</v>
          </cell>
        </row>
        <row r="489">
          <cell r="P489" t="str">
            <v>52122 | ALMONEDA</v>
          </cell>
        </row>
        <row r="490">
          <cell r="P490" t="str">
            <v>52210 | FRUTERIA</v>
          </cell>
        </row>
        <row r="491">
          <cell r="P491" t="str">
            <v>52220 | CARNE</v>
          </cell>
        </row>
        <row r="492">
          <cell r="P492" t="str">
            <v>52230 | MARISCOS</v>
          </cell>
        </row>
        <row r="493">
          <cell r="P493" t="str">
            <v>52240 | BOLLERIA</v>
          </cell>
        </row>
        <row r="494">
          <cell r="P494" t="str">
            <v>52250 | BEBIDAS EN GENERAL</v>
          </cell>
        </row>
        <row r="495">
          <cell r="P495" t="str">
            <v>52260 | ESTANCO</v>
          </cell>
        </row>
        <row r="496">
          <cell r="P496" t="str">
            <v>52271 | HUEVOS</v>
          </cell>
        </row>
        <row r="497">
          <cell r="P497" t="str">
            <v>52272 | ABACERIA</v>
          </cell>
        </row>
        <row r="498">
          <cell r="P498" t="str">
            <v>52310 | FARMACIA</v>
          </cell>
        </row>
        <row r="499">
          <cell r="P499" t="str">
            <v>52320 | HERBORISTERIA</v>
          </cell>
        </row>
        <row r="500">
          <cell r="P500" t="str">
            <v>52330 | ASEO, PRODUCTOS DE</v>
          </cell>
        </row>
        <row r="501">
          <cell r="P501" t="str">
            <v>52410 | COLCHAS</v>
          </cell>
        </row>
        <row r="502">
          <cell r="P502" t="str">
            <v>52420 | BOLSOS</v>
          </cell>
        </row>
        <row r="503">
          <cell r="P503" t="str">
            <v>52430 | ALPARGATERIA</v>
          </cell>
        </row>
        <row r="504">
          <cell r="P504" t="str">
            <v>52440 | ALFARERIA, PRODUCTOS DE</v>
          </cell>
        </row>
        <row r="505">
          <cell r="P505" t="str">
            <v>52450 | TALLERES ELECTRICOS</v>
          </cell>
        </row>
        <row r="506">
          <cell r="P506" t="str">
            <v>52461 | CRISTAL (VIDRIO PLANO)</v>
          </cell>
        </row>
        <row r="507">
          <cell r="P507" t="str">
            <v>52462 | BRICOLAGE</v>
          </cell>
        </row>
        <row r="508">
          <cell r="P508" t="str">
            <v>52463 | LADRILLOS</v>
          </cell>
        </row>
        <row r="509">
          <cell r="P509" t="str">
            <v>52470 | DIARIOS</v>
          </cell>
        </row>
        <row r="510">
          <cell r="P510" t="str">
            <v>52481 | CINEMATOGRAFIA</v>
          </cell>
        </row>
        <row r="511">
          <cell r="P511" t="str">
            <v>52482 | JOYERIA</v>
          </cell>
        </row>
        <row r="512">
          <cell r="P512" t="str">
            <v>52483 | ARMERIA</v>
          </cell>
        </row>
        <row r="513">
          <cell r="P513" t="str">
            <v>52484 | ALFOMBRAS</v>
          </cell>
        </row>
        <row r="514">
          <cell r="P514" t="str">
            <v>52485 | ABONOS</v>
          </cell>
        </row>
        <row r="515">
          <cell r="P515" t="str">
            <v>52486 | BUTANO</v>
          </cell>
        </row>
        <row r="516">
          <cell r="P516" t="str">
            <v>52487 | CUADROS, PINTURAS</v>
          </cell>
        </row>
        <row r="517">
          <cell r="P517" t="str">
            <v>52488 | ARTESANIA</v>
          </cell>
        </row>
        <row r="518">
          <cell r="P518" t="str">
            <v>52501 | ANTIGUEDADES</v>
          </cell>
        </row>
        <row r="519">
          <cell r="P519" t="str">
            <v>52502 | LIBRERIA DE VIEJO</v>
          </cell>
        </row>
        <row r="520">
          <cell r="P520" t="str">
            <v>52610 | VENTA POR CORREO/TV/RADIO/TFN.</v>
          </cell>
        </row>
        <row r="521">
          <cell r="P521" t="str">
            <v>52620 | MERCADILLOS</v>
          </cell>
        </row>
        <row r="522">
          <cell r="P522" t="str">
            <v>52631 | VENTA A DOMICILIO</v>
          </cell>
        </row>
        <row r="523">
          <cell r="P523" t="str">
            <v>52632 | MAQUINAS EXPENDEDORAS,VENTA EN</v>
          </cell>
        </row>
        <row r="524">
          <cell r="P524" t="str">
            <v>52710 | CALZADOS, REPARACION DE</v>
          </cell>
        </row>
        <row r="525">
          <cell r="P525" t="str">
            <v>52720 | ELECTRODOMESTICOS</v>
          </cell>
        </row>
        <row r="526">
          <cell r="P526" t="str">
            <v>52730 | JOYERIA, REPARACION DE</v>
          </cell>
        </row>
        <row r="527">
          <cell r="P527" t="str">
            <v>52740 | AFILADOS</v>
          </cell>
        </row>
        <row r="528">
          <cell r="P528" t="str">
            <v>55111 | HOTELES CON RESTAURANTE</v>
          </cell>
        </row>
        <row r="529">
          <cell r="P529" t="str">
            <v>55112 | FONDA CON COMIDA</v>
          </cell>
        </row>
        <row r="530">
          <cell r="P530" t="str">
            <v>55121 | HOTELES SIN RESTAURANTE</v>
          </cell>
        </row>
        <row r="531">
          <cell r="P531" t="str">
            <v>55122 | FONDA SIN COMIDA</v>
          </cell>
        </row>
        <row r="532">
          <cell r="P532" t="str">
            <v>55211 | ALBERGUE</v>
          </cell>
        </row>
        <row r="533">
          <cell r="P533" t="str">
            <v>55212 | CAMPINGS</v>
          </cell>
        </row>
        <row r="534">
          <cell r="P534" t="str">
            <v>55231 | APARTAMENTOS, ALQUILER DE</v>
          </cell>
        </row>
        <row r="535">
          <cell r="P535" t="str">
            <v>55232 | CENTROS DE VACACIONES</v>
          </cell>
        </row>
        <row r="536">
          <cell r="P536" t="str">
            <v>55233 | CASAS DE REPOSO</v>
          </cell>
        </row>
        <row r="537">
          <cell r="P537" t="str">
            <v>55234 | COLEGIO MAYOR (RESIDENCIA)</v>
          </cell>
        </row>
        <row r="538">
          <cell r="P538" t="str">
            <v>55300 | BAR CON COMIDAS</v>
          </cell>
        </row>
        <row r="539">
          <cell r="P539" t="str">
            <v>55400 | BAR CON ESPECTACULO</v>
          </cell>
        </row>
        <row r="540">
          <cell r="P540" t="str">
            <v>55510 | CANTINA DEPORT.,DE FAB./CUART.</v>
          </cell>
        </row>
        <row r="541">
          <cell r="P541" t="str">
            <v>55521 | COMIDA PREPARADA PARA EMPRESAS</v>
          </cell>
        </row>
        <row r="542">
          <cell r="P542" t="str">
            <v>55522 | BANQUETES, COMIDAS PARA</v>
          </cell>
        </row>
        <row r="543">
          <cell r="P543" t="str">
            <v>60100 | ESTACION DE FERROCARRILES</v>
          </cell>
        </row>
        <row r="544">
          <cell r="P544" t="str">
            <v>60211 | METRO</v>
          </cell>
        </row>
        <row r="545">
          <cell r="P545" t="str">
            <v>60212 | AUTOBUS, SERVICIO URBANO</v>
          </cell>
        </row>
        <row r="546">
          <cell r="P546" t="str">
            <v>60213 | AUTOBUS/AUTOCAR,SERV.INTERURB.</v>
          </cell>
        </row>
        <row r="547">
          <cell r="P547" t="str">
            <v>60214 | FUNICULARES</v>
          </cell>
        </row>
        <row r="548">
          <cell r="P548" t="str">
            <v>60220 | TAXIS</v>
          </cell>
        </row>
        <row r="549">
          <cell r="P549" t="str">
            <v>60230 | AUTOBUSES CON CONDUCTOR</v>
          </cell>
        </row>
        <row r="550">
          <cell r="P550" t="str">
            <v>60241 | GUARDAMUEBLES</v>
          </cell>
        </row>
        <row r="551">
          <cell r="P551" t="str">
            <v>60242 | TRANSP. MERCANCIAS POR CARRET.</v>
          </cell>
        </row>
        <row r="552">
          <cell r="P552" t="str">
            <v>60243 | CAMIONES CON CONDUCTOR</v>
          </cell>
        </row>
        <row r="553">
          <cell r="P553" t="str">
            <v>60300 | GASEODUCTOS,TRANSP.POR TERCER.</v>
          </cell>
        </row>
        <row r="554">
          <cell r="P554" t="str">
            <v>61100 | BARCAZAS</v>
          </cell>
        </row>
        <row r="555">
          <cell r="P555" t="str">
            <v>61200 | CRUCEROS NO MARITIMOS</v>
          </cell>
        </row>
        <row r="556">
          <cell r="P556" t="str">
            <v>62100 | LINEAS AEREAS REGULARES</v>
          </cell>
        </row>
        <row r="557">
          <cell r="P557" t="str">
            <v>62200 | AVIONES CON PILOTO</v>
          </cell>
        </row>
        <row r="558">
          <cell r="P558" t="str">
            <v>62300 | TRANSPORTE ESPACIAL</v>
          </cell>
        </row>
        <row r="559">
          <cell r="P559" t="str">
            <v>63110 | CARGA Y DESCARGA DE BUQUES</v>
          </cell>
        </row>
        <row r="560">
          <cell r="P560" t="str">
            <v>63121 | ALMACENES FRIGORIFICOS</v>
          </cell>
        </row>
        <row r="561">
          <cell r="P561" t="str">
            <v>63122 | ALMACEN. MERCANCIAS PELIGROSAS</v>
          </cell>
        </row>
        <row r="562">
          <cell r="P562" t="str">
            <v>63123 | DEPOSITO Y ALMACENAM. EN SILOS</v>
          </cell>
        </row>
        <row r="563">
          <cell r="P563" t="str">
            <v>63124 | ALMACEN MERCANCIAS EN GENERAL</v>
          </cell>
        </row>
        <row r="564">
          <cell r="P564" t="str">
            <v>63211 | APEADERO DE FERROCARRILES</v>
          </cell>
        </row>
        <row r="565">
          <cell r="P565" t="str">
            <v>63212 | ESTACIONES DE AUTOBUSES</v>
          </cell>
        </row>
        <row r="566">
          <cell r="P566" t="str">
            <v>63213 | AUTOPISTAS</v>
          </cell>
        </row>
        <row r="567">
          <cell r="P567" t="str">
            <v>63214 | APARCAMIENTOS, EXPLOTACION DE</v>
          </cell>
        </row>
        <row r="568">
          <cell r="P568" t="str">
            <v>63221 | MUELLES</v>
          </cell>
        </row>
        <row r="569">
          <cell r="P569" t="str">
            <v>63231 | AEROPUERTOS</v>
          </cell>
        </row>
        <row r="570">
          <cell r="P570" t="str">
            <v>63301 | AGENCIAS DE VIAJES</v>
          </cell>
        </row>
        <row r="571">
          <cell r="P571" t="str">
            <v>63303 | OFICINAS DE TURISMO, SERVICIO</v>
          </cell>
        </row>
        <row r="572">
          <cell r="P572" t="str">
            <v>63400 | ADUANAS, AGENTES DE</v>
          </cell>
        </row>
        <row r="573">
          <cell r="P573" t="str">
            <v>64110 | CORREO POSTAL</v>
          </cell>
        </row>
        <row r="574">
          <cell r="P574" t="str">
            <v>64120 | CORREO NO POSTAL</v>
          </cell>
        </row>
        <row r="575">
          <cell r="P575" t="str">
            <v>64200 | TELECOMUNICACION PRIVADA</v>
          </cell>
        </row>
        <row r="576">
          <cell r="P576" t="str">
            <v>65110 | BANCA CENTRAL</v>
          </cell>
        </row>
        <row r="577">
          <cell r="P577" t="str">
            <v>65121 | BANCA COMERCIAL Y MIXTA</v>
          </cell>
        </row>
        <row r="578">
          <cell r="P578" t="str">
            <v>65122 | CAJA RURAL</v>
          </cell>
        </row>
        <row r="579">
          <cell r="P579" t="str">
            <v>65123 | COOPERATIVAS DE CREDITO</v>
          </cell>
        </row>
        <row r="580">
          <cell r="P580" t="str">
            <v>65132 | CASAS DE EMPEﾑO</v>
          </cell>
        </row>
        <row r="581">
          <cell r="P581" t="str">
            <v>65210 | ARRENDAMIENTO FINANCIERO</v>
          </cell>
        </row>
        <row r="582">
          <cell r="P582" t="str">
            <v>65221 | CREDITO HIPOTECARIO, SCDAD. DE</v>
          </cell>
        </row>
        <row r="583">
          <cell r="P583" t="str">
            <v>65222 | FACTORING, SOCIEDADES DE</v>
          </cell>
        </row>
        <row r="584">
          <cell r="P584" t="str">
            <v>65223 | MEDIADORAS MERC. DINERO,SCDAD.</v>
          </cell>
        </row>
        <row r="585">
          <cell r="P585" t="str">
            <v>65224 | INSTITUTO DE CREDITO OFICIAL</v>
          </cell>
        </row>
        <row r="586">
          <cell r="P586" t="str">
            <v>65231 | FONDOS DE INVERSION EN ACTIVOS</v>
          </cell>
        </row>
        <row r="587">
          <cell r="P587" t="str">
            <v>65232 | CAPITAL RIESGO,SCDA./FONDOS DE</v>
          </cell>
        </row>
        <row r="588">
          <cell r="P588" t="str">
            <v>65233 | FONDOS INVERSION INMOBILIARIA</v>
          </cell>
        </row>
        <row r="589">
          <cell r="P589" t="str">
            <v>66011 | SEGUROS DE VIDA, OFICINAS</v>
          </cell>
        </row>
        <row r="590">
          <cell r="P590" t="str">
            <v>66012 | MONTEPIO</v>
          </cell>
        </row>
        <row r="591">
          <cell r="P591" t="str">
            <v>66020 | PLANES DE PENSIONES</v>
          </cell>
        </row>
        <row r="592">
          <cell r="P592" t="str">
            <v>66031 | CAJAS DE PENSIONES</v>
          </cell>
        </row>
        <row r="593">
          <cell r="P593" t="str">
            <v>66032 | REASEGUROS</v>
          </cell>
        </row>
        <row r="594">
          <cell r="P594" t="str">
            <v>67110 | BOLSA</v>
          </cell>
        </row>
        <row r="595">
          <cell r="P595" t="str">
            <v>67121 | SOCIEDADES DE VALORES</v>
          </cell>
        </row>
        <row r="596">
          <cell r="P596" t="str">
            <v>67122 | AGENTES DE CAMBIO Y BOLSA</v>
          </cell>
        </row>
        <row r="597">
          <cell r="P597" t="str">
            <v>67131 | SOCIEDADES GARANTIA RECIPROCA</v>
          </cell>
        </row>
        <row r="598">
          <cell r="P598" t="str">
            <v>67132 | TASACION, SOCIEDADES DE</v>
          </cell>
        </row>
        <row r="599">
          <cell r="P599" t="str">
            <v>67133 | CAMBIO DE DIVISAS</v>
          </cell>
        </row>
        <row r="600">
          <cell r="P600" t="str">
            <v>67134 | FONDOS DE GARANTIA DE DEPOSITO</v>
          </cell>
        </row>
        <row r="601">
          <cell r="P601" t="str">
            <v>67135 | FONDOS INVERSION,SCD. GESTORAS</v>
          </cell>
        </row>
        <row r="602">
          <cell r="P602" t="str">
            <v>67200 | PLANES DE PENSIONES, ACT. AUX.</v>
          </cell>
        </row>
        <row r="603">
          <cell r="P603" t="str">
            <v>67201 | AGENTES Y CORREDORES DE SEGURO</v>
          </cell>
        </row>
        <row r="604">
          <cell r="P604" t="str">
            <v>67202 | INTERMEDIARIOS DE SEGUROS</v>
          </cell>
        </row>
        <row r="605">
          <cell r="P605" t="str">
            <v>67203 | PLANES PENSIONES,OTRA ACT.AUX.</v>
          </cell>
        </row>
        <row r="606">
          <cell r="P606" t="str">
            <v>70111 | INMOBILIARIA. NO CONSTRUCCION</v>
          </cell>
        </row>
        <row r="607">
          <cell r="P607" t="str">
            <v>70112 | LOCALES COMERCIALES SIN ACTIV.</v>
          </cell>
        </row>
        <row r="608">
          <cell r="P608" t="str">
            <v>70120 | COMPRAVENTA B.INMOBILI. CTA.P.</v>
          </cell>
        </row>
        <row r="609">
          <cell r="P609" t="str">
            <v>70201 | VIVIENDAS, OFICINAS DE</v>
          </cell>
        </row>
        <row r="610">
          <cell r="P610" t="str">
            <v>70202 | FERIAS DE MUESTRAS</v>
          </cell>
        </row>
        <row r="611">
          <cell r="P611" t="str">
            <v>70310 | AGENTES PROPIEDAD INMOBILIARIA</v>
          </cell>
        </row>
        <row r="612">
          <cell r="P612" t="str">
            <v>70321 | ADMON. INMUEBLES RESIDENCIALES</v>
          </cell>
        </row>
        <row r="613">
          <cell r="P613" t="str">
            <v>70322 | ADMON. OTROS BIENES INMOBILIA.</v>
          </cell>
        </row>
        <row r="614">
          <cell r="P614" t="str">
            <v>71100 | AUTOMOVILES</v>
          </cell>
        </row>
        <row r="615">
          <cell r="P615" t="str">
            <v>71210 | CARRETILLAS</v>
          </cell>
        </row>
        <row r="616">
          <cell r="P616" t="str">
            <v>71220 | EMBARCACIONES</v>
          </cell>
        </row>
        <row r="617">
          <cell r="P617" t="str">
            <v>71230 | AERONAVES</v>
          </cell>
        </row>
        <row r="618">
          <cell r="P618" t="str">
            <v>71310 | MAQUINARIA AGRICOLA</v>
          </cell>
        </row>
        <row r="619">
          <cell r="P619" t="str">
            <v>71320 | MAQUINARIA PARA LA CONSTRUCC.</v>
          </cell>
        </row>
        <row r="620">
          <cell r="P620" t="str">
            <v>71331 | EQUIPOS INFORMATICOS</v>
          </cell>
        </row>
        <row r="621">
          <cell r="P621" t="str">
            <v>71332 | EQUIPOS DE OFICINA</v>
          </cell>
        </row>
        <row r="622">
          <cell r="P622" t="str">
            <v>71340 | MAQUINARIA Y EQUIPO, OTROS</v>
          </cell>
        </row>
        <row r="623">
          <cell r="P623" t="str">
            <v>71401 | APARATOS DE RADIO, TELEVISION</v>
          </cell>
        </row>
        <row r="624">
          <cell r="P624" t="str">
            <v>71402 | VESTUARIO</v>
          </cell>
        </row>
        <row r="625">
          <cell r="P625" t="str">
            <v>71403 | BICICLETAS</v>
          </cell>
        </row>
        <row r="626">
          <cell r="P626" t="str">
            <v>71404 | EFECTOS PERSONALES, OTROS</v>
          </cell>
        </row>
        <row r="627">
          <cell r="P627" t="str">
            <v>72100 | CENTRO DE CALCULO</v>
          </cell>
        </row>
        <row r="628">
          <cell r="P628" t="str">
            <v>72200 | APLICAC. INFORMATICAS,CONSULTA</v>
          </cell>
        </row>
        <row r="629">
          <cell r="P629" t="str">
            <v>72300 | PROCESO DE DATOS</v>
          </cell>
        </row>
        <row r="630">
          <cell r="P630" t="str">
            <v>72400 | ACTIV. RELA. CON BASE DE DATOS</v>
          </cell>
        </row>
        <row r="631">
          <cell r="P631" t="str">
            <v>72500 | MAQUINAS DE ESCRIBIR, REPARAC.</v>
          </cell>
        </row>
        <row r="632">
          <cell r="P632" t="str">
            <v>72600 | INFORMATICA, OTRAS ACTIVIDADES</v>
          </cell>
        </row>
        <row r="633">
          <cell r="P633" t="str">
            <v>73100 | FISICA, LABORATORIO DE</v>
          </cell>
        </row>
        <row r="634">
          <cell r="P634" t="str">
            <v>73200 | INVEST. Y DES. SOBRE CIENCIAS</v>
          </cell>
        </row>
        <row r="635">
          <cell r="P635" t="str">
            <v>74111 | ABOGADOS, DESPACHO DE</v>
          </cell>
        </row>
        <row r="636">
          <cell r="P636" t="str">
            <v>74112 | NOTARIAS</v>
          </cell>
        </row>
        <row r="637">
          <cell r="P637" t="str">
            <v>74113 | JURIDICAS, OTRAS ACTIVIDADES</v>
          </cell>
        </row>
        <row r="638">
          <cell r="P638" t="str">
            <v>74120 | ASESORIA FISCAL</v>
          </cell>
        </row>
        <row r="639">
          <cell r="P639" t="str">
            <v>74130 | ENCUESTAS DE OPINION PUBLICA</v>
          </cell>
        </row>
        <row r="640">
          <cell r="P640" t="str">
            <v>74141 | CONSULTORIA DE EMPRESAS</v>
          </cell>
        </row>
        <row r="641">
          <cell r="P641" t="str">
            <v>74142 | RELACIONES PUBLICAS</v>
          </cell>
        </row>
        <row r="642">
          <cell r="P642" t="str">
            <v>74150 | SOCIEDADES DE CARTERA (HOLDING</v>
          </cell>
        </row>
        <row r="643">
          <cell r="P643" t="str">
            <v>74201 | ARQUITECTURA, ESTUDIOS DE</v>
          </cell>
        </row>
        <row r="644">
          <cell r="P644" t="str">
            <v>74202 | INGENIERIAS</v>
          </cell>
        </row>
        <row r="645">
          <cell r="P645" t="str">
            <v>74203 | CARTOGRAFIA</v>
          </cell>
        </row>
        <row r="646">
          <cell r="P646" t="str">
            <v>74204 | CLIMATIZACION, SERV. TECNICOS</v>
          </cell>
        </row>
        <row r="647">
          <cell r="P647" t="str">
            <v>74301 | INSPECCION TECNICA DE VEHICULO</v>
          </cell>
        </row>
        <row r="648">
          <cell r="P648" t="str">
            <v>74302 | HOMOLOGACION, CENTROS DE</v>
          </cell>
        </row>
        <row r="649">
          <cell r="P649" t="str">
            <v>74401 | AGENCIAS/CONSULTOR. PUBLICIDAD</v>
          </cell>
        </row>
        <row r="650">
          <cell r="P650" t="str">
            <v>74402 | FOTOGRAFIA (PUBLICIDAD)</v>
          </cell>
        </row>
        <row r="651">
          <cell r="P651" t="str">
            <v>74501 | SELEC. PERSONAL DIRECT./EJECU.</v>
          </cell>
        </row>
        <row r="652">
          <cell r="P652" t="str">
            <v>74502 | AGENCIAS DE COLOCACION</v>
          </cell>
        </row>
        <row r="653">
          <cell r="P653" t="str">
            <v>74503 | AGENCIAS DE SUMIN. DE PERSONAL</v>
          </cell>
        </row>
        <row r="654">
          <cell r="P654" t="str">
            <v>74601 | DETECTIVES PRIVADOS</v>
          </cell>
        </row>
        <row r="655">
          <cell r="P655" t="str">
            <v>74602 | GUARDAESPALDAS</v>
          </cell>
        </row>
        <row r="656">
          <cell r="P656" t="str">
            <v>74700 | LIMPIEZA DE LOCALES</v>
          </cell>
        </row>
        <row r="657">
          <cell r="P657" t="str">
            <v>74811 | FOTOGRAFIA, LABORATORIOS DE</v>
          </cell>
        </row>
        <row r="658">
          <cell r="P658" t="str">
            <v>74812 | ESTUDIO FOTOGRAFICO</v>
          </cell>
        </row>
        <row r="659">
          <cell r="P659" t="str">
            <v>74820 | EMBOTELLADO</v>
          </cell>
        </row>
        <row r="660">
          <cell r="P660" t="str">
            <v>74831 | COPISTERIA,COPIAS Y FOTOCOPIAS</v>
          </cell>
        </row>
        <row r="661">
          <cell r="P661" t="str">
            <v>74832 | TRADUCCION</v>
          </cell>
        </row>
        <row r="662">
          <cell r="P662" t="str">
            <v>74833 | COSARIOS Y RECADEROS</v>
          </cell>
        </row>
        <row r="663">
          <cell r="P663" t="str">
            <v>74841 | DECORACION DE INTERIORES</v>
          </cell>
        </row>
        <row r="664">
          <cell r="P664" t="str">
            <v>74842 | CONGRESOS, ORGANIZACION DE</v>
          </cell>
        </row>
        <row r="665">
          <cell r="P665" t="str">
            <v>74843 | BILLARES, SALA DE</v>
          </cell>
        </row>
        <row r="666">
          <cell r="P666" t="str">
            <v>75111 | ADMON. CENTRAL Y AUTONOMICA</v>
          </cell>
        </row>
        <row r="667">
          <cell r="P667" t="str">
            <v>75113 | ADMINISTRACION LOCAL</v>
          </cell>
        </row>
        <row r="668">
          <cell r="P668" t="str">
            <v>75115 | ALUMBRADO PUBLICO.</v>
          </cell>
        </row>
        <row r="669">
          <cell r="P669" t="str">
            <v>75120 | CULTURALES, ACTIVIDADES</v>
          </cell>
        </row>
        <row r="670">
          <cell r="P670" t="str">
            <v>75130 | ACTIVIDAD ECONOMICA, REGUL. DE</v>
          </cell>
        </row>
        <row r="671">
          <cell r="P671" t="str">
            <v>75140 | SERV. AUX. PARA ADMON. PUBLICA</v>
          </cell>
        </row>
        <row r="672">
          <cell r="P672" t="str">
            <v>75210 | ASUNTOS EXTERIORES</v>
          </cell>
        </row>
        <row r="673">
          <cell r="P673" t="str">
            <v>75220 | ACUARTELAMIENTOS MILITARES</v>
          </cell>
        </row>
        <row r="674">
          <cell r="P674" t="str">
            <v>75230 | CARCEL</v>
          </cell>
        </row>
        <row r="675">
          <cell r="P675" t="str">
            <v>75240 | COMISARIA DE POLICIA</v>
          </cell>
        </row>
        <row r="676">
          <cell r="P676" t="str">
            <v>75250 | BOMBEROS</v>
          </cell>
        </row>
        <row r="677">
          <cell r="P677" t="str">
            <v>75300 | INSTITUTO NACIONAL PREVISION</v>
          </cell>
        </row>
        <row r="678">
          <cell r="P678" t="str">
            <v>75331 | MATERIAL DE OFICINA</v>
          </cell>
        </row>
        <row r="679">
          <cell r="P679" t="str">
            <v>80101 | COLEGIO PARA PARVULOS</v>
          </cell>
        </row>
        <row r="680">
          <cell r="P680" t="str">
            <v>80102 | COLEGIO DE EGB</v>
          </cell>
        </row>
        <row r="681">
          <cell r="P681" t="str">
            <v>80210 | COLEGIO DE BUP Y COU</v>
          </cell>
        </row>
        <row r="682">
          <cell r="P682" t="str">
            <v>80221 | ENSEﾑANZA SEC. DE FORM. PROF.</v>
          </cell>
        </row>
        <row r="683">
          <cell r="P683" t="str">
            <v>80222 | ACADEMIAS MILIT., HASTA SUBOF.</v>
          </cell>
        </row>
        <row r="684">
          <cell r="P684" t="str">
            <v>80301 | ENSEﾑANZA SUPERIOR,NO UNIVERS.</v>
          </cell>
        </row>
        <row r="685">
          <cell r="P685" t="str">
            <v>80302 | ACADEMIAS MILITARES SUPERIORES</v>
          </cell>
        </row>
        <row r="686">
          <cell r="P686" t="str">
            <v>80303 | ENSEﾑANZA SUP.,ESPEC./POSTGRA.</v>
          </cell>
        </row>
        <row r="687">
          <cell r="P687" t="str">
            <v>80411 | AUTO-ESCUELAS</v>
          </cell>
        </row>
        <row r="688">
          <cell r="P688" t="str">
            <v>80412 | ESCUELAS DE PILOTAJE</v>
          </cell>
        </row>
        <row r="689">
          <cell r="P689" t="str">
            <v>80421 | FORM. ADULTOS/PROF. CONTINUADA</v>
          </cell>
        </row>
        <row r="690">
          <cell r="P690" t="str">
            <v>80422 | ACADEMIA DE CORTE Y CONFECCION</v>
          </cell>
        </row>
        <row r="691">
          <cell r="P691" t="str">
            <v>80423 | ACADEMIA DE CULTURA GENERAL</v>
          </cell>
        </row>
        <row r="692">
          <cell r="P692" t="str">
            <v>85110 | CASAS DE SOCORRO</v>
          </cell>
        </row>
        <row r="693">
          <cell r="P693" t="str">
            <v>85120 | AMBULATORIO</v>
          </cell>
        </row>
        <row r="694">
          <cell r="P694" t="str">
            <v>85130 | CLINICAS DENTALES</v>
          </cell>
        </row>
        <row r="695">
          <cell r="P695" t="str">
            <v>85141 | AYUDANTE TECNICO SANITARIO</v>
          </cell>
        </row>
        <row r="696">
          <cell r="P696" t="str">
            <v>85142 | AMBULANCIAS</v>
          </cell>
        </row>
        <row r="697">
          <cell r="P697" t="str">
            <v>85143 | LABORATORIOS ANALISIS CLINICOS</v>
          </cell>
        </row>
        <row r="698">
          <cell r="P698" t="str">
            <v>85144 | SANITARIAS, OTRAS ACTIVIDADES</v>
          </cell>
        </row>
        <row r="699">
          <cell r="P699" t="str">
            <v>85200 | CLINICAS VETERINARIAS</v>
          </cell>
        </row>
        <row r="700">
          <cell r="P700" t="str">
            <v>85311 | ASILO DE ANCIANOS</v>
          </cell>
        </row>
        <row r="701">
          <cell r="P701" t="str">
            <v>85312 | ASILO DE INVALIDOS</v>
          </cell>
        </row>
        <row r="702">
          <cell r="P702" t="str">
            <v>85313 | ASILO DE HUERFANOS</v>
          </cell>
        </row>
        <row r="703">
          <cell r="P703" t="str">
            <v>85314 | RESIDENCIA MUJERES,CON ALOJAM.</v>
          </cell>
        </row>
        <row r="704">
          <cell r="P704" t="str">
            <v>85315 | REHAB. DROGODEP. Y ALCOHOLICOS</v>
          </cell>
        </row>
        <row r="705">
          <cell r="P705" t="str">
            <v>85321 | COLEGIO PARA MINUSVALIDOS</v>
          </cell>
        </row>
        <row r="706">
          <cell r="P706" t="str">
            <v>85322 | GUARDERIA INFANTIL</v>
          </cell>
        </row>
        <row r="707">
          <cell r="P707" t="str">
            <v>85323 | SERVICIOS SOCIALES A DOMICILIO</v>
          </cell>
        </row>
        <row r="708">
          <cell r="P708" t="str">
            <v>85324 | PROMOCION DE LA CONVIVENCIA</v>
          </cell>
        </row>
        <row r="709">
          <cell r="P709" t="str">
            <v>85325 | CRUZ ROJA, DEPENDENCIAS GENER.</v>
          </cell>
        </row>
        <row r="710">
          <cell r="P710" t="str">
            <v>90001 | AGUAS RESIDUALES, DEPURADORA</v>
          </cell>
        </row>
        <row r="711">
          <cell r="P711" t="str">
            <v>90002 | LIMPIEZA VIAS PUB./TRA. DESEC.</v>
          </cell>
        </row>
        <row r="712">
          <cell r="P712" t="str">
            <v>91110 | CAMARAS OFICIALES ECONOMICAS</v>
          </cell>
        </row>
        <row r="713">
          <cell r="P713" t="str">
            <v>91120 | ASOCIACIONES PROFESIONALES</v>
          </cell>
        </row>
        <row r="714">
          <cell r="P714" t="str">
            <v>91200 | ORGANIZACIONES SINDICALES</v>
          </cell>
        </row>
        <row r="715">
          <cell r="P715" t="str">
            <v>91310 | ARZOBISPADO</v>
          </cell>
        </row>
        <row r="716">
          <cell r="P716" t="str">
            <v>91320 | HERMANDAD DE EXCOMBATIENTES</v>
          </cell>
        </row>
        <row r="717">
          <cell r="P717" t="str">
            <v>91331 | ASOCIACIONES JUVENILES</v>
          </cell>
        </row>
        <row r="718">
          <cell r="P718" t="str">
            <v>91332 | ATENEO LITERARIO</v>
          </cell>
        </row>
        <row r="719">
          <cell r="P719" t="str">
            <v>92111 | ESTUDIOS CINEMAT.,PROD./RODAJE</v>
          </cell>
        </row>
        <row r="720">
          <cell r="P720" t="str">
            <v>92112 | PROD. CINE Y VIDEO, ACT. APOYO</v>
          </cell>
        </row>
        <row r="721">
          <cell r="P721" t="str">
            <v>92121 | DIST. PELICULAS CINEMATOGRAFI.</v>
          </cell>
        </row>
        <row r="722">
          <cell r="P722" t="str">
            <v>92122 | DIST. PELICULAS EN CINTA VIDEO</v>
          </cell>
        </row>
        <row r="723">
          <cell r="P723" t="str">
            <v>92130 | CINE</v>
          </cell>
        </row>
        <row r="724">
          <cell r="P724" t="str">
            <v>92201 | PRODUC. DE PROGRAMAS DE RADIO</v>
          </cell>
        </row>
        <row r="725">
          <cell r="P725" t="str">
            <v>92202 | EMISORAS DE RADIO Y TELEVISION</v>
          </cell>
        </row>
        <row r="726">
          <cell r="P726" t="str">
            <v>92311 | ACTORES</v>
          </cell>
        </row>
        <row r="727">
          <cell r="P727" t="str">
            <v>92312 | PRODUCCION DE ESPECTACULOS</v>
          </cell>
        </row>
        <row r="728">
          <cell r="P728" t="str">
            <v>92313 | ESPECTACULO, OTRAS ACTIVIDADES</v>
          </cell>
        </row>
        <row r="729">
          <cell r="P729" t="str">
            <v>92320 | AUDITORIOS</v>
          </cell>
        </row>
        <row r="730">
          <cell r="P730" t="str">
            <v>92330 | FERIAS Y PARQUE DE ATRACCIONES</v>
          </cell>
        </row>
        <row r="731">
          <cell r="P731" t="str">
            <v>92341 | BAILE, SALA DE</v>
          </cell>
        </row>
        <row r="732">
          <cell r="P732" t="str">
            <v>92342 | PLAZA DE TOROS</v>
          </cell>
        </row>
        <row r="733">
          <cell r="P733" t="str">
            <v>92343 | CIRCO</v>
          </cell>
        </row>
        <row r="734">
          <cell r="P734" t="str">
            <v>92400 | AGENCIAS DE NOTICIAS</v>
          </cell>
        </row>
        <row r="735">
          <cell r="P735" t="str">
            <v>92510 | ARCHIVO, SERVICIOS CULTURALES</v>
          </cell>
        </row>
        <row r="736">
          <cell r="P736" t="str">
            <v>92521 | EXPOSICIONES MONOGRAFICAS</v>
          </cell>
        </row>
        <row r="737">
          <cell r="P737" t="str">
            <v>92522 | CONSERV. LUGARES/EDIF. HISTOR.</v>
          </cell>
        </row>
        <row r="738">
          <cell r="P738" t="str">
            <v>92530 | ACUARIOS</v>
          </cell>
        </row>
        <row r="739">
          <cell r="P739" t="str">
            <v>92611 | DEPORTES, INSTALACIONES PARA</v>
          </cell>
        </row>
        <row r="740">
          <cell r="P740" t="str">
            <v>92612 | ESTACIONES DE ESQUI</v>
          </cell>
        </row>
        <row r="741">
          <cell r="P741" t="str">
            <v>92613 | CAMPOS DE GOLF</v>
          </cell>
        </row>
        <row r="742">
          <cell r="P742" t="str">
            <v>92621 | CLUBES Y ESCUELAS DEPORTIVAS</v>
          </cell>
        </row>
        <row r="743">
          <cell r="P743" t="str">
            <v>92622 | PUERTOS DEPORTIVOS</v>
          </cell>
        </row>
        <row r="744">
          <cell r="P744" t="str">
            <v>92623 | ACADEMIA DEPORTES EN GENERAL</v>
          </cell>
        </row>
        <row r="745">
          <cell r="P745" t="str">
            <v>92711 | BINGO</v>
          </cell>
        </row>
        <row r="746">
          <cell r="P746" t="str">
            <v>92712 | APUESTAS MUTUAS DEPORT. BENEF.</v>
          </cell>
        </row>
        <row r="747">
          <cell r="P747" t="str">
            <v>92713 | JUEGOS DE AZAR,OTRAS ACT. REL.</v>
          </cell>
        </row>
        <row r="748">
          <cell r="P748" t="str">
            <v>92720 | ADIESTAM. ANIMALES DE COMPAﾑIA</v>
          </cell>
        </row>
        <row r="749">
          <cell r="P749" t="str">
            <v>93010 | LAVANDERIA</v>
          </cell>
        </row>
        <row r="750">
          <cell r="P750" t="str">
            <v>93020 | INSTITUTO DE BELLEZA</v>
          </cell>
        </row>
        <row r="751">
          <cell r="P751" t="str">
            <v>93030 | CEMENTERIO</v>
          </cell>
        </row>
        <row r="752">
          <cell r="P752" t="str">
            <v>93041 | BALNEARIO</v>
          </cell>
        </row>
        <row r="753">
          <cell r="P753" t="str">
            <v>93042 | BAﾑOS PUBLICOS</v>
          </cell>
        </row>
        <row r="754">
          <cell r="P754" t="str">
            <v>93050 | AGENCIAS MATRIMONIALES</v>
          </cell>
        </row>
        <row r="755">
          <cell r="P755" t="str">
            <v>94000 | CONSULADOS</v>
          </cell>
        </row>
        <row r="756">
          <cell r="P756" t="str">
            <v>95000 | USOS DOM. HOGARES CON PERS. D.</v>
          </cell>
        </row>
        <row r="757">
          <cell r="P757" t="str">
            <v>95100 | VIVIENDA HABITUAL</v>
          </cell>
        </row>
        <row r="758">
          <cell r="P758" t="str">
            <v>95200 | USOS DOMESTICOS SEGUNDA VVDA.</v>
          </cell>
        </row>
        <row r="759">
          <cell r="P759" t="str">
            <v>95500 | SERVICIOS COMUNITARIOS</v>
          </cell>
        </row>
        <row r="760">
          <cell r="P760" t="str">
            <v>99000 | ORGANISMOS EXTRATERRITORIALES</v>
          </cell>
        </row>
        <row r="761">
          <cell r="P761" t="str">
            <v>99999 | CONSUMOS PROPIOS DE ENERGIA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dad Cliente"/>
      <sheetName val="Datos Generales"/>
      <sheetName val="Consumo MWh"/>
      <sheetName val="Tablas de Precios (ML)"/>
      <sheetName val="Anexo Oferta"/>
      <sheetName val="Salida tarifa"/>
      <sheetName val="Autorización"/>
      <sheetName val="Hoja de Control"/>
      <sheetName val="Tabla de Control"/>
      <sheetName val="Datos de entrada"/>
      <sheetName val="CALCULOS"/>
      <sheetName val="TABLA PRECIOS (MR)"/>
      <sheetName val="calculo de DH"/>
      <sheetName val="C%"/>
      <sheetName val="%P6"/>
      <sheetName val="%P3"/>
      <sheetName val="Salida Estatica Anexo"/>
      <sheetName val="Salida Base Ofertas"/>
      <sheetName val="Anexo Oferta_sin GP ni ATR"/>
      <sheetName val="OF binomico 6P"/>
      <sheetName val="OF binomico 3P"/>
      <sheetName val="OF fijo 6P"/>
      <sheetName val="OF fijo 6P Regularizaciones"/>
      <sheetName val="OF fijo 3P"/>
      <sheetName val="OF fijo 3P Regularizaciones"/>
      <sheetName val="OF unico 6P"/>
      <sheetName val="OF unico 6P Regularizaciones"/>
      <sheetName val="OF unico 3P"/>
      <sheetName val="OF unico 3P Regularizaciones"/>
      <sheetName val="6P OF solo Energía"/>
      <sheetName val="3P OF solo Energía"/>
      <sheetName val="Anexo 1"/>
    </sheetNames>
    <sheetDataSet>
      <sheetData sheetId="0"/>
      <sheetData sheetId="1"/>
      <sheetData sheetId="2"/>
      <sheetData sheetId="3"/>
      <sheetData sheetId="4">
        <row r="90">
          <cell r="I90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dad Cliente"/>
      <sheetName val="Datos Generales"/>
      <sheetName val="Consumo MWh"/>
      <sheetName val="Tablas de Precios (ML)"/>
      <sheetName val="Anexo Oferta"/>
      <sheetName val="Salida tarifa"/>
      <sheetName val="Autorización"/>
      <sheetName val="Hoja de Control"/>
      <sheetName val="Tabla de Control"/>
      <sheetName val="Datos de entrada"/>
      <sheetName val="CALCULOS"/>
      <sheetName val="TABLA PRECIOS (MR)"/>
      <sheetName val="calculo de DH"/>
      <sheetName val="C%"/>
      <sheetName val="%P6"/>
      <sheetName val="%P3"/>
      <sheetName val="Salida Estatica Anexo"/>
      <sheetName val="Salida Base Ofertas"/>
      <sheetName val="Anexo Oferta_sin GP ni ATR"/>
      <sheetName val="OF binomico 6P"/>
      <sheetName val="OF binomico 3P"/>
      <sheetName val="OF fijo 6P"/>
      <sheetName val="OF fijo 6P Regularizaciones"/>
      <sheetName val="OF fijo 3P"/>
      <sheetName val="OF fijo 3P Regularizaciones"/>
      <sheetName val="OF unico 6P"/>
      <sheetName val="OF unico 6P Regularizaciones"/>
      <sheetName val="OF unico 3P"/>
      <sheetName val="OF unico 3P Regularizaciones"/>
      <sheetName val="6P OF solo Energía"/>
      <sheetName val="3P OF solo Energía"/>
      <sheetName val="Anexo 1"/>
    </sheetNames>
    <sheetDataSet>
      <sheetData sheetId="0" refreshError="1"/>
      <sheetData sheetId="1"/>
      <sheetData sheetId="2" refreshError="1"/>
      <sheetData sheetId="3">
        <row r="44">
          <cell r="D44">
            <v>0.06</v>
          </cell>
        </row>
        <row r="46">
          <cell r="D46">
            <v>0.09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976B-F41D-400C-B7E1-546DF3D2FEBE}">
  <sheetPr codeName="Hoja6"/>
  <dimension ref="A3:J6"/>
  <sheetViews>
    <sheetView tabSelected="1" workbookViewId="0"/>
  </sheetViews>
  <sheetFormatPr baseColWidth="10" defaultRowHeight="15"/>
  <cols>
    <col min="3" max="3" width="11.42578125" style="49"/>
    <col min="5" max="6" width="12" bestFit="1" customWidth="1"/>
    <col min="7" max="7" width="13.85546875" customWidth="1"/>
    <col min="8" max="9" width="12" bestFit="1" customWidth="1"/>
    <col min="10" max="10" width="15.85546875" customWidth="1"/>
  </cols>
  <sheetData>
    <row r="3" spans="1:10" ht="45.75" thickBot="1">
      <c r="A3" s="121" t="s">
        <v>111</v>
      </c>
      <c r="B3" s="121" t="s">
        <v>112</v>
      </c>
      <c r="C3" s="121" t="s">
        <v>113</v>
      </c>
      <c r="D3" s="121" t="s">
        <v>96</v>
      </c>
      <c r="E3" s="121" t="s">
        <v>88</v>
      </c>
      <c r="F3" s="122" t="s">
        <v>105</v>
      </c>
      <c r="G3" s="121" t="s">
        <v>104</v>
      </c>
    </row>
    <row r="4" spans="1:10" ht="15.75" thickBot="1">
      <c r="A4" s="196">
        <f ca="1">TODAY()</f>
        <v>44608</v>
      </c>
      <c r="B4" s="197">
        <f ca="1">YEAR(A4)</f>
        <v>2022</v>
      </c>
      <c r="C4" s="197" t="s">
        <v>114</v>
      </c>
      <c r="D4" s="156">
        <f>Resumen_ELEC!E18</f>
        <v>22921247.85590709</v>
      </c>
      <c r="E4" s="190">
        <f>Resumen_ELEC!F18</f>
        <v>4858071.6302453242</v>
      </c>
      <c r="F4" s="190">
        <f>Resumen_ELEC!T18</f>
        <v>2753462.1832529972</v>
      </c>
      <c r="G4" s="192">
        <f>Resumen_ELEC!U18</f>
        <v>2104609.446992327</v>
      </c>
      <c r="H4" s="204" t="s">
        <v>30</v>
      </c>
      <c r="I4" s="205"/>
      <c r="J4" s="206"/>
    </row>
    <row r="5" spans="1:10" ht="23.25" customHeight="1" thickBot="1">
      <c r="A5" s="196">
        <f t="shared" ref="A5:A6" ca="1" si="0">TODAY()</f>
        <v>44608</v>
      </c>
      <c r="B5" s="197">
        <f ca="1">B4+1</f>
        <v>2023</v>
      </c>
      <c r="C5" s="197" t="s">
        <v>114</v>
      </c>
      <c r="D5" s="156">
        <f>Resumen_ELEC!E35</f>
        <v>22921247.85590709</v>
      </c>
      <c r="E5" s="190">
        <f>Resumen_ELEC!F35</f>
        <v>3246182.1555369268</v>
      </c>
      <c r="F5" s="190">
        <f>Resumen_ELEC!T35</f>
        <v>2070858.3317173694</v>
      </c>
      <c r="G5" s="192">
        <f>Resumen_ELEC!U35</f>
        <v>1175323.8238195577</v>
      </c>
      <c r="H5" s="122" t="s">
        <v>117</v>
      </c>
      <c r="I5" s="122" t="s">
        <v>116</v>
      </c>
      <c r="J5" s="121" t="s">
        <v>104</v>
      </c>
    </row>
    <row r="6" spans="1:10" ht="15.75" thickBot="1">
      <c r="A6" s="196">
        <f t="shared" ca="1" si="0"/>
        <v>44608</v>
      </c>
      <c r="B6" s="197">
        <f ca="1">B4</f>
        <v>2022</v>
      </c>
      <c r="C6" s="197" t="s">
        <v>115</v>
      </c>
      <c r="D6" s="156">
        <f>Resumen_GAS!I18</f>
        <v>9987015.5005128682</v>
      </c>
      <c r="E6" s="190">
        <f>Resumen_GAS!P18</f>
        <v>768907.7072856325</v>
      </c>
      <c r="F6" s="190">
        <f>Resumen_GAS!T18</f>
        <v>286786.4213366179</v>
      </c>
      <c r="G6" s="192">
        <f>Resumen_GAS!U18</f>
        <v>482121.28594901453</v>
      </c>
      <c r="H6" s="198">
        <f>SUM(E4:E6)</f>
        <v>8873161.4930678848</v>
      </c>
      <c r="I6" s="198">
        <f t="shared" ref="I6:J6" si="1">SUM(F4:F6)</f>
        <v>5111106.9363069851</v>
      </c>
      <c r="J6" s="198">
        <f t="shared" si="1"/>
        <v>3762054.5567608993</v>
      </c>
    </row>
  </sheetData>
  <mergeCells count="1">
    <mergeCell ref="H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C57E-E1ED-4991-967A-C736B2E93497}">
  <sheetPr codeName="Hoja1">
    <pageSetUpPr fitToPage="1"/>
  </sheetPr>
  <dimension ref="A1:V35"/>
  <sheetViews>
    <sheetView showGridLines="0" workbookViewId="0"/>
  </sheetViews>
  <sheetFormatPr baseColWidth="10" defaultColWidth="11.42578125" defaultRowHeight="15"/>
  <cols>
    <col min="1" max="1" width="3.7109375" style="199" customWidth="1"/>
    <col min="2" max="2" width="1.28515625" style="199" customWidth="1"/>
    <col min="3" max="3" width="4.28515625" style="199" customWidth="1"/>
    <col min="4" max="4" width="14" style="26" customWidth="1"/>
    <col min="5" max="5" width="12.7109375" style="26" customWidth="1"/>
    <col min="6" max="6" width="14" style="26" customWidth="1"/>
    <col min="7" max="7" width="11.42578125" style="26"/>
    <col min="8" max="8" width="6.7109375" style="26" hidden="1" customWidth="1"/>
    <col min="9" max="9" width="10.140625" style="26" hidden="1" customWidth="1"/>
    <col min="10" max="10" width="6.7109375" style="26" hidden="1" customWidth="1"/>
    <col min="11" max="11" width="8.7109375" style="26" hidden="1" customWidth="1"/>
    <col min="12" max="12" width="6.7109375" style="26" hidden="1" customWidth="1"/>
    <col min="13" max="13" width="8.7109375" style="26" hidden="1" customWidth="1"/>
    <col min="14" max="14" width="6.7109375" style="26" customWidth="1"/>
    <col min="15" max="15" width="14.5703125" style="26" bestFit="1" customWidth="1"/>
    <col min="16" max="16" width="11.42578125" style="26"/>
    <col min="17" max="17" width="11.42578125" style="26" hidden="1" customWidth="1"/>
    <col min="18" max="19" width="13" style="26" customWidth="1"/>
    <col min="20" max="20" width="12.28515625" style="26" customWidth="1"/>
    <col min="21" max="21" width="12" style="26" customWidth="1"/>
    <col min="22" max="234" width="11.42578125" style="26"/>
    <col min="235" max="235" width="3.7109375" style="26" customWidth="1"/>
    <col min="236" max="245" width="0" style="26" hidden="1" customWidth="1"/>
    <col min="246" max="246" width="4.7109375" style="26" customWidth="1"/>
    <col min="247" max="247" width="14" style="26" customWidth="1"/>
    <col min="248" max="254" width="12.7109375" style="26" customWidth="1"/>
    <col min="255" max="255" width="11.42578125" style="26"/>
    <col min="256" max="256" width="6.7109375" style="26" customWidth="1"/>
    <col min="257" max="257" width="11.28515625" style="26" customWidth="1"/>
    <col min="258" max="258" width="6.7109375" style="26" customWidth="1"/>
    <col min="259" max="259" width="10.140625" style="26" bestFit="1" customWidth="1"/>
    <col min="260" max="260" width="6.7109375" style="26" customWidth="1"/>
    <col min="261" max="261" width="8.7109375" style="26" customWidth="1"/>
    <col min="262" max="262" width="6.7109375" style="26" customWidth="1"/>
    <col min="263" max="263" width="8.7109375" style="26" customWidth="1"/>
    <col min="264" max="264" width="6.7109375" style="26" customWidth="1"/>
    <col min="265" max="265" width="14.5703125" style="26" bestFit="1" customWidth="1"/>
    <col min="266" max="266" width="11.42578125" style="26"/>
    <col min="267" max="267" width="14.5703125" style="26" bestFit="1" customWidth="1"/>
    <col min="268" max="268" width="11.42578125" style="26"/>
    <col min="269" max="269" width="14.5703125" style="26" bestFit="1" customWidth="1"/>
    <col min="270" max="270" width="11.42578125" style="26"/>
    <col min="271" max="271" width="14.5703125" style="26" bestFit="1" customWidth="1"/>
    <col min="272" max="272" width="11.42578125" style="26"/>
    <col min="273" max="273" width="14.5703125" style="26" bestFit="1" customWidth="1"/>
    <col min="274" max="274" width="13" style="26" bestFit="1" customWidth="1"/>
    <col min="275" max="490" width="11.42578125" style="26"/>
    <col min="491" max="491" width="3.7109375" style="26" customWidth="1"/>
    <col min="492" max="501" width="0" style="26" hidden="1" customWidth="1"/>
    <col min="502" max="502" width="4.7109375" style="26" customWidth="1"/>
    <col min="503" max="503" width="14" style="26" customWidth="1"/>
    <col min="504" max="510" width="12.7109375" style="26" customWidth="1"/>
    <col min="511" max="511" width="11.42578125" style="26"/>
    <col min="512" max="512" width="6.7109375" style="26" customWidth="1"/>
    <col min="513" max="513" width="11.28515625" style="26" customWidth="1"/>
    <col min="514" max="514" width="6.7109375" style="26" customWidth="1"/>
    <col min="515" max="515" width="10.140625" style="26" bestFit="1" customWidth="1"/>
    <col min="516" max="516" width="6.7109375" style="26" customWidth="1"/>
    <col min="517" max="517" width="8.7109375" style="26" customWidth="1"/>
    <col min="518" max="518" width="6.7109375" style="26" customWidth="1"/>
    <col min="519" max="519" width="8.7109375" style="26" customWidth="1"/>
    <col min="520" max="520" width="6.7109375" style="26" customWidth="1"/>
    <col min="521" max="521" width="14.5703125" style="26" bestFit="1" customWidth="1"/>
    <col min="522" max="522" width="11.42578125" style="26"/>
    <col min="523" max="523" width="14.5703125" style="26" bestFit="1" customWidth="1"/>
    <col min="524" max="524" width="11.42578125" style="26"/>
    <col min="525" max="525" width="14.5703125" style="26" bestFit="1" customWidth="1"/>
    <col min="526" max="526" width="11.42578125" style="26"/>
    <col min="527" max="527" width="14.5703125" style="26" bestFit="1" customWidth="1"/>
    <col min="528" max="528" width="11.42578125" style="26"/>
    <col min="529" max="529" width="14.5703125" style="26" bestFit="1" customWidth="1"/>
    <col min="530" max="530" width="13" style="26" bestFit="1" customWidth="1"/>
    <col min="531" max="746" width="11.42578125" style="26"/>
    <col min="747" max="747" width="3.7109375" style="26" customWidth="1"/>
    <col min="748" max="757" width="0" style="26" hidden="1" customWidth="1"/>
    <col min="758" max="758" width="4.7109375" style="26" customWidth="1"/>
    <col min="759" max="759" width="14" style="26" customWidth="1"/>
    <col min="760" max="766" width="12.7109375" style="26" customWidth="1"/>
    <col min="767" max="767" width="11.42578125" style="26"/>
    <col min="768" max="768" width="6.7109375" style="26" customWidth="1"/>
    <col min="769" max="769" width="11.28515625" style="26" customWidth="1"/>
    <col min="770" max="770" width="6.7109375" style="26" customWidth="1"/>
    <col min="771" max="771" width="10.140625" style="26" bestFit="1" customWidth="1"/>
    <col min="772" max="772" width="6.7109375" style="26" customWidth="1"/>
    <col min="773" max="773" width="8.7109375" style="26" customWidth="1"/>
    <col min="774" max="774" width="6.7109375" style="26" customWidth="1"/>
    <col min="775" max="775" width="8.7109375" style="26" customWidth="1"/>
    <col min="776" max="776" width="6.7109375" style="26" customWidth="1"/>
    <col min="777" max="777" width="14.5703125" style="26" bestFit="1" customWidth="1"/>
    <col min="778" max="778" width="11.42578125" style="26"/>
    <col min="779" max="779" width="14.5703125" style="26" bestFit="1" customWidth="1"/>
    <col min="780" max="780" width="11.42578125" style="26"/>
    <col min="781" max="781" width="14.5703125" style="26" bestFit="1" customWidth="1"/>
    <col min="782" max="782" width="11.42578125" style="26"/>
    <col min="783" max="783" width="14.5703125" style="26" bestFit="1" customWidth="1"/>
    <col min="784" max="784" width="11.42578125" style="26"/>
    <col min="785" max="785" width="14.5703125" style="26" bestFit="1" customWidth="1"/>
    <col min="786" max="786" width="13" style="26" bestFit="1" customWidth="1"/>
    <col min="787" max="1002" width="11.42578125" style="26"/>
    <col min="1003" max="1003" width="3.7109375" style="26" customWidth="1"/>
    <col min="1004" max="1013" width="0" style="26" hidden="1" customWidth="1"/>
    <col min="1014" max="1014" width="4.7109375" style="26" customWidth="1"/>
    <col min="1015" max="1015" width="14" style="26" customWidth="1"/>
    <col min="1016" max="1022" width="12.7109375" style="26" customWidth="1"/>
    <col min="1023" max="1023" width="11.42578125" style="26"/>
    <col min="1024" max="1024" width="6.7109375" style="26" customWidth="1"/>
    <col min="1025" max="1025" width="11.28515625" style="26" customWidth="1"/>
    <col min="1026" max="1026" width="6.7109375" style="26" customWidth="1"/>
    <col min="1027" max="1027" width="10.140625" style="26" bestFit="1" customWidth="1"/>
    <col min="1028" max="1028" width="6.7109375" style="26" customWidth="1"/>
    <col min="1029" max="1029" width="8.7109375" style="26" customWidth="1"/>
    <col min="1030" max="1030" width="6.7109375" style="26" customWidth="1"/>
    <col min="1031" max="1031" width="8.7109375" style="26" customWidth="1"/>
    <col min="1032" max="1032" width="6.7109375" style="26" customWidth="1"/>
    <col min="1033" max="1033" width="14.5703125" style="26" bestFit="1" customWidth="1"/>
    <col min="1034" max="1034" width="11.42578125" style="26"/>
    <col min="1035" max="1035" width="14.5703125" style="26" bestFit="1" customWidth="1"/>
    <col min="1036" max="1036" width="11.42578125" style="26"/>
    <col min="1037" max="1037" width="14.5703125" style="26" bestFit="1" customWidth="1"/>
    <col min="1038" max="1038" width="11.42578125" style="26"/>
    <col min="1039" max="1039" width="14.5703125" style="26" bestFit="1" customWidth="1"/>
    <col min="1040" max="1040" width="11.42578125" style="26"/>
    <col min="1041" max="1041" width="14.5703125" style="26" bestFit="1" customWidth="1"/>
    <col min="1042" max="1042" width="13" style="26" bestFit="1" customWidth="1"/>
    <col min="1043" max="1258" width="11.42578125" style="26"/>
    <col min="1259" max="1259" width="3.7109375" style="26" customWidth="1"/>
    <col min="1260" max="1269" width="0" style="26" hidden="1" customWidth="1"/>
    <col min="1270" max="1270" width="4.7109375" style="26" customWidth="1"/>
    <col min="1271" max="1271" width="14" style="26" customWidth="1"/>
    <col min="1272" max="1278" width="12.7109375" style="26" customWidth="1"/>
    <col min="1279" max="1279" width="11.42578125" style="26"/>
    <col min="1280" max="1280" width="6.7109375" style="26" customWidth="1"/>
    <col min="1281" max="1281" width="11.28515625" style="26" customWidth="1"/>
    <col min="1282" max="1282" width="6.7109375" style="26" customWidth="1"/>
    <col min="1283" max="1283" width="10.140625" style="26" bestFit="1" customWidth="1"/>
    <col min="1284" max="1284" width="6.7109375" style="26" customWidth="1"/>
    <col min="1285" max="1285" width="8.7109375" style="26" customWidth="1"/>
    <col min="1286" max="1286" width="6.7109375" style="26" customWidth="1"/>
    <col min="1287" max="1287" width="8.7109375" style="26" customWidth="1"/>
    <col min="1288" max="1288" width="6.7109375" style="26" customWidth="1"/>
    <col min="1289" max="1289" width="14.5703125" style="26" bestFit="1" customWidth="1"/>
    <col min="1290" max="1290" width="11.42578125" style="26"/>
    <col min="1291" max="1291" width="14.5703125" style="26" bestFit="1" customWidth="1"/>
    <col min="1292" max="1292" width="11.42578125" style="26"/>
    <col min="1293" max="1293" width="14.5703125" style="26" bestFit="1" customWidth="1"/>
    <col min="1294" max="1294" width="11.42578125" style="26"/>
    <col min="1295" max="1295" width="14.5703125" style="26" bestFit="1" customWidth="1"/>
    <col min="1296" max="1296" width="11.42578125" style="26"/>
    <col min="1297" max="1297" width="14.5703125" style="26" bestFit="1" customWidth="1"/>
    <col min="1298" max="1298" width="13" style="26" bestFit="1" customWidth="1"/>
    <col min="1299" max="1514" width="11.42578125" style="26"/>
    <col min="1515" max="1515" width="3.7109375" style="26" customWidth="1"/>
    <col min="1516" max="1525" width="0" style="26" hidden="1" customWidth="1"/>
    <col min="1526" max="1526" width="4.7109375" style="26" customWidth="1"/>
    <col min="1527" max="1527" width="14" style="26" customWidth="1"/>
    <col min="1528" max="1534" width="12.7109375" style="26" customWidth="1"/>
    <col min="1535" max="1535" width="11.42578125" style="26"/>
    <col min="1536" max="1536" width="6.7109375" style="26" customWidth="1"/>
    <col min="1537" max="1537" width="11.28515625" style="26" customWidth="1"/>
    <col min="1538" max="1538" width="6.7109375" style="26" customWidth="1"/>
    <col min="1539" max="1539" width="10.140625" style="26" bestFit="1" customWidth="1"/>
    <col min="1540" max="1540" width="6.7109375" style="26" customWidth="1"/>
    <col min="1541" max="1541" width="8.7109375" style="26" customWidth="1"/>
    <col min="1542" max="1542" width="6.7109375" style="26" customWidth="1"/>
    <col min="1543" max="1543" width="8.7109375" style="26" customWidth="1"/>
    <col min="1544" max="1544" width="6.7109375" style="26" customWidth="1"/>
    <col min="1545" max="1545" width="14.5703125" style="26" bestFit="1" customWidth="1"/>
    <col min="1546" max="1546" width="11.42578125" style="26"/>
    <col min="1547" max="1547" width="14.5703125" style="26" bestFit="1" customWidth="1"/>
    <col min="1548" max="1548" width="11.42578125" style="26"/>
    <col min="1549" max="1549" width="14.5703125" style="26" bestFit="1" customWidth="1"/>
    <col min="1550" max="1550" width="11.42578125" style="26"/>
    <col min="1551" max="1551" width="14.5703125" style="26" bestFit="1" customWidth="1"/>
    <col min="1552" max="1552" width="11.42578125" style="26"/>
    <col min="1553" max="1553" width="14.5703125" style="26" bestFit="1" customWidth="1"/>
    <col min="1554" max="1554" width="13" style="26" bestFit="1" customWidth="1"/>
    <col min="1555" max="1770" width="11.42578125" style="26"/>
    <col min="1771" max="1771" width="3.7109375" style="26" customWidth="1"/>
    <col min="1772" max="1781" width="0" style="26" hidden="1" customWidth="1"/>
    <col min="1782" max="1782" width="4.7109375" style="26" customWidth="1"/>
    <col min="1783" max="1783" width="14" style="26" customWidth="1"/>
    <col min="1784" max="1790" width="12.7109375" style="26" customWidth="1"/>
    <col min="1791" max="1791" width="11.42578125" style="26"/>
    <col min="1792" max="1792" width="6.7109375" style="26" customWidth="1"/>
    <col min="1793" max="1793" width="11.28515625" style="26" customWidth="1"/>
    <col min="1794" max="1794" width="6.7109375" style="26" customWidth="1"/>
    <col min="1795" max="1795" width="10.140625" style="26" bestFit="1" customWidth="1"/>
    <col min="1796" max="1796" width="6.7109375" style="26" customWidth="1"/>
    <col min="1797" max="1797" width="8.7109375" style="26" customWidth="1"/>
    <col min="1798" max="1798" width="6.7109375" style="26" customWidth="1"/>
    <col min="1799" max="1799" width="8.7109375" style="26" customWidth="1"/>
    <col min="1800" max="1800" width="6.7109375" style="26" customWidth="1"/>
    <col min="1801" max="1801" width="14.5703125" style="26" bestFit="1" customWidth="1"/>
    <col min="1802" max="1802" width="11.42578125" style="26"/>
    <col min="1803" max="1803" width="14.5703125" style="26" bestFit="1" customWidth="1"/>
    <col min="1804" max="1804" width="11.42578125" style="26"/>
    <col min="1805" max="1805" width="14.5703125" style="26" bestFit="1" customWidth="1"/>
    <col min="1806" max="1806" width="11.42578125" style="26"/>
    <col min="1807" max="1807" width="14.5703125" style="26" bestFit="1" customWidth="1"/>
    <col min="1808" max="1808" width="11.42578125" style="26"/>
    <col min="1809" max="1809" width="14.5703125" style="26" bestFit="1" customWidth="1"/>
    <col min="1810" max="1810" width="13" style="26" bestFit="1" customWidth="1"/>
    <col min="1811" max="2026" width="11.42578125" style="26"/>
    <col min="2027" max="2027" width="3.7109375" style="26" customWidth="1"/>
    <col min="2028" max="2037" width="0" style="26" hidden="1" customWidth="1"/>
    <col min="2038" max="2038" width="4.7109375" style="26" customWidth="1"/>
    <col min="2039" max="2039" width="14" style="26" customWidth="1"/>
    <col min="2040" max="2046" width="12.7109375" style="26" customWidth="1"/>
    <col min="2047" max="2047" width="11.42578125" style="26"/>
    <col min="2048" max="2048" width="6.7109375" style="26" customWidth="1"/>
    <col min="2049" max="2049" width="11.28515625" style="26" customWidth="1"/>
    <col min="2050" max="2050" width="6.7109375" style="26" customWidth="1"/>
    <col min="2051" max="2051" width="10.140625" style="26" bestFit="1" customWidth="1"/>
    <col min="2052" max="2052" width="6.7109375" style="26" customWidth="1"/>
    <col min="2053" max="2053" width="8.7109375" style="26" customWidth="1"/>
    <col min="2054" max="2054" width="6.7109375" style="26" customWidth="1"/>
    <col min="2055" max="2055" width="8.7109375" style="26" customWidth="1"/>
    <col min="2056" max="2056" width="6.7109375" style="26" customWidth="1"/>
    <col min="2057" max="2057" width="14.5703125" style="26" bestFit="1" customWidth="1"/>
    <col min="2058" max="2058" width="11.42578125" style="26"/>
    <col min="2059" max="2059" width="14.5703125" style="26" bestFit="1" customWidth="1"/>
    <col min="2060" max="2060" width="11.42578125" style="26"/>
    <col min="2061" max="2061" width="14.5703125" style="26" bestFit="1" customWidth="1"/>
    <col min="2062" max="2062" width="11.42578125" style="26"/>
    <col min="2063" max="2063" width="14.5703125" style="26" bestFit="1" customWidth="1"/>
    <col min="2064" max="2064" width="11.42578125" style="26"/>
    <col min="2065" max="2065" width="14.5703125" style="26" bestFit="1" customWidth="1"/>
    <col min="2066" max="2066" width="13" style="26" bestFit="1" customWidth="1"/>
    <col min="2067" max="2282" width="11.42578125" style="26"/>
    <col min="2283" max="2283" width="3.7109375" style="26" customWidth="1"/>
    <col min="2284" max="2293" width="0" style="26" hidden="1" customWidth="1"/>
    <col min="2294" max="2294" width="4.7109375" style="26" customWidth="1"/>
    <col min="2295" max="2295" width="14" style="26" customWidth="1"/>
    <col min="2296" max="2302" width="12.7109375" style="26" customWidth="1"/>
    <col min="2303" max="2303" width="11.42578125" style="26"/>
    <col min="2304" max="2304" width="6.7109375" style="26" customWidth="1"/>
    <col min="2305" max="2305" width="11.28515625" style="26" customWidth="1"/>
    <col min="2306" max="2306" width="6.7109375" style="26" customWidth="1"/>
    <col min="2307" max="2307" width="10.140625" style="26" bestFit="1" customWidth="1"/>
    <col min="2308" max="2308" width="6.7109375" style="26" customWidth="1"/>
    <col min="2309" max="2309" width="8.7109375" style="26" customWidth="1"/>
    <col min="2310" max="2310" width="6.7109375" style="26" customWidth="1"/>
    <col min="2311" max="2311" width="8.7109375" style="26" customWidth="1"/>
    <col min="2312" max="2312" width="6.7109375" style="26" customWidth="1"/>
    <col min="2313" max="2313" width="14.5703125" style="26" bestFit="1" customWidth="1"/>
    <col min="2314" max="2314" width="11.42578125" style="26"/>
    <col min="2315" max="2315" width="14.5703125" style="26" bestFit="1" customWidth="1"/>
    <col min="2316" max="2316" width="11.42578125" style="26"/>
    <col min="2317" max="2317" width="14.5703125" style="26" bestFit="1" customWidth="1"/>
    <col min="2318" max="2318" width="11.42578125" style="26"/>
    <col min="2319" max="2319" width="14.5703125" style="26" bestFit="1" customWidth="1"/>
    <col min="2320" max="2320" width="11.42578125" style="26"/>
    <col min="2321" max="2321" width="14.5703125" style="26" bestFit="1" customWidth="1"/>
    <col min="2322" max="2322" width="13" style="26" bestFit="1" customWidth="1"/>
    <col min="2323" max="2538" width="11.42578125" style="26"/>
    <col min="2539" max="2539" width="3.7109375" style="26" customWidth="1"/>
    <col min="2540" max="2549" width="0" style="26" hidden="1" customWidth="1"/>
    <col min="2550" max="2550" width="4.7109375" style="26" customWidth="1"/>
    <col min="2551" max="2551" width="14" style="26" customWidth="1"/>
    <col min="2552" max="2558" width="12.7109375" style="26" customWidth="1"/>
    <col min="2559" max="2559" width="11.42578125" style="26"/>
    <col min="2560" max="2560" width="6.7109375" style="26" customWidth="1"/>
    <col min="2561" max="2561" width="11.28515625" style="26" customWidth="1"/>
    <col min="2562" max="2562" width="6.7109375" style="26" customWidth="1"/>
    <col min="2563" max="2563" width="10.140625" style="26" bestFit="1" customWidth="1"/>
    <col min="2564" max="2564" width="6.7109375" style="26" customWidth="1"/>
    <col min="2565" max="2565" width="8.7109375" style="26" customWidth="1"/>
    <col min="2566" max="2566" width="6.7109375" style="26" customWidth="1"/>
    <col min="2567" max="2567" width="8.7109375" style="26" customWidth="1"/>
    <col min="2568" max="2568" width="6.7109375" style="26" customWidth="1"/>
    <col min="2569" max="2569" width="14.5703125" style="26" bestFit="1" customWidth="1"/>
    <col min="2570" max="2570" width="11.42578125" style="26"/>
    <col min="2571" max="2571" width="14.5703125" style="26" bestFit="1" customWidth="1"/>
    <col min="2572" max="2572" width="11.42578125" style="26"/>
    <col min="2573" max="2573" width="14.5703125" style="26" bestFit="1" customWidth="1"/>
    <col min="2574" max="2574" width="11.42578125" style="26"/>
    <col min="2575" max="2575" width="14.5703125" style="26" bestFit="1" customWidth="1"/>
    <col min="2576" max="2576" width="11.42578125" style="26"/>
    <col min="2577" max="2577" width="14.5703125" style="26" bestFit="1" customWidth="1"/>
    <col min="2578" max="2578" width="13" style="26" bestFit="1" customWidth="1"/>
    <col min="2579" max="2794" width="11.42578125" style="26"/>
    <col min="2795" max="2795" width="3.7109375" style="26" customWidth="1"/>
    <col min="2796" max="2805" width="0" style="26" hidden="1" customWidth="1"/>
    <col min="2806" max="2806" width="4.7109375" style="26" customWidth="1"/>
    <col min="2807" max="2807" width="14" style="26" customWidth="1"/>
    <col min="2808" max="2814" width="12.7109375" style="26" customWidth="1"/>
    <col min="2815" max="2815" width="11.42578125" style="26"/>
    <col min="2816" max="2816" width="6.7109375" style="26" customWidth="1"/>
    <col min="2817" max="2817" width="11.28515625" style="26" customWidth="1"/>
    <col min="2818" max="2818" width="6.7109375" style="26" customWidth="1"/>
    <col min="2819" max="2819" width="10.140625" style="26" bestFit="1" customWidth="1"/>
    <col min="2820" max="2820" width="6.7109375" style="26" customWidth="1"/>
    <col min="2821" max="2821" width="8.7109375" style="26" customWidth="1"/>
    <col min="2822" max="2822" width="6.7109375" style="26" customWidth="1"/>
    <col min="2823" max="2823" width="8.7109375" style="26" customWidth="1"/>
    <col min="2824" max="2824" width="6.7109375" style="26" customWidth="1"/>
    <col min="2825" max="2825" width="14.5703125" style="26" bestFit="1" customWidth="1"/>
    <col min="2826" max="2826" width="11.42578125" style="26"/>
    <col min="2827" max="2827" width="14.5703125" style="26" bestFit="1" customWidth="1"/>
    <col min="2828" max="2828" width="11.42578125" style="26"/>
    <col min="2829" max="2829" width="14.5703125" style="26" bestFit="1" customWidth="1"/>
    <col min="2830" max="2830" width="11.42578125" style="26"/>
    <col min="2831" max="2831" width="14.5703125" style="26" bestFit="1" customWidth="1"/>
    <col min="2832" max="2832" width="11.42578125" style="26"/>
    <col min="2833" max="2833" width="14.5703125" style="26" bestFit="1" customWidth="1"/>
    <col min="2834" max="2834" width="13" style="26" bestFit="1" customWidth="1"/>
    <col min="2835" max="3050" width="11.42578125" style="26"/>
    <col min="3051" max="3051" width="3.7109375" style="26" customWidth="1"/>
    <col min="3052" max="3061" width="0" style="26" hidden="1" customWidth="1"/>
    <col min="3062" max="3062" width="4.7109375" style="26" customWidth="1"/>
    <col min="3063" max="3063" width="14" style="26" customWidth="1"/>
    <col min="3064" max="3070" width="12.7109375" style="26" customWidth="1"/>
    <col min="3071" max="3071" width="11.42578125" style="26"/>
    <col min="3072" max="3072" width="6.7109375" style="26" customWidth="1"/>
    <col min="3073" max="3073" width="11.28515625" style="26" customWidth="1"/>
    <col min="3074" max="3074" width="6.7109375" style="26" customWidth="1"/>
    <col min="3075" max="3075" width="10.140625" style="26" bestFit="1" customWidth="1"/>
    <col min="3076" max="3076" width="6.7109375" style="26" customWidth="1"/>
    <col min="3077" max="3077" width="8.7109375" style="26" customWidth="1"/>
    <col min="3078" max="3078" width="6.7109375" style="26" customWidth="1"/>
    <col min="3079" max="3079" width="8.7109375" style="26" customWidth="1"/>
    <col min="3080" max="3080" width="6.7109375" style="26" customWidth="1"/>
    <col min="3081" max="3081" width="14.5703125" style="26" bestFit="1" customWidth="1"/>
    <col min="3082" max="3082" width="11.42578125" style="26"/>
    <col min="3083" max="3083" width="14.5703125" style="26" bestFit="1" customWidth="1"/>
    <col min="3084" max="3084" width="11.42578125" style="26"/>
    <col min="3085" max="3085" width="14.5703125" style="26" bestFit="1" customWidth="1"/>
    <col min="3086" max="3086" width="11.42578125" style="26"/>
    <col min="3087" max="3087" width="14.5703125" style="26" bestFit="1" customWidth="1"/>
    <col min="3088" max="3088" width="11.42578125" style="26"/>
    <col min="3089" max="3089" width="14.5703125" style="26" bestFit="1" customWidth="1"/>
    <col min="3090" max="3090" width="13" style="26" bestFit="1" customWidth="1"/>
    <col min="3091" max="3306" width="11.42578125" style="26"/>
    <col min="3307" max="3307" width="3.7109375" style="26" customWidth="1"/>
    <col min="3308" max="3317" width="0" style="26" hidden="1" customWidth="1"/>
    <col min="3318" max="3318" width="4.7109375" style="26" customWidth="1"/>
    <col min="3319" max="3319" width="14" style="26" customWidth="1"/>
    <col min="3320" max="3326" width="12.7109375" style="26" customWidth="1"/>
    <col min="3327" max="3327" width="11.42578125" style="26"/>
    <col min="3328" max="3328" width="6.7109375" style="26" customWidth="1"/>
    <col min="3329" max="3329" width="11.28515625" style="26" customWidth="1"/>
    <col min="3330" max="3330" width="6.7109375" style="26" customWidth="1"/>
    <col min="3331" max="3331" width="10.140625" style="26" bestFit="1" customWidth="1"/>
    <col min="3332" max="3332" width="6.7109375" style="26" customWidth="1"/>
    <col min="3333" max="3333" width="8.7109375" style="26" customWidth="1"/>
    <col min="3334" max="3334" width="6.7109375" style="26" customWidth="1"/>
    <col min="3335" max="3335" width="8.7109375" style="26" customWidth="1"/>
    <col min="3336" max="3336" width="6.7109375" style="26" customWidth="1"/>
    <col min="3337" max="3337" width="14.5703125" style="26" bestFit="1" customWidth="1"/>
    <col min="3338" max="3338" width="11.42578125" style="26"/>
    <col min="3339" max="3339" width="14.5703125" style="26" bestFit="1" customWidth="1"/>
    <col min="3340" max="3340" width="11.42578125" style="26"/>
    <col min="3341" max="3341" width="14.5703125" style="26" bestFit="1" customWidth="1"/>
    <col min="3342" max="3342" width="11.42578125" style="26"/>
    <col min="3343" max="3343" width="14.5703125" style="26" bestFit="1" customWidth="1"/>
    <col min="3344" max="3344" width="11.42578125" style="26"/>
    <col min="3345" max="3345" width="14.5703125" style="26" bestFit="1" customWidth="1"/>
    <col min="3346" max="3346" width="13" style="26" bestFit="1" customWidth="1"/>
    <col min="3347" max="3562" width="11.42578125" style="26"/>
    <col min="3563" max="3563" width="3.7109375" style="26" customWidth="1"/>
    <col min="3564" max="3573" width="0" style="26" hidden="1" customWidth="1"/>
    <col min="3574" max="3574" width="4.7109375" style="26" customWidth="1"/>
    <col min="3575" max="3575" width="14" style="26" customWidth="1"/>
    <col min="3576" max="3582" width="12.7109375" style="26" customWidth="1"/>
    <col min="3583" max="3583" width="11.42578125" style="26"/>
    <col min="3584" max="3584" width="6.7109375" style="26" customWidth="1"/>
    <col min="3585" max="3585" width="11.28515625" style="26" customWidth="1"/>
    <col min="3586" max="3586" width="6.7109375" style="26" customWidth="1"/>
    <col min="3587" max="3587" width="10.140625" style="26" bestFit="1" customWidth="1"/>
    <col min="3588" max="3588" width="6.7109375" style="26" customWidth="1"/>
    <col min="3589" max="3589" width="8.7109375" style="26" customWidth="1"/>
    <col min="3590" max="3590" width="6.7109375" style="26" customWidth="1"/>
    <col min="3591" max="3591" width="8.7109375" style="26" customWidth="1"/>
    <col min="3592" max="3592" width="6.7109375" style="26" customWidth="1"/>
    <col min="3593" max="3593" width="14.5703125" style="26" bestFit="1" customWidth="1"/>
    <col min="3594" max="3594" width="11.42578125" style="26"/>
    <col min="3595" max="3595" width="14.5703125" style="26" bestFit="1" customWidth="1"/>
    <col min="3596" max="3596" width="11.42578125" style="26"/>
    <col min="3597" max="3597" width="14.5703125" style="26" bestFit="1" customWidth="1"/>
    <col min="3598" max="3598" width="11.42578125" style="26"/>
    <col min="3599" max="3599" width="14.5703125" style="26" bestFit="1" customWidth="1"/>
    <col min="3600" max="3600" width="11.42578125" style="26"/>
    <col min="3601" max="3601" width="14.5703125" style="26" bestFit="1" customWidth="1"/>
    <col min="3602" max="3602" width="13" style="26" bestFit="1" customWidth="1"/>
    <col min="3603" max="3818" width="11.42578125" style="26"/>
    <col min="3819" max="3819" width="3.7109375" style="26" customWidth="1"/>
    <col min="3820" max="3829" width="0" style="26" hidden="1" customWidth="1"/>
    <col min="3830" max="3830" width="4.7109375" style="26" customWidth="1"/>
    <col min="3831" max="3831" width="14" style="26" customWidth="1"/>
    <col min="3832" max="3838" width="12.7109375" style="26" customWidth="1"/>
    <col min="3839" max="3839" width="11.42578125" style="26"/>
    <col min="3840" max="3840" width="6.7109375" style="26" customWidth="1"/>
    <col min="3841" max="3841" width="11.28515625" style="26" customWidth="1"/>
    <col min="3842" max="3842" width="6.7109375" style="26" customWidth="1"/>
    <col min="3843" max="3843" width="10.140625" style="26" bestFit="1" customWidth="1"/>
    <col min="3844" max="3844" width="6.7109375" style="26" customWidth="1"/>
    <col min="3845" max="3845" width="8.7109375" style="26" customWidth="1"/>
    <col min="3846" max="3846" width="6.7109375" style="26" customWidth="1"/>
    <col min="3847" max="3847" width="8.7109375" style="26" customWidth="1"/>
    <col min="3848" max="3848" width="6.7109375" style="26" customWidth="1"/>
    <col min="3849" max="3849" width="14.5703125" style="26" bestFit="1" customWidth="1"/>
    <col min="3850" max="3850" width="11.42578125" style="26"/>
    <col min="3851" max="3851" width="14.5703125" style="26" bestFit="1" customWidth="1"/>
    <col min="3852" max="3852" width="11.42578125" style="26"/>
    <col min="3853" max="3853" width="14.5703125" style="26" bestFit="1" customWidth="1"/>
    <col min="3854" max="3854" width="11.42578125" style="26"/>
    <col min="3855" max="3855" width="14.5703125" style="26" bestFit="1" customWidth="1"/>
    <col min="3856" max="3856" width="11.42578125" style="26"/>
    <col min="3857" max="3857" width="14.5703125" style="26" bestFit="1" customWidth="1"/>
    <col min="3858" max="3858" width="13" style="26" bestFit="1" customWidth="1"/>
    <col min="3859" max="4074" width="11.42578125" style="26"/>
    <col min="4075" max="4075" width="3.7109375" style="26" customWidth="1"/>
    <col min="4076" max="4085" width="0" style="26" hidden="1" customWidth="1"/>
    <col min="4086" max="4086" width="4.7109375" style="26" customWidth="1"/>
    <col min="4087" max="4087" width="14" style="26" customWidth="1"/>
    <col min="4088" max="4094" width="12.7109375" style="26" customWidth="1"/>
    <col min="4095" max="4095" width="11.42578125" style="26"/>
    <col min="4096" max="4096" width="6.7109375" style="26" customWidth="1"/>
    <col min="4097" max="4097" width="11.28515625" style="26" customWidth="1"/>
    <col min="4098" max="4098" width="6.7109375" style="26" customWidth="1"/>
    <col min="4099" max="4099" width="10.140625" style="26" bestFit="1" customWidth="1"/>
    <col min="4100" max="4100" width="6.7109375" style="26" customWidth="1"/>
    <col min="4101" max="4101" width="8.7109375" style="26" customWidth="1"/>
    <col min="4102" max="4102" width="6.7109375" style="26" customWidth="1"/>
    <col min="4103" max="4103" width="8.7109375" style="26" customWidth="1"/>
    <col min="4104" max="4104" width="6.7109375" style="26" customWidth="1"/>
    <col min="4105" max="4105" width="14.5703125" style="26" bestFit="1" customWidth="1"/>
    <col min="4106" max="4106" width="11.42578125" style="26"/>
    <col min="4107" max="4107" width="14.5703125" style="26" bestFit="1" customWidth="1"/>
    <col min="4108" max="4108" width="11.42578125" style="26"/>
    <col min="4109" max="4109" width="14.5703125" style="26" bestFit="1" customWidth="1"/>
    <col min="4110" max="4110" width="11.42578125" style="26"/>
    <col min="4111" max="4111" width="14.5703125" style="26" bestFit="1" customWidth="1"/>
    <col min="4112" max="4112" width="11.42578125" style="26"/>
    <col min="4113" max="4113" width="14.5703125" style="26" bestFit="1" customWidth="1"/>
    <col min="4114" max="4114" width="13" style="26" bestFit="1" customWidth="1"/>
    <col min="4115" max="4330" width="11.42578125" style="26"/>
    <col min="4331" max="4331" width="3.7109375" style="26" customWidth="1"/>
    <col min="4332" max="4341" width="0" style="26" hidden="1" customWidth="1"/>
    <col min="4342" max="4342" width="4.7109375" style="26" customWidth="1"/>
    <col min="4343" max="4343" width="14" style="26" customWidth="1"/>
    <col min="4344" max="4350" width="12.7109375" style="26" customWidth="1"/>
    <col min="4351" max="4351" width="11.42578125" style="26"/>
    <col min="4352" max="4352" width="6.7109375" style="26" customWidth="1"/>
    <col min="4353" max="4353" width="11.28515625" style="26" customWidth="1"/>
    <col min="4354" max="4354" width="6.7109375" style="26" customWidth="1"/>
    <col min="4355" max="4355" width="10.140625" style="26" bestFit="1" customWidth="1"/>
    <col min="4356" max="4356" width="6.7109375" style="26" customWidth="1"/>
    <col min="4357" max="4357" width="8.7109375" style="26" customWidth="1"/>
    <col min="4358" max="4358" width="6.7109375" style="26" customWidth="1"/>
    <col min="4359" max="4359" width="8.7109375" style="26" customWidth="1"/>
    <col min="4360" max="4360" width="6.7109375" style="26" customWidth="1"/>
    <col min="4361" max="4361" width="14.5703125" style="26" bestFit="1" customWidth="1"/>
    <col min="4362" max="4362" width="11.42578125" style="26"/>
    <col min="4363" max="4363" width="14.5703125" style="26" bestFit="1" customWidth="1"/>
    <col min="4364" max="4364" width="11.42578125" style="26"/>
    <col min="4365" max="4365" width="14.5703125" style="26" bestFit="1" customWidth="1"/>
    <col min="4366" max="4366" width="11.42578125" style="26"/>
    <col min="4367" max="4367" width="14.5703125" style="26" bestFit="1" customWidth="1"/>
    <col min="4368" max="4368" width="11.42578125" style="26"/>
    <col min="4369" max="4369" width="14.5703125" style="26" bestFit="1" customWidth="1"/>
    <col min="4370" max="4370" width="13" style="26" bestFit="1" customWidth="1"/>
    <col min="4371" max="4586" width="11.42578125" style="26"/>
    <col min="4587" max="4587" width="3.7109375" style="26" customWidth="1"/>
    <col min="4588" max="4597" width="0" style="26" hidden="1" customWidth="1"/>
    <col min="4598" max="4598" width="4.7109375" style="26" customWidth="1"/>
    <col min="4599" max="4599" width="14" style="26" customWidth="1"/>
    <col min="4600" max="4606" width="12.7109375" style="26" customWidth="1"/>
    <col min="4607" max="4607" width="11.42578125" style="26"/>
    <col min="4608" max="4608" width="6.7109375" style="26" customWidth="1"/>
    <col min="4609" max="4609" width="11.28515625" style="26" customWidth="1"/>
    <col min="4610" max="4610" width="6.7109375" style="26" customWidth="1"/>
    <col min="4611" max="4611" width="10.140625" style="26" bestFit="1" customWidth="1"/>
    <col min="4612" max="4612" width="6.7109375" style="26" customWidth="1"/>
    <col min="4613" max="4613" width="8.7109375" style="26" customWidth="1"/>
    <col min="4614" max="4614" width="6.7109375" style="26" customWidth="1"/>
    <col min="4615" max="4615" width="8.7109375" style="26" customWidth="1"/>
    <col min="4616" max="4616" width="6.7109375" style="26" customWidth="1"/>
    <col min="4617" max="4617" width="14.5703125" style="26" bestFit="1" customWidth="1"/>
    <col min="4618" max="4618" width="11.42578125" style="26"/>
    <col min="4619" max="4619" width="14.5703125" style="26" bestFit="1" customWidth="1"/>
    <col min="4620" max="4620" width="11.42578125" style="26"/>
    <col min="4621" max="4621" width="14.5703125" style="26" bestFit="1" customWidth="1"/>
    <col min="4622" max="4622" width="11.42578125" style="26"/>
    <col min="4623" max="4623" width="14.5703125" style="26" bestFit="1" customWidth="1"/>
    <col min="4624" max="4624" width="11.42578125" style="26"/>
    <col min="4625" max="4625" width="14.5703125" style="26" bestFit="1" customWidth="1"/>
    <col min="4626" max="4626" width="13" style="26" bestFit="1" customWidth="1"/>
    <col min="4627" max="4842" width="11.42578125" style="26"/>
    <col min="4843" max="4843" width="3.7109375" style="26" customWidth="1"/>
    <col min="4844" max="4853" width="0" style="26" hidden="1" customWidth="1"/>
    <col min="4854" max="4854" width="4.7109375" style="26" customWidth="1"/>
    <col min="4855" max="4855" width="14" style="26" customWidth="1"/>
    <col min="4856" max="4862" width="12.7109375" style="26" customWidth="1"/>
    <col min="4863" max="4863" width="11.42578125" style="26"/>
    <col min="4864" max="4864" width="6.7109375" style="26" customWidth="1"/>
    <col min="4865" max="4865" width="11.28515625" style="26" customWidth="1"/>
    <col min="4866" max="4866" width="6.7109375" style="26" customWidth="1"/>
    <col min="4867" max="4867" width="10.140625" style="26" bestFit="1" customWidth="1"/>
    <col min="4868" max="4868" width="6.7109375" style="26" customWidth="1"/>
    <col min="4869" max="4869" width="8.7109375" style="26" customWidth="1"/>
    <col min="4870" max="4870" width="6.7109375" style="26" customWidth="1"/>
    <col min="4871" max="4871" width="8.7109375" style="26" customWidth="1"/>
    <col min="4872" max="4872" width="6.7109375" style="26" customWidth="1"/>
    <col min="4873" max="4873" width="14.5703125" style="26" bestFit="1" customWidth="1"/>
    <col min="4874" max="4874" width="11.42578125" style="26"/>
    <col min="4875" max="4875" width="14.5703125" style="26" bestFit="1" customWidth="1"/>
    <col min="4876" max="4876" width="11.42578125" style="26"/>
    <col min="4877" max="4877" width="14.5703125" style="26" bestFit="1" customWidth="1"/>
    <col min="4878" max="4878" width="11.42578125" style="26"/>
    <col min="4879" max="4879" width="14.5703125" style="26" bestFit="1" customWidth="1"/>
    <col min="4880" max="4880" width="11.42578125" style="26"/>
    <col min="4881" max="4881" width="14.5703125" style="26" bestFit="1" customWidth="1"/>
    <col min="4882" max="4882" width="13" style="26" bestFit="1" customWidth="1"/>
    <col min="4883" max="5098" width="11.42578125" style="26"/>
    <col min="5099" max="5099" width="3.7109375" style="26" customWidth="1"/>
    <col min="5100" max="5109" width="0" style="26" hidden="1" customWidth="1"/>
    <col min="5110" max="5110" width="4.7109375" style="26" customWidth="1"/>
    <col min="5111" max="5111" width="14" style="26" customWidth="1"/>
    <col min="5112" max="5118" width="12.7109375" style="26" customWidth="1"/>
    <col min="5119" max="5119" width="11.42578125" style="26"/>
    <col min="5120" max="5120" width="6.7109375" style="26" customWidth="1"/>
    <col min="5121" max="5121" width="11.28515625" style="26" customWidth="1"/>
    <col min="5122" max="5122" width="6.7109375" style="26" customWidth="1"/>
    <col min="5123" max="5123" width="10.140625" style="26" bestFit="1" customWidth="1"/>
    <col min="5124" max="5124" width="6.7109375" style="26" customWidth="1"/>
    <col min="5125" max="5125" width="8.7109375" style="26" customWidth="1"/>
    <col min="5126" max="5126" width="6.7109375" style="26" customWidth="1"/>
    <col min="5127" max="5127" width="8.7109375" style="26" customWidth="1"/>
    <col min="5128" max="5128" width="6.7109375" style="26" customWidth="1"/>
    <col min="5129" max="5129" width="14.5703125" style="26" bestFit="1" customWidth="1"/>
    <col min="5130" max="5130" width="11.42578125" style="26"/>
    <col min="5131" max="5131" width="14.5703125" style="26" bestFit="1" customWidth="1"/>
    <col min="5132" max="5132" width="11.42578125" style="26"/>
    <col min="5133" max="5133" width="14.5703125" style="26" bestFit="1" customWidth="1"/>
    <col min="5134" max="5134" width="11.42578125" style="26"/>
    <col min="5135" max="5135" width="14.5703125" style="26" bestFit="1" customWidth="1"/>
    <col min="5136" max="5136" width="11.42578125" style="26"/>
    <col min="5137" max="5137" width="14.5703125" style="26" bestFit="1" customWidth="1"/>
    <col min="5138" max="5138" width="13" style="26" bestFit="1" customWidth="1"/>
    <col min="5139" max="5354" width="11.42578125" style="26"/>
    <col min="5355" max="5355" width="3.7109375" style="26" customWidth="1"/>
    <col min="5356" max="5365" width="0" style="26" hidden="1" customWidth="1"/>
    <col min="5366" max="5366" width="4.7109375" style="26" customWidth="1"/>
    <col min="5367" max="5367" width="14" style="26" customWidth="1"/>
    <col min="5368" max="5374" width="12.7109375" style="26" customWidth="1"/>
    <col min="5375" max="5375" width="11.42578125" style="26"/>
    <col min="5376" max="5376" width="6.7109375" style="26" customWidth="1"/>
    <col min="5377" max="5377" width="11.28515625" style="26" customWidth="1"/>
    <col min="5378" max="5378" width="6.7109375" style="26" customWidth="1"/>
    <col min="5379" max="5379" width="10.140625" style="26" bestFit="1" customWidth="1"/>
    <col min="5380" max="5380" width="6.7109375" style="26" customWidth="1"/>
    <col min="5381" max="5381" width="8.7109375" style="26" customWidth="1"/>
    <col min="5382" max="5382" width="6.7109375" style="26" customWidth="1"/>
    <col min="5383" max="5383" width="8.7109375" style="26" customWidth="1"/>
    <col min="5384" max="5384" width="6.7109375" style="26" customWidth="1"/>
    <col min="5385" max="5385" width="14.5703125" style="26" bestFit="1" customWidth="1"/>
    <col min="5386" max="5386" width="11.42578125" style="26"/>
    <col min="5387" max="5387" width="14.5703125" style="26" bestFit="1" customWidth="1"/>
    <col min="5388" max="5388" width="11.42578125" style="26"/>
    <col min="5389" max="5389" width="14.5703125" style="26" bestFit="1" customWidth="1"/>
    <col min="5390" max="5390" width="11.42578125" style="26"/>
    <col min="5391" max="5391" width="14.5703125" style="26" bestFit="1" customWidth="1"/>
    <col min="5392" max="5392" width="11.42578125" style="26"/>
    <col min="5393" max="5393" width="14.5703125" style="26" bestFit="1" customWidth="1"/>
    <col min="5394" max="5394" width="13" style="26" bestFit="1" customWidth="1"/>
    <col min="5395" max="5610" width="11.42578125" style="26"/>
    <col min="5611" max="5611" width="3.7109375" style="26" customWidth="1"/>
    <col min="5612" max="5621" width="0" style="26" hidden="1" customWidth="1"/>
    <col min="5622" max="5622" width="4.7109375" style="26" customWidth="1"/>
    <col min="5623" max="5623" width="14" style="26" customWidth="1"/>
    <col min="5624" max="5630" width="12.7109375" style="26" customWidth="1"/>
    <col min="5631" max="5631" width="11.42578125" style="26"/>
    <col min="5632" max="5632" width="6.7109375" style="26" customWidth="1"/>
    <col min="5633" max="5633" width="11.28515625" style="26" customWidth="1"/>
    <col min="5634" max="5634" width="6.7109375" style="26" customWidth="1"/>
    <col min="5635" max="5635" width="10.140625" style="26" bestFit="1" customWidth="1"/>
    <col min="5636" max="5636" width="6.7109375" style="26" customWidth="1"/>
    <col min="5637" max="5637" width="8.7109375" style="26" customWidth="1"/>
    <col min="5638" max="5638" width="6.7109375" style="26" customWidth="1"/>
    <col min="5639" max="5639" width="8.7109375" style="26" customWidth="1"/>
    <col min="5640" max="5640" width="6.7109375" style="26" customWidth="1"/>
    <col min="5641" max="5641" width="14.5703125" style="26" bestFit="1" customWidth="1"/>
    <col min="5642" max="5642" width="11.42578125" style="26"/>
    <col min="5643" max="5643" width="14.5703125" style="26" bestFit="1" customWidth="1"/>
    <col min="5644" max="5644" width="11.42578125" style="26"/>
    <col min="5645" max="5645" width="14.5703125" style="26" bestFit="1" customWidth="1"/>
    <col min="5646" max="5646" width="11.42578125" style="26"/>
    <col min="5647" max="5647" width="14.5703125" style="26" bestFit="1" customWidth="1"/>
    <col min="5648" max="5648" width="11.42578125" style="26"/>
    <col min="5649" max="5649" width="14.5703125" style="26" bestFit="1" customWidth="1"/>
    <col min="5650" max="5650" width="13" style="26" bestFit="1" customWidth="1"/>
    <col min="5651" max="5866" width="11.42578125" style="26"/>
    <col min="5867" max="5867" width="3.7109375" style="26" customWidth="1"/>
    <col min="5868" max="5877" width="0" style="26" hidden="1" customWidth="1"/>
    <col min="5878" max="5878" width="4.7109375" style="26" customWidth="1"/>
    <col min="5879" max="5879" width="14" style="26" customWidth="1"/>
    <col min="5880" max="5886" width="12.7109375" style="26" customWidth="1"/>
    <col min="5887" max="5887" width="11.42578125" style="26"/>
    <col min="5888" max="5888" width="6.7109375" style="26" customWidth="1"/>
    <col min="5889" max="5889" width="11.28515625" style="26" customWidth="1"/>
    <col min="5890" max="5890" width="6.7109375" style="26" customWidth="1"/>
    <col min="5891" max="5891" width="10.140625" style="26" bestFit="1" customWidth="1"/>
    <col min="5892" max="5892" width="6.7109375" style="26" customWidth="1"/>
    <col min="5893" max="5893" width="8.7109375" style="26" customWidth="1"/>
    <col min="5894" max="5894" width="6.7109375" style="26" customWidth="1"/>
    <col min="5895" max="5895" width="8.7109375" style="26" customWidth="1"/>
    <col min="5896" max="5896" width="6.7109375" style="26" customWidth="1"/>
    <col min="5897" max="5897" width="14.5703125" style="26" bestFit="1" customWidth="1"/>
    <col min="5898" max="5898" width="11.42578125" style="26"/>
    <col min="5899" max="5899" width="14.5703125" style="26" bestFit="1" customWidth="1"/>
    <col min="5900" max="5900" width="11.42578125" style="26"/>
    <col min="5901" max="5901" width="14.5703125" style="26" bestFit="1" customWidth="1"/>
    <col min="5902" max="5902" width="11.42578125" style="26"/>
    <col min="5903" max="5903" width="14.5703125" style="26" bestFit="1" customWidth="1"/>
    <col min="5904" max="5904" width="11.42578125" style="26"/>
    <col min="5905" max="5905" width="14.5703125" style="26" bestFit="1" customWidth="1"/>
    <col min="5906" max="5906" width="13" style="26" bestFit="1" customWidth="1"/>
    <col min="5907" max="6122" width="11.42578125" style="26"/>
    <col min="6123" max="6123" width="3.7109375" style="26" customWidth="1"/>
    <col min="6124" max="6133" width="0" style="26" hidden="1" customWidth="1"/>
    <col min="6134" max="6134" width="4.7109375" style="26" customWidth="1"/>
    <col min="6135" max="6135" width="14" style="26" customWidth="1"/>
    <col min="6136" max="6142" width="12.7109375" style="26" customWidth="1"/>
    <col min="6143" max="6143" width="11.42578125" style="26"/>
    <col min="6144" max="6144" width="6.7109375" style="26" customWidth="1"/>
    <col min="6145" max="6145" width="11.28515625" style="26" customWidth="1"/>
    <col min="6146" max="6146" width="6.7109375" style="26" customWidth="1"/>
    <col min="6147" max="6147" width="10.140625" style="26" bestFit="1" customWidth="1"/>
    <col min="6148" max="6148" width="6.7109375" style="26" customWidth="1"/>
    <col min="6149" max="6149" width="8.7109375" style="26" customWidth="1"/>
    <col min="6150" max="6150" width="6.7109375" style="26" customWidth="1"/>
    <col min="6151" max="6151" width="8.7109375" style="26" customWidth="1"/>
    <col min="6152" max="6152" width="6.7109375" style="26" customWidth="1"/>
    <col min="6153" max="6153" width="14.5703125" style="26" bestFit="1" customWidth="1"/>
    <col min="6154" max="6154" width="11.42578125" style="26"/>
    <col min="6155" max="6155" width="14.5703125" style="26" bestFit="1" customWidth="1"/>
    <col min="6156" max="6156" width="11.42578125" style="26"/>
    <col min="6157" max="6157" width="14.5703125" style="26" bestFit="1" customWidth="1"/>
    <col min="6158" max="6158" width="11.42578125" style="26"/>
    <col min="6159" max="6159" width="14.5703125" style="26" bestFit="1" customWidth="1"/>
    <col min="6160" max="6160" width="11.42578125" style="26"/>
    <col min="6161" max="6161" width="14.5703125" style="26" bestFit="1" customWidth="1"/>
    <col min="6162" max="6162" width="13" style="26" bestFit="1" customWidth="1"/>
    <col min="6163" max="6378" width="11.42578125" style="26"/>
    <col min="6379" max="6379" width="3.7109375" style="26" customWidth="1"/>
    <col min="6380" max="6389" width="0" style="26" hidden="1" customWidth="1"/>
    <col min="6390" max="6390" width="4.7109375" style="26" customWidth="1"/>
    <col min="6391" max="6391" width="14" style="26" customWidth="1"/>
    <col min="6392" max="6398" width="12.7109375" style="26" customWidth="1"/>
    <col min="6399" max="6399" width="11.42578125" style="26"/>
    <col min="6400" max="6400" width="6.7109375" style="26" customWidth="1"/>
    <col min="6401" max="6401" width="11.28515625" style="26" customWidth="1"/>
    <col min="6402" max="6402" width="6.7109375" style="26" customWidth="1"/>
    <col min="6403" max="6403" width="10.140625" style="26" bestFit="1" customWidth="1"/>
    <col min="6404" max="6404" width="6.7109375" style="26" customWidth="1"/>
    <col min="6405" max="6405" width="8.7109375" style="26" customWidth="1"/>
    <col min="6406" max="6406" width="6.7109375" style="26" customWidth="1"/>
    <col min="6407" max="6407" width="8.7109375" style="26" customWidth="1"/>
    <col min="6408" max="6408" width="6.7109375" style="26" customWidth="1"/>
    <col min="6409" max="6409" width="14.5703125" style="26" bestFit="1" customWidth="1"/>
    <col min="6410" max="6410" width="11.42578125" style="26"/>
    <col min="6411" max="6411" width="14.5703125" style="26" bestFit="1" customWidth="1"/>
    <col min="6412" max="6412" width="11.42578125" style="26"/>
    <col min="6413" max="6413" width="14.5703125" style="26" bestFit="1" customWidth="1"/>
    <col min="6414" max="6414" width="11.42578125" style="26"/>
    <col min="6415" max="6415" width="14.5703125" style="26" bestFit="1" customWidth="1"/>
    <col min="6416" max="6416" width="11.42578125" style="26"/>
    <col min="6417" max="6417" width="14.5703125" style="26" bestFit="1" customWidth="1"/>
    <col min="6418" max="6418" width="13" style="26" bestFit="1" customWidth="1"/>
    <col min="6419" max="6634" width="11.42578125" style="26"/>
    <col min="6635" max="6635" width="3.7109375" style="26" customWidth="1"/>
    <col min="6636" max="6645" width="0" style="26" hidden="1" customWidth="1"/>
    <col min="6646" max="6646" width="4.7109375" style="26" customWidth="1"/>
    <col min="6647" max="6647" width="14" style="26" customWidth="1"/>
    <col min="6648" max="6654" width="12.7109375" style="26" customWidth="1"/>
    <col min="6655" max="6655" width="11.42578125" style="26"/>
    <col min="6656" max="6656" width="6.7109375" style="26" customWidth="1"/>
    <col min="6657" max="6657" width="11.28515625" style="26" customWidth="1"/>
    <col min="6658" max="6658" width="6.7109375" style="26" customWidth="1"/>
    <col min="6659" max="6659" width="10.140625" style="26" bestFit="1" customWidth="1"/>
    <col min="6660" max="6660" width="6.7109375" style="26" customWidth="1"/>
    <col min="6661" max="6661" width="8.7109375" style="26" customWidth="1"/>
    <col min="6662" max="6662" width="6.7109375" style="26" customWidth="1"/>
    <col min="6663" max="6663" width="8.7109375" style="26" customWidth="1"/>
    <col min="6664" max="6664" width="6.7109375" style="26" customWidth="1"/>
    <col min="6665" max="6665" width="14.5703125" style="26" bestFit="1" customWidth="1"/>
    <col min="6666" max="6666" width="11.42578125" style="26"/>
    <col min="6667" max="6667" width="14.5703125" style="26" bestFit="1" customWidth="1"/>
    <col min="6668" max="6668" width="11.42578125" style="26"/>
    <col min="6669" max="6669" width="14.5703125" style="26" bestFit="1" customWidth="1"/>
    <col min="6670" max="6670" width="11.42578125" style="26"/>
    <col min="6671" max="6671" width="14.5703125" style="26" bestFit="1" customWidth="1"/>
    <col min="6672" max="6672" width="11.42578125" style="26"/>
    <col min="6673" max="6673" width="14.5703125" style="26" bestFit="1" customWidth="1"/>
    <col min="6674" max="6674" width="13" style="26" bestFit="1" customWidth="1"/>
    <col min="6675" max="6890" width="11.42578125" style="26"/>
    <col min="6891" max="6891" width="3.7109375" style="26" customWidth="1"/>
    <col min="6892" max="6901" width="0" style="26" hidden="1" customWidth="1"/>
    <col min="6902" max="6902" width="4.7109375" style="26" customWidth="1"/>
    <col min="6903" max="6903" width="14" style="26" customWidth="1"/>
    <col min="6904" max="6910" width="12.7109375" style="26" customWidth="1"/>
    <col min="6911" max="6911" width="11.42578125" style="26"/>
    <col min="6912" max="6912" width="6.7109375" style="26" customWidth="1"/>
    <col min="6913" max="6913" width="11.28515625" style="26" customWidth="1"/>
    <col min="6914" max="6914" width="6.7109375" style="26" customWidth="1"/>
    <col min="6915" max="6915" width="10.140625" style="26" bestFit="1" customWidth="1"/>
    <col min="6916" max="6916" width="6.7109375" style="26" customWidth="1"/>
    <col min="6917" max="6917" width="8.7109375" style="26" customWidth="1"/>
    <col min="6918" max="6918" width="6.7109375" style="26" customWidth="1"/>
    <col min="6919" max="6919" width="8.7109375" style="26" customWidth="1"/>
    <col min="6920" max="6920" width="6.7109375" style="26" customWidth="1"/>
    <col min="6921" max="6921" width="14.5703125" style="26" bestFit="1" customWidth="1"/>
    <col min="6922" max="6922" width="11.42578125" style="26"/>
    <col min="6923" max="6923" width="14.5703125" style="26" bestFit="1" customWidth="1"/>
    <col min="6924" max="6924" width="11.42578125" style="26"/>
    <col min="6925" max="6925" width="14.5703125" style="26" bestFit="1" customWidth="1"/>
    <col min="6926" max="6926" width="11.42578125" style="26"/>
    <col min="6927" max="6927" width="14.5703125" style="26" bestFit="1" customWidth="1"/>
    <col min="6928" max="6928" width="11.42578125" style="26"/>
    <col min="6929" max="6929" width="14.5703125" style="26" bestFit="1" customWidth="1"/>
    <col min="6930" max="6930" width="13" style="26" bestFit="1" customWidth="1"/>
    <col min="6931" max="7146" width="11.42578125" style="26"/>
    <col min="7147" max="7147" width="3.7109375" style="26" customWidth="1"/>
    <col min="7148" max="7157" width="0" style="26" hidden="1" customWidth="1"/>
    <col min="7158" max="7158" width="4.7109375" style="26" customWidth="1"/>
    <col min="7159" max="7159" width="14" style="26" customWidth="1"/>
    <col min="7160" max="7166" width="12.7109375" style="26" customWidth="1"/>
    <col min="7167" max="7167" width="11.42578125" style="26"/>
    <col min="7168" max="7168" width="6.7109375" style="26" customWidth="1"/>
    <col min="7169" max="7169" width="11.28515625" style="26" customWidth="1"/>
    <col min="7170" max="7170" width="6.7109375" style="26" customWidth="1"/>
    <col min="7171" max="7171" width="10.140625" style="26" bestFit="1" customWidth="1"/>
    <col min="7172" max="7172" width="6.7109375" style="26" customWidth="1"/>
    <col min="7173" max="7173" width="8.7109375" style="26" customWidth="1"/>
    <col min="7174" max="7174" width="6.7109375" style="26" customWidth="1"/>
    <col min="7175" max="7175" width="8.7109375" style="26" customWidth="1"/>
    <col min="7176" max="7176" width="6.7109375" style="26" customWidth="1"/>
    <col min="7177" max="7177" width="14.5703125" style="26" bestFit="1" customWidth="1"/>
    <col min="7178" max="7178" width="11.42578125" style="26"/>
    <col min="7179" max="7179" width="14.5703125" style="26" bestFit="1" customWidth="1"/>
    <col min="7180" max="7180" width="11.42578125" style="26"/>
    <col min="7181" max="7181" width="14.5703125" style="26" bestFit="1" customWidth="1"/>
    <col min="7182" max="7182" width="11.42578125" style="26"/>
    <col min="7183" max="7183" width="14.5703125" style="26" bestFit="1" customWidth="1"/>
    <col min="7184" max="7184" width="11.42578125" style="26"/>
    <col min="7185" max="7185" width="14.5703125" style="26" bestFit="1" customWidth="1"/>
    <col min="7186" max="7186" width="13" style="26" bestFit="1" customWidth="1"/>
    <col min="7187" max="7402" width="11.42578125" style="26"/>
    <col min="7403" max="7403" width="3.7109375" style="26" customWidth="1"/>
    <col min="7404" max="7413" width="0" style="26" hidden="1" customWidth="1"/>
    <col min="7414" max="7414" width="4.7109375" style="26" customWidth="1"/>
    <col min="7415" max="7415" width="14" style="26" customWidth="1"/>
    <col min="7416" max="7422" width="12.7109375" style="26" customWidth="1"/>
    <col min="7423" max="7423" width="11.42578125" style="26"/>
    <col min="7424" max="7424" width="6.7109375" style="26" customWidth="1"/>
    <col min="7425" max="7425" width="11.28515625" style="26" customWidth="1"/>
    <col min="7426" max="7426" width="6.7109375" style="26" customWidth="1"/>
    <col min="7427" max="7427" width="10.140625" style="26" bestFit="1" customWidth="1"/>
    <col min="7428" max="7428" width="6.7109375" style="26" customWidth="1"/>
    <col min="7429" max="7429" width="8.7109375" style="26" customWidth="1"/>
    <col min="7430" max="7430" width="6.7109375" style="26" customWidth="1"/>
    <col min="7431" max="7431" width="8.7109375" style="26" customWidth="1"/>
    <col min="7432" max="7432" width="6.7109375" style="26" customWidth="1"/>
    <col min="7433" max="7433" width="14.5703125" style="26" bestFit="1" customWidth="1"/>
    <col min="7434" max="7434" width="11.42578125" style="26"/>
    <col min="7435" max="7435" width="14.5703125" style="26" bestFit="1" customWidth="1"/>
    <col min="7436" max="7436" width="11.42578125" style="26"/>
    <col min="7437" max="7437" width="14.5703125" style="26" bestFit="1" customWidth="1"/>
    <col min="7438" max="7438" width="11.42578125" style="26"/>
    <col min="7439" max="7439" width="14.5703125" style="26" bestFit="1" customWidth="1"/>
    <col min="7440" max="7440" width="11.42578125" style="26"/>
    <col min="7441" max="7441" width="14.5703125" style="26" bestFit="1" customWidth="1"/>
    <col min="7442" max="7442" width="13" style="26" bestFit="1" customWidth="1"/>
    <col min="7443" max="7658" width="11.42578125" style="26"/>
    <col min="7659" max="7659" width="3.7109375" style="26" customWidth="1"/>
    <col min="7660" max="7669" width="0" style="26" hidden="1" customWidth="1"/>
    <col min="7670" max="7670" width="4.7109375" style="26" customWidth="1"/>
    <col min="7671" max="7671" width="14" style="26" customWidth="1"/>
    <col min="7672" max="7678" width="12.7109375" style="26" customWidth="1"/>
    <col min="7679" max="7679" width="11.42578125" style="26"/>
    <col min="7680" max="7680" width="6.7109375" style="26" customWidth="1"/>
    <col min="7681" max="7681" width="11.28515625" style="26" customWidth="1"/>
    <col min="7682" max="7682" width="6.7109375" style="26" customWidth="1"/>
    <col min="7683" max="7683" width="10.140625" style="26" bestFit="1" customWidth="1"/>
    <col min="7684" max="7684" width="6.7109375" style="26" customWidth="1"/>
    <col min="7685" max="7685" width="8.7109375" style="26" customWidth="1"/>
    <col min="7686" max="7686" width="6.7109375" style="26" customWidth="1"/>
    <col min="7687" max="7687" width="8.7109375" style="26" customWidth="1"/>
    <col min="7688" max="7688" width="6.7109375" style="26" customWidth="1"/>
    <col min="7689" max="7689" width="14.5703125" style="26" bestFit="1" customWidth="1"/>
    <col min="7690" max="7690" width="11.42578125" style="26"/>
    <col min="7691" max="7691" width="14.5703125" style="26" bestFit="1" customWidth="1"/>
    <col min="7692" max="7692" width="11.42578125" style="26"/>
    <col min="7693" max="7693" width="14.5703125" style="26" bestFit="1" customWidth="1"/>
    <col min="7694" max="7694" width="11.42578125" style="26"/>
    <col min="7695" max="7695" width="14.5703125" style="26" bestFit="1" customWidth="1"/>
    <col min="7696" max="7696" width="11.42578125" style="26"/>
    <col min="7697" max="7697" width="14.5703125" style="26" bestFit="1" customWidth="1"/>
    <col min="7698" max="7698" width="13" style="26" bestFit="1" customWidth="1"/>
    <col min="7699" max="7914" width="11.42578125" style="26"/>
    <col min="7915" max="7915" width="3.7109375" style="26" customWidth="1"/>
    <col min="7916" max="7925" width="0" style="26" hidden="1" customWidth="1"/>
    <col min="7926" max="7926" width="4.7109375" style="26" customWidth="1"/>
    <col min="7927" max="7927" width="14" style="26" customWidth="1"/>
    <col min="7928" max="7934" width="12.7109375" style="26" customWidth="1"/>
    <col min="7935" max="7935" width="11.42578125" style="26"/>
    <col min="7936" max="7936" width="6.7109375" style="26" customWidth="1"/>
    <col min="7937" max="7937" width="11.28515625" style="26" customWidth="1"/>
    <col min="7938" max="7938" width="6.7109375" style="26" customWidth="1"/>
    <col min="7939" max="7939" width="10.140625" style="26" bestFit="1" customWidth="1"/>
    <col min="7940" max="7940" width="6.7109375" style="26" customWidth="1"/>
    <col min="7941" max="7941" width="8.7109375" style="26" customWidth="1"/>
    <col min="7942" max="7942" width="6.7109375" style="26" customWidth="1"/>
    <col min="7943" max="7943" width="8.7109375" style="26" customWidth="1"/>
    <col min="7944" max="7944" width="6.7109375" style="26" customWidth="1"/>
    <col min="7945" max="7945" width="14.5703125" style="26" bestFit="1" customWidth="1"/>
    <col min="7946" max="7946" width="11.42578125" style="26"/>
    <col min="7947" max="7947" width="14.5703125" style="26" bestFit="1" customWidth="1"/>
    <col min="7948" max="7948" width="11.42578125" style="26"/>
    <col min="7949" max="7949" width="14.5703125" style="26" bestFit="1" customWidth="1"/>
    <col min="7950" max="7950" width="11.42578125" style="26"/>
    <col min="7951" max="7951" width="14.5703125" style="26" bestFit="1" customWidth="1"/>
    <col min="7952" max="7952" width="11.42578125" style="26"/>
    <col min="7953" max="7953" width="14.5703125" style="26" bestFit="1" customWidth="1"/>
    <col min="7954" max="7954" width="13" style="26" bestFit="1" customWidth="1"/>
    <col min="7955" max="8170" width="11.42578125" style="26"/>
    <col min="8171" max="8171" width="3.7109375" style="26" customWidth="1"/>
    <col min="8172" max="8181" width="0" style="26" hidden="1" customWidth="1"/>
    <col min="8182" max="8182" width="4.7109375" style="26" customWidth="1"/>
    <col min="8183" max="8183" width="14" style="26" customWidth="1"/>
    <col min="8184" max="8190" width="12.7109375" style="26" customWidth="1"/>
    <col min="8191" max="8191" width="11.42578125" style="26"/>
    <col min="8192" max="8192" width="6.7109375" style="26" customWidth="1"/>
    <col min="8193" max="8193" width="11.28515625" style="26" customWidth="1"/>
    <col min="8194" max="8194" width="6.7109375" style="26" customWidth="1"/>
    <col min="8195" max="8195" width="10.140625" style="26" bestFit="1" customWidth="1"/>
    <col min="8196" max="8196" width="6.7109375" style="26" customWidth="1"/>
    <col min="8197" max="8197" width="8.7109375" style="26" customWidth="1"/>
    <col min="8198" max="8198" width="6.7109375" style="26" customWidth="1"/>
    <col min="8199" max="8199" width="8.7109375" style="26" customWidth="1"/>
    <col min="8200" max="8200" width="6.7109375" style="26" customWidth="1"/>
    <col min="8201" max="8201" width="14.5703125" style="26" bestFit="1" customWidth="1"/>
    <col min="8202" max="8202" width="11.42578125" style="26"/>
    <col min="8203" max="8203" width="14.5703125" style="26" bestFit="1" customWidth="1"/>
    <col min="8204" max="8204" width="11.42578125" style="26"/>
    <col min="8205" max="8205" width="14.5703125" style="26" bestFit="1" customWidth="1"/>
    <col min="8206" max="8206" width="11.42578125" style="26"/>
    <col min="8207" max="8207" width="14.5703125" style="26" bestFit="1" customWidth="1"/>
    <col min="8208" max="8208" width="11.42578125" style="26"/>
    <col min="8209" max="8209" width="14.5703125" style="26" bestFit="1" customWidth="1"/>
    <col min="8210" max="8210" width="13" style="26" bestFit="1" customWidth="1"/>
    <col min="8211" max="8426" width="11.42578125" style="26"/>
    <col min="8427" max="8427" width="3.7109375" style="26" customWidth="1"/>
    <col min="8428" max="8437" width="0" style="26" hidden="1" customWidth="1"/>
    <col min="8438" max="8438" width="4.7109375" style="26" customWidth="1"/>
    <col min="8439" max="8439" width="14" style="26" customWidth="1"/>
    <col min="8440" max="8446" width="12.7109375" style="26" customWidth="1"/>
    <col min="8447" max="8447" width="11.42578125" style="26"/>
    <col min="8448" max="8448" width="6.7109375" style="26" customWidth="1"/>
    <col min="8449" max="8449" width="11.28515625" style="26" customWidth="1"/>
    <col min="8450" max="8450" width="6.7109375" style="26" customWidth="1"/>
    <col min="8451" max="8451" width="10.140625" style="26" bestFit="1" customWidth="1"/>
    <col min="8452" max="8452" width="6.7109375" style="26" customWidth="1"/>
    <col min="8453" max="8453" width="8.7109375" style="26" customWidth="1"/>
    <col min="8454" max="8454" width="6.7109375" style="26" customWidth="1"/>
    <col min="8455" max="8455" width="8.7109375" style="26" customWidth="1"/>
    <col min="8456" max="8456" width="6.7109375" style="26" customWidth="1"/>
    <col min="8457" max="8457" width="14.5703125" style="26" bestFit="1" customWidth="1"/>
    <col min="8458" max="8458" width="11.42578125" style="26"/>
    <col min="8459" max="8459" width="14.5703125" style="26" bestFit="1" customWidth="1"/>
    <col min="8460" max="8460" width="11.42578125" style="26"/>
    <col min="8461" max="8461" width="14.5703125" style="26" bestFit="1" customWidth="1"/>
    <col min="8462" max="8462" width="11.42578125" style="26"/>
    <col min="8463" max="8463" width="14.5703125" style="26" bestFit="1" customWidth="1"/>
    <col min="8464" max="8464" width="11.42578125" style="26"/>
    <col min="8465" max="8465" width="14.5703125" style="26" bestFit="1" customWidth="1"/>
    <col min="8466" max="8466" width="13" style="26" bestFit="1" customWidth="1"/>
    <col min="8467" max="8682" width="11.42578125" style="26"/>
    <col min="8683" max="8683" width="3.7109375" style="26" customWidth="1"/>
    <col min="8684" max="8693" width="0" style="26" hidden="1" customWidth="1"/>
    <col min="8694" max="8694" width="4.7109375" style="26" customWidth="1"/>
    <col min="8695" max="8695" width="14" style="26" customWidth="1"/>
    <col min="8696" max="8702" width="12.7109375" style="26" customWidth="1"/>
    <col min="8703" max="8703" width="11.42578125" style="26"/>
    <col min="8704" max="8704" width="6.7109375" style="26" customWidth="1"/>
    <col min="8705" max="8705" width="11.28515625" style="26" customWidth="1"/>
    <col min="8706" max="8706" width="6.7109375" style="26" customWidth="1"/>
    <col min="8707" max="8707" width="10.140625" style="26" bestFit="1" customWidth="1"/>
    <col min="8708" max="8708" width="6.7109375" style="26" customWidth="1"/>
    <col min="8709" max="8709" width="8.7109375" style="26" customWidth="1"/>
    <col min="8710" max="8710" width="6.7109375" style="26" customWidth="1"/>
    <col min="8711" max="8711" width="8.7109375" style="26" customWidth="1"/>
    <col min="8712" max="8712" width="6.7109375" style="26" customWidth="1"/>
    <col min="8713" max="8713" width="14.5703125" style="26" bestFit="1" customWidth="1"/>
    <col min="8714" max="8714" width="11.42578125" style="26"/>
    <col min="8715" max="8715" width="14.5703125" style="26" bestFit="1" customWidth="1"/>
    <col min="8716" max="8716" width="11.42578125" style="26"/>
    <col min="8717" max="8717" width="14.5703125" style="26" bestFit="1" customWidth="1"/>
    <col min="8718" max="8718" width="11.42578125" style="26"/>
    <col min="8719" max="8719" width="14.5703125" style="26" bestFit="1" customWidth="1"/>
    <col min="8720" max="8720" width="11.42578125" style="26"/>
    <col min="8721" max="8721" width="14.5703125" style="26" bestFit="1" customWidth="1"/>
    <col min="8722" max="8722" width="13" style="26" bestFit="1" customWidth="1"/>
    <col min="8723" max="8938" width="11.42578125" style="26"/>
    <col min="8939" max="8939" width="3.7109375" style="26" customWidth="1"/>
    <col min="8940" max="8949" width="0" style="26" hidden="1" customWidth="1"/>
    <col min="8950" max="8950" width="4.7109375" style="26" customWidth="1"/>
    <col min="8951" max="8951" width="14" style="26" customWidth="1"/>
    <col min="8952" max="8958" width="12.7109375" style="26" customWidth="1"/>
    <col min="8959" max="8959" width="11.42578125" style="26"/>
    <col min="8960" max="8960" width="6.7109375" style="26" customWidth="1"/>
    <col min="8961" max="8961" width="11.28515625" style="26" customWidth="1"/>
    <col min="8962" max="8962" width="6.7109375" style="26" customWidth="1"/>
    <col min="8963" max="8963" width="10.140625" style="26" bestFit="1" customWidth="1"/>
    <col min="8964" max="8964" width="6.7109375" style="26" customWidth="1"/>
    <col min="8965" max="8965" width="8.7109375" style="26" customWidth="1"/>
    <col min="8966" max="8966" width="6.7109375" style="26" customWidth="1"/>
    <col min="8967" max="8967" width="8.7109375" style="26" customWidth="1"/>
    <col min="8968" max="8968" width="6.7109375" style="26" customWidth="1"/>
    <col min="8969" max="8969" width="14.5703125" style="26" bestFit="1" customWidth="1"/>
    <col min="8970" max="8970" width="11.42578125" style="26"/>
    <col min="8971" max="8971" width="14.5703125" style="26" bestFit="1" customWidth="1"/>
    <col min="8972" max="8972" width="11.42578125" style="26"/>
    <col min="8973" max="8973" width="14.5703125" style="26" bestFit="1" customWidth="1"/>
    <col min="8974" max="8974" width="11.42578125" style="26"/>
    <col min="8975" max="8975" width="14.5703125" style="26" bestFit="1" customWidth="1"/>
    <col min="8976" max="8976" width="11.42578125" style="26"/>
    <col min="8977" max="8977" width="14.5703125" style="26" bestFit="1" customWidth="1"/>
    <col min="8978" max="8978" width="13" style="26" bestFit="1" customWidth="1"/>
    <col min="8979" max="9194" width="11.42578125" style="26"/>
    <col min="9195" max="9195" width="3.7109375" style="26" customWidth="1"/>
    <col min="9196" max="9205" width="0" style="26" hidden="1" customWidth="1"/>
    <col min="9206" max="9206" width="4.7109375" style="26" customWidth="1"/>
    <col min="9207" max="9207" width="14" style="26" customWidth="1"/>
    <col min="9208" max="9214" width="12.7109375" style="26" customWidth="1"/>
    <col min="9215" max="9215" width="11.42578125" style="26"/>
    <col min="9216" max="9216" width="6.7109375" style="26" customWidth="1"/>
    <col min="9217" max="9217" width="11.28515625" style="26" customWidth="1"/>
    <col min="9218" max="9218" width="6.7109375" style="26" customWidth="1"/>
    <col min="9219" max="9219" width="10.140625" style="26" bestFit="1" customWidth="1"/>
    <col min="9220" max="9220" width="6.7109375" style="26" customWidth="1"/>
    <col min="9221" max="9221" width="8.7109375" style="26" customWidth="1"/>
    <col min="9222" max="9222" width="6.7109375" style="26" customWidth="1"/>
    <col min="9223" max="9223" width="8.7109375" style="26" customWidth="1"/>
    <col min="9224" max="9224" width="6.7109375" style="26" customWidth="1"/>
    <col min="9225" max="9225" width="14.5703125" style="26" bestFit="1" customWidth="1"/>
    <col min="9226" max="9226" width="11.42578125" style="26"/>
    <col min="9227" max="9227" width="14.5703125" style="26" bestFit="1" customWidth="1"/>
    <col min="9228" max="9228" width="11.42578125" style="26"/>
    <col min="9229" max="9229" width="14.5703125" style="26" bestFit="1" customWidth="1"/>
    <col min="9230" max="9230" width="11.42578125" style="26"/>
    <col min="9231" max="9231" width="14.5703125" style="26" bestFit="1" customWidth="1"/>
    <col min="9232" max="9232" width="11.42578125" style="26"/>
    <col min="9233" max="9233" width="14.5703125" style="26" bestFit="1" customWidth="1"/>
    <col min="9234" max="9234" width="13" style="26" bestFit="1" customWidth="1"/>
    <col min="9235" max="9450" width="11.42578125" style="26"/>
    <col min="9451" max="9451" width="3.7109375" style="26" customWidth="1"/>
    <col min="9452" max="9461" width="0" style="26" hidden="1" customWidth="1"/>
    <col min="9462" max="9462" width="4.7109375" style="26" customWidth="1"/>
    <col min="9463" max="9463" width="14" style="26" customWidth="1"/>
    <col min="9464" max="9470" width="12.7109375" style="26" customWidth="1"/>
    <col min="9471" max="9471" width="11.42578125" style="26"/>
    <col min="9472" max="9472" width="6.7109375" style="26" customWidth="1"/>
    <col min="9473" max="9473" width="11.28515625" style="26" customWidth="1"/>
    <col min="9474" max="9474" width="6.7109375" style="26" customWidth="1"/>
    <col min="9475" max="9475" width="10.140625" style="26" bestFit="1" customWidth="1"/>
    <col min="9476" max="9476" width="6.7109375" style="26" customWidth="1"/>
    <col min="9477" max="9477" width="8.7109375" style="26" customWidth="1"/>
    <col min="9478" max="9478" width="6.7109375" style="26" customWidth="1"/>
    <col min="9479" max="9479" width="8.7109375" style="26" customWidth="1"/>
    <col min="9480" max="9480" width="6.7109375" style="26" customWidth="1"/>
    <col min="9481" max="9481" width="14.5703125" style="26" bestFit="1" customWidth="1"/>
    <col min="9482" max="9482" width="11.42578125" style="26"/>
    <col min="9483" max="9483" width="14.5703125" style="26" bestFit="1" customWidth="1"/>
    <col min="9484" max="9484" width="11.42578125" style="26"/>
    <col min="9485" max="9485" width="14.5703125" style="26" bestFit="1" customWidth="1"/>
    <col min="9486" max="9486" width="11.42578125" style="26"/>
    <col min="9487" max="9487" width="14.5703125" style="26" bestFit="1" customWidth="1"/>
    <col min="9488" max="9488" width="11.42578125" style="26"/>
    <col min="9489" max="9489" width="14.5703125" style="26" bestFit="1" customWidth="1"/>
    <col min="9490" max="9490" width="13" style="26" bestFit="1" customWidth="1"/>
    <col min="9491" max="9706" width="11.42578125" style="26"/>
    <col min="9707" max="9707" width="3.7109375" style="26" customWidth="1"/>
    <col min="9708" max="9717" width="0" style="26" hidden="1" customWidth="1"/>
    <col min="9718" max="9718" width="4.7109375" style="26" customWidth="1"/>
    <col min="9719" max="9719" width="14" style="26" customWidth="1"/>
    <col min="9720" max="9726" width="12.7109375" style="26" customWidth="1"/>
    <col min="9727" max="9727" width="11.42578125" style="26"/>
    <col min="9728" max="9728" width="6.7109375" style="26" customWidth="1"/>
    <col min="9729" max="9729" width="11.28515625" style="26" customWidth="1"/>
    <col min="9730" max="9730" width="6.7109375" style="26" customWidth="1"/>
    <col min="9731" max="9731" width="10.140625" style="26" bestFit="1" customWidth="1"/>
    <col min="9732" max="9732" width="6.7109375" style="26" customWidth="1"/>
    <col min="9733" max="9733" width="8.7109375" style="26" customWidth="1"/>
    <col min="9734" max="9734" width="6.7109375" style="26" customWidth="1"/>
    <col min="9735" max="9735" width="8.7109375" style="26" customWidth="1"/>
    <col min="9736" max="9736" width="6.7109375" style="26" customWidth="1"/>
    <col min="9737" max="9737" width="14.5703125" style="26" bestFit="1" customWidth="1"/>
    <col min="9738" max="9738" width="11.42578125" style="26"/>
    <col min="9739" max="9739" width="14.5703125" style="26" bestFit="1" customWidth="1"/>
    <col min="9740" max="9740" width="11.42578125" style="26"/>
    <col min="9741" max="9741" width="14.5703125" style="26" bestFit="1" customWidth="1"/>
    <col min="9742" max="9742" width="11.42578125" style="26"/>
    <col min="9743" max="9743" width="14.5703125" style="26" bestFit="1" customWidth="1"/>
    <col min="9744" max="9744" width="11.42578125" style="26"/>
    <col min="9745" max="9745" width="14.5703125" style="26" bestFit="1" customWidth="1"/>
    <col min="9746" max="9746" width="13" style="26" bestFit="1" customWidth="1"/>
    <col min="9747" max="9962" width="11.42578125" style="26"/>
    <col min="9963" max="9963" width="3.7109375" style="26" customWidth="1"/>
    <col min="9964" max="9973" width="0" style="26" hidden="1" customWidth="1"/>
    <col min="9974" max="9974" width="4.7109375" style="26" customWidth="1"/>
    <col min="9975" max="9975" width="14" style="26" customWidth="1"/>
    <col min="9976" max="9982" width="12.7109375" style="26" customWidth="1"/>
    <col min="9983" max="9983" width="11.42578125" style="26"/>
    <col min="9984" max="9984" width="6.7109375" style="26" customWidth="1"/>
    <col min="9985" max="9985" width="11.28515625" style="26" customWidth="1"/>
    <col min="9986" max="9986" width="6.7109375" style="26" customWidth="1"/>
    <col min="9987" max="9987" width="10.140625" style="26" bestFit="1" customWidth="1"/>
    <col min="9988" max="9988" width="6.7109375" style="26" customWidth="1"/>
    <col min="9989" max="9989" width="8.7109375" style="26" customWidth="1"/>
    <col min="9990" max="9990" width="6.7109375" style="26" customWidth="1"/>
    <col min="9991" max="9991" width="8.7109375" style="26" customWidth="1"/>
    <col min="9992" max="9992" width="6.7109375" style="26" customWidth="1"/>
    <col min="9993" max="9993" width="14.5703125" style="26" bestFit="1" customWidth="1"/>
    <col min="9994" max="9994" width="11.42578125" style="26"/>
    <col min="9995" max="9995" width="14.5703125" style="26" bestFit="1" customWidth="1"/>
    <col min="9996" max="9996" width="11.42578125" style="26"/>
    <col min="9997" max="9997" width="14.5703125" style="26" bestFit="1" customWidth="1"/>
    <col min="9998" max="9998" width="11.42578125" style="26"/>
    <col min="9999" max="9999" width="14.5703125" style="26" bestFit="1" customWidth="1"/>
    <col min="10000" max="10000" width="11.42578125" style="26"/>
    <col min="10001" max="10001" width="14.5703125" style="26" bestFit="1" customWidth="1"/>
    <col min="10002" max="10002" width="13" style="26" bestFit="1" customWidth="1"/>
    <col min="10003" max="10218" width="11.42578125" style="26"/>
    <col min="10219" max="10219" width="3.7109375" style="26" customWidth="1"/>
    <col min="10220" max="10229" width="0" style="26" hidden="1" customWidth="1"/>
    <col min="10230" max="10230" width="4.7109375" style="26" customWidth="1"/>
    <col min="10231" max="10231" width="14" style="26" customWidth="1"/>
    <col min="10232" max="10238" width="12.7109375" style="26" customWidth="1"/>
    <col min="10239" max="10239" width="11.42578125" style="26"/>
    <col min="10240" max="10240" width="6.7109375" style="26" customWidth="1"/>
    <col min="10241" max="10241" width="11.28515625" style="26" customWidth="1"/>
    <col min="10242" max="10242" width="6.7109375" style="26" customWidth="1"/>
    <col min="10243" max="10243" width="10.140625" style="26" bestFit="1" customWidth="1"/>
    <col min="10244" max="10244" width="6.7109375" style="26" customWidth="1"/>
    <col min="10245" max="10245" width="8.7109375" style="26" customWidth="1"/>
    <col min="10246" max="10246" width="6.7109375" style="26" customWidth="1"/>
    <col min="10247" max="10247" width="8.7109375" style="26" customWidth="1"/>
    <col min="10248" max="10248" width="6.7109375" style="26" customWidth="1"/>
    <col min="10249" max="10249" width="14.5703125" style="26" bestFit="1" customWidth="1"/>
    <col min="10250" max="10250" width="11.42578125" style="26"/>
    <col min="10251" max="10251" width="14.5703125" style="26" bestFit="1" customWidth="1"/>
    <col min="10252" max="10252" width="11.42578125" style="26"/>
    <col min="10253" max="10253" width="14.5703125" style="26" bestFit="1" customWidth="1"/>
    <col min="10254" max="10254" width="11.42578125" style="26"/>
    <col min="10255" max="10255" width="14.5703125" style="26" bestFit="1" customWidth="1"/>
    <col min="10256" max="10256" width="11.42578125" style="26"/>
    <col min="10257" max="10257" width="14.5703125" style="26" bestFit="1" customWidth="1"/>
    <col min="10258" max="10258" width="13" style="26" bestFit="1" customWidth="1"/>
    <col min="10259" max="10474" width="11.42578125" style="26"/>
    <col min="10475" max="10475" width="3.7109375" style="26" customWidth="1"/>
    <col min="10476" max="10485" width="0" style="26" hidden="1" customWidth="1"/>
    <col min="10486" max="10486" width="4.7109375" style="26" customWidth="1"/>
    <col min="10487" max="10487" width="14" style="26" customWidth="1"/>
    <col min="10488" max="10494" width="12.7109375" style="26" customWidth="1"/>
    <col min="10495" max="10495" width="11.42578125" style="26"/>
    <col min="10496" max="10496" width="6.7109375" style="26" customWidth="1"/>
    <col min="10497" max="10497" width="11.28515625" style="26" customWidth="1"/>
    <col min="10498" max="10498" width="6.7109375" style="26" customWidth="1"/>
    <col min="10499" max="10499" width="10.140625" style="26" bestFit="1" customWidth="1"/>
    <col min="10500" max="10500" width="6.7109375" style="26" customWidth="1"/>
    <col min="10501" max="10501" width="8.7109375" style="26" customWidth="1"/>
    <col min="10502" max="10502" width="6.7109375" style="26" customWidth="1"/>
    <col min="10503" max="10503" width="8.7109375" style="26" customWidth="1"/>
    <col min="10504" max="10504" width="6.7109375" style="26" customWidth="1"/>
    <col min="10505" max="10505" width="14.5703125" style="26" bestFit="1" customWidth="1"/>
    <col min="10506" max="10506" width="11.42578125" style="26"/>
    <col min="10507" max="10507" width="14.5703125" style="26" bestFit="1" customWidth="1"/>
    <col min="10508" max="10508" width="11.42578125" style="26"/>
    <col min="10509" max="10509" width="14.5703125" style="26" bestFit="1" customWidth="1"/>
    <col min="10510" max="10510" width="11.42578125" style="26"/>
    <col min="10511" max="10511" width="14.5703125" style="26" bestFit="1" customWidth="1"/>
    <col min="10512" max="10512" width="11.42578125" style="26"/>
    <col min="10513" max="10513" width="14.5703125" style="26" bestFit="1" customWidth="1"/>
    <col min="10514" max="10514" width="13" style="26" bestFit="1" customWidth="1"/>
    <col min="10515" max="10730" width="11.42578125" style="26"/>
    <col min="10731" max="10731" width="3.7109375" style="26" customWidth="1"/>
    <col min="10732" max="10741" width="0" style="26" hidden="1" customWidth="1"/>
    <col min="10742" max="10742" width="4.7109375" style="26" customWidth="1"/>
    <col min="10743" max="10743" width="14" style="26" customWidth="1"/>
    <col min="10744" max="10750" width="12.7109375" style="26" customWidth="1"/>
    <col min="10751" max="10751" width="11.42578125" style="26"/>
    <col min="10752" max="10752" width="6.7109375" style="26" customWidth="1"/>
    <col min="10753" max="10753" width="11.28515625" style="26" customWidth="1"/>
    <col min="10754" max="10754" width="6.7109375" style="26" customWidth="1"/>
    <col min="10755" max="10755" width="10.140625" style="26" bestFit="1" customWidth="1"/>
    <col min="10756" max="10756" width="6.7109375" style="26" customWidth="1"/>
    <col min="10757" max="10757" width="8.7109375" style="26" customWidth="1"/>
    <col min="10758" max="10758" width="6.7109375" style="26" customWidth="1"/>
    <col min="10759" max="10759" width="8.7109375" style="26" customWidth="1"/>
    <col min="10760" max="10760" width="6.7109375" style="26" customWidth="1"/>
    <col min="10761" max="10761" width="14.5703125" style="26" bestFit="1" customWidth="1"/>
    <col min="10762" max="10762" width="11.42578125" style="26"/>
    <col min="10763" max="10763" width="14.5703125" style="26" bestFit="1" customWidth="1"/>
    <col min="10764" max="10764" width="11.42578125" style="26"/>
    <col min="10765" max="10765" width="14.5703125" style="26" bestFit="1" customWidth="1"/>
    <col min="10766" max="10766" width="11.42578125" style="26"/>
    <col min="10767" max="10767" width="14.5703125" style="26" bestFit="1" customWidth="1"/>
    <col min="10768" max="10768" width="11.42578125" style="26"/>
    <col min="10769" max="10769" width="14.5703125" style="26" bestFit="1" customWidth="1"/>
    <col min="10770" max="10770" width="13" style="26" bestFit="1" customWidth="1"/>
    <col min="10771" max="10986" width="11.42578125" style="26"/>
    <col min="10987" max="10987" width="3.7109375" style="26" customWidth="1"/>
    <col min="10988" max="10997" width="0" style="26" hidden="1" customWidth="1"/>
    <col min="10998" max="10998" width="4.7109375" style="26" customWidth="1"/>
    <col min="10999" max="10999" width="14" style="26" customWidth="1"/>
    <col min="11000" max="11006" width="12.7109375" style="26" customWidth="1"/>
    <col min="11007" max="11007" width="11.42578125" style="26"/>
    <col min="11008" max="11008" width="6.7109375" style="26" customWidth="1"/>
    <col min="11009" max="11009" width="11.28515625" style="26" customWidth="1"/>
    <col min="11010" max="11010" width="6.7109375" style="26" customWidth="1"/>
    <col min="11011" max="11011" width="10.140625" style="26" bestFit="1" customWidth="1"/>
    <col min="11012" max="11012" width="6.7109375" style="26" customWidth="1"/>
    <col min="11013" max="11013" width="8.7109375" style="26" customWidth="1"/>
    <col min="11014" max="11014" width="6.7109375" style="26" customWidth="1"/>
    <col min="11015" max="11015" width="8.7109375" style="26" customWidth="1"/>
    <col min="11016" max="11016" width="6.7109375" style="26" customWidth="1"/>
    <col min="11017" max="11017" width="14.5703125" style="26" bestFit="1" customWidth="1"/>
    <col min="11018" max="11018" width="11.42578125" style="26"/>
    <col min="11019" max="11019" width="14.5703125" style="26" bestFit="1" customWidth="1"/>
    <col min="11020" max="11020" width="11.42578125" style="26"/>
    <col min="11021" max="11021" width="14.5703125" style="26" bestFit="1" customWidth="1"/>
    <col min="11022" max="11022" width="11.42578125" style="26"/>
    <col min="11023" max="11023" width="14.5703125" style="26" bestFit="1" customWidth="1"/>
    <col min="11024" max="11024" width="11.42578125" style="26"/>
    <col min="11025" max="11025" width="14.5703125" style="26" bestFit="1" customWidth="1"/>
    <col min="11026" max="11026" width="13" style="26" bestFit="1" customWidth="1"/>
    <col min="11027" max="11242" width="11.42578125" style="26"/>
    <col min="11243" max="11243" width="3.7109375" style="26" customWidth="1"/>
    <col min="11244" max="11253" width="0" style="26" hidden="1" customWidth="1"/>
    <col min="11254" max="11254" width="4.7109375" style="26" customWidth="1"/>
    <col min="11255" max="11255" width="14" style="26" customWidth="1"/>
    <col min="11256" max="11262" width="12.7109375" style="26" customWidth="1"/>
    <col min="11263" max="11263" width="11.42578125" style="26"/>
    <col min="11264" max="11264" width="6.7109375" style="26" customWidth="1"/>
    <col min="11265" max="11265" width="11.28515625" style="26" customWidth="1"/>
    <col min="11266" max="11266" width="6.7109375" style="26" customWidth="1"/>
    <col min="11267" max="11267" width="10.140625" style="26" bestFit="1" customWidth="1"/>
    <col min="11268" max="11268" width="6.7109375" style="26" customWidth="1"/>
    <col min="11269" max="11269" width="8.7109375" style="26" customWidth="1"/>
    <col min="11270" max="11270" width="6.7109375" style="26" customWidth="1"/>
    <col min="11271" max="11271" width="8.7109375" style="26" customWidth="1"/>
    <col min="11272" max="11272" width="6.7109375" style="26" customWidth="1"/>
    <col min="11273" max="11273" width="14.5703125" style="26" bestFit="1" customWidth="1"/>
    <col min="11274" max="11274" width="11.42578125" style="26"/>
    <col min="11275" max="11275" width="14.5703125" style="26" bestFit="1" customWidth="1"/>
    <col min="11276" max="11276" width="11.42578125" style="26"/>
    <col min="11277" max="11277" width="14.5703125" style="26" bestFit="1" customWidth="1"/>
    <col min="11278" max="11278" width="11.42578125" style="26"/>
    <col min="11279" max="11279" width="14.5703125" style="26" bestFit="1" customWidth="1"/>
    <col min="11280" max="11280" width="11.42578125" style="26"/>
    <col min="11281" max="11281" width="14.5703125" style="26" bestFit="1" customWidth="1"/>
    <col min="11282" max="11282" width="13" style="26" bestFit="1" customWidth="1"/>
    <col min="11283" max="11498" width="11.42578125" style="26"/>
    <col min="11499" max="11499" width="3.7109375" style="26" customWidth="1"/>
    <col min="11500" max="11509" width="0" style="26" hidden="1" customWidth="1"/>
    <col min="11510" max="11510" width="4.7109375" style="26" customWidth="1"/>
    <col min="11511" max="11511" width="14" style="26" customWidth="1"/>
    <col min="11512" max="11518" width="12.7109375" style="26" customWidth="1"/>
    <col min="11519" max="11519" width="11.42578125" style="26"/>
    <col min="11520" max="11520" width="6.7109375" style="26" customWidth="1"/>
    <col min="11521" max="11521" width="11.28515625" style="26" customWidth="1"/>
    <col min="11522" max="11522" width="6.7109375" style="26" customWidth="1"/>
    <col min="11523" max="11523" width="10.140625" style="26" bestFit="1" customWidth="1"/>
    <col min="11524" max="11524" width="6.7109375" style="26" customWidth="1"/>
    <col min="11525" max="11525" width="8.7109375" style="26" customWidth="1"/>
    <col min="11526" max="11526" width="6.7109375" style="26" customWidth="1"/>
    <col min="11527" max="11527" width="8.7109375" style="26" customWidth="1"/>
    <col min="11528" max="11528" width="6.7109375" style="26" customWidth="1"/>
    <col min="11529" max="11529" width="14.5703125" style="26" bestFit="1" customWidth="1"/>
    <col min="11530" max="11530" width="11.42578125" style="26"/>
    <col min="11531" max="11531" width="14.5703125" style="26" bestFit="1" customWidth="1"/>
    <col min="11532" max="11532" width="11.42578125" style="26"/>
    <col min="11533" max="11533" width="14.5703125" style="26" bestFit="1" customWidth="1"/>
    <col min="11534" max="11534" width="11.42578125" style="26"/>
    <col min="11535" max="11535" width="14.5703125" style="26" bestFit="1" customWidth="1"/>
    <col min="11536" max="11536" width="11.42578125" style="26"/>
    <col min="11537" max="11537" width="14.5703125" style="26" bestFit="1" customWidth="1"/>
    <col min="11538" max="11538" width="13" style="26" bestFit="1" customWidth="1"/>
    <col min="11539" max="11754" width="11.42578125" style="26"/>
    <col min="11755" max="11755" width="3.7109375" style="26" customWidth="1"/>
    <col min="11756" max="11765" width="0" style="26" hidden="1" customWidth="1"/>
    <col min="11766" max="11766" width="4.7109375" style="26" customWidth="1"/>
    <col min="11767" max="11767" width="14" style="26" customWidth="1"/>
    <col min="11768" max="11774" width="12.7109375" style="26" customWidth="1"/>
    <col min="11775" max="11775" width="11.42578125" style="26"/>
    <col min="11776" max="11776" width="6.7109375" style="26" customWidth="1"/>
    <col min="11777" max="11777" width="11.28515625" style="26" customWidth="1"/>
    <col min="11778" max="11778" width="6.7109375" style="26" customWidth="1"/>
    <col min="11779" max="11779" width="10.140625" style="26" bestFit="1" customWidth="1"/>
    <col min="11780" max="11780" width="6.7109375" style="26" customWidth="1"/>
    <col min="11781" max="11781" width="8.7109375" style="26" customWidth="1"/>
    <col min="11782" max="11782" width="6.7109375" style="26" customWidth="1"/>
    <col min="11783" max="11783" width="8.7109375" style="26" customWidth="1"/>
    <col min="11784" max="11784" width="6.7109375" style="26" customWidth="1"/>
    <col min="11785" max="11785" width="14.5703125" style="26" bestFit="1" customWidth="1"/>
    <col min="11786" max="11786" width="11.42578125" style="26"/>
    <col min="11787" max="11787" width="14.5703125" style="26" bestFit="1" customWidth="1"/>
    <col min="11788" max="11788" width="11.42578125" style="26"/>
    <col min="11789" max="11789" width="14.5703125" style="26" bestFit="1" customWidth="1"/>
    <col min="11790" max="11790" width="11.42578125" style="26"/>
    <col min="11791" max="11791" width="14.5703125" style="26" bestFit="1" customWidth="1"/>
    <col min="11792" max="11792" width="11.42578125" style="26"/>
    <col min="11793" max="11793" width="14.5703125" style="26" bestFit="1" customWidth="1"/>
    <col min="11794" max="11794" width="13" style="26" bestFit="1" customWidth="1"/>
    <col min="11795" max="12010" width="11.42578125" style="26"/>
    <col min="12011" max="12011" width="3.7109375" style="26" customWidth="1"/>
    <col min="12012" max="12021" width="0" style="26" hidden="1" customWidth="1"/>
    <col min="12022" max="12022" width="4.7109375" style="26" customWidth="1"/>
    <col min="12023" max="12023" width="14" style="26" customWidth="1"/>
    <col min="12024" max="12030" width="12.7109375" style="26" customWidth="1"/>
    <col min="12031" max="12031" width="11.42578125" style="26"/>
    <col min="12032" max="12032" width="6.7109375" style="26" customWidth="1"/>
    <col min="12033" max="12033" width="11.28515625" style="26" customWidth="1"/>
    <col min="12034" max="12034" width="6.7109375" style="26" customWidth="1"/>
    <col min="12035" max="12035" width="10.140625" style="26" bestFit="1" customWidth="1"/>
    <col min="12036" max="12036" width="6.7109375" style="26" customWidth="1"/>
    <col min="12037" max="12037" width="8.7109375" style="26" customWidth="1"/>
    <col min="12038" max="12038" width="6.7109375" style="26" customWidth="1"/>
    <col min="12039" max="12039" width="8.7109375" style="26" customWidth="1"/>
    <col min="12040" max="12040" width="6.7109375" style="26" customWidth="1"/>
    <col min="12041" max="12041" width="14.5703125" style="26" bestFit="1" customWidth="1"/>
    <col min="12042" max="12042" width="11.42578125" style="26"/>
    <col min="12043" max="12043" width="14.5703125" style="26" bestFit="1" customWidth="1"/>
    <col min="12044" max="12044" width="11.42578125" style="26"/>
    <col min="12045" max="12045" width="14.5703125" style="26" bestFit="1" customWidth="1"/>
    <col min="12046" max="12046" width="11.42578125" style="26"/>
    <col min="12047" max="12047" width="14.5703125" style="26" bestFit="1" customWidth="1"/>
    <col min="12048" max="12048" width="11.42578125" style="26"/>
    <col min="12049" max="12049" width="14.5703125" style="26" bestFit="1" customWidth="1"/>
    <col min="12050" max="12050" width="13" style="26" bestFit="1" customWidth="1"/>
    <col min="12051" max="12266" width="11.42578125" style="26"/>
    <col min="12267" max="12267" width="3.7109375" style="26" customWidth="1"/>
    <col min="12268" max="12277" width="0" style="26" hidden="1" customWidth="1"/>
    <col min="12278" max="12278" width="4.7109375" style="26" customWidth="1"/>
    <col min="12279" max="12279" width="14" style="26" customWidth="1"/>
    <col min="12280" max="12286" width="12.7109375" style="26" customWidth="1"/>
    <col min="12287" max="12287" width="11.42578125" style="26"/>
    <col min="12288" max="12288" width="6.7109375" style="26" customWidth="1"/>
    <col min="12289" max="12289" width="11.28515625" style="26" customWidth="1"/>
    <col min="12290" max="12290" width="6.7109375" style="26" customWidth="1"/>
    <col min="12291" max="12291" width="10.140625" style="26" bestFit="1" customWidth="1"/>
    <col min="12292" max="12292" width="6.7109375" style="26" customWidth="1"/>
    <col min="12293" max="12293" width="8.7109375" style="26" customWidth="1"/>
    <col min="12294" max="12294" width="6.7109375" style="26" customWidth="1"/>
    <col min="12295" max="12295" width="8.7109375" style="26" customWidth="1"/>
    <col min="12296" max="12296" width="6.7109375" style="26" customWidth="1"/>
    <col min="12297" max="12297" width="14.5703125" style="26" bestFit="1" customWidth="1"/>
    <col min="12298" max="12298" width="11.42578125" style="26"/>
    <col min="12299" max="12299" width="14.5703125" style="26" bestFit="1" customWidth="1"/>
    <col min="12300" max="12300" width="11.42578125" style="26"/>
    <col min="12301" max="12301" width="14.5703125" style="26" bestFit="1" customWidth="1"/>
    <col min="12302" max="12302" width="11.42578125" style="26"/>
    <col min="12303" max="12303" width="14.5703125" style="26" bestFit="1" customWidth="1"/>
    <col min="12304" max="12304" width="11.42578125" style="26"/>
    <col min="12305" max="12305" width="14.5703125" style="26" bestFit="1" customWidth="1"/>
    <col min="12306" max="12306" width="13" style="26" bestFit="1" customWidth="1"/>
    <col min="12307" max="12522" width="11.42578125" style="26"/>
    <col min="12523" max="12523" width="3.7109375" style="26" customWidth="1"/>
    <col min="12524" max="12533" width="0" style="26" hidden="1" customWidth="1"/>
    <col min="12534" max="12534" width="4.7109375" style="26" customWidth="1"/>
    <col min="12535" max="12535" width="14" style="26" customWidth="1"/>
    <col min="12536" max="12542" width="12.7109375" style="26" customWidth="1"/>
    <col min="12543" max="12543" width="11.42578125" style="26"/>
    <col min="12544" max="12544" width="6.7109375" style="26" customWidth="1"/>
    <col min="12545" max="12545" width="11.28515625" style="26" customWidth="1"/>
    <col min="12546" max="12546" width="6.7109375" style="26" customWidth="1"/>
    <col min="12547" max="12547" width="10.140625" style="26" bestFit="1" customWidth="1"/>
    <col min="12548" max="12548" width="6.7109375" style="26" customWidth="1"/>
    <col min="12549" max="12549" width="8.7109375" style="26" customWidth="1"/>
    <col min="12550" max="12550" width="6.7109375" style="26" customWidth="1"/>
    <col min="12551" max="12551" width="8.7109375" style="26" customWidth="1"/>
    <col min="12552" max="12552" width="6.7109375" style="26" customWidth="1"/>
    <col min="12553" max="12553" width="14.5703125" style="26" bestFit="1" customWidth="1"/>
    <col min="12554" max="12554" width="11.42578125" style="26"/>
    <col min="12555" max="12555" width="14.5703125" style="26" bestFit="1" customWidth="1"/>
    <col min="12556" max="12556" width="11.42578125" style="26"/>
    <col min="12557" max="12557" width="14.5703125" style="26" bestFit="1" customWidth="1"/>
    <col min="12558" max="12558" width="11.42578125" style="26"/>
    <col min="12559" max="12559" width="14.5703125" style="26" bestFit="1" customWidth="1"/>
    <col min="12560" max="12560" width="11.42578125" style="26"/>
    <col min="12561" max="12561" width="14.5703125" style="26" bestFit="1" customWidth="1"/>
    <col min="12562" max="12562" width="13" style="26" bestFit="1" customWidth="1"/>
    <col min="12563" max="12778" width="11.42578125" style="26"/>
    <col min="12779" max="12779" width="3.7109375" style="26" customWidth="1"/>
    <col min="12780" max="12789" width="0" style="26" hidden="1" customWidth="1"/>
    <col min="12790" max="12790" width="4.7109375" style="26" customWidth="1"/>
    <col min="12791" max="12791" width="14" style="26" customWidth="1"/>
    <col min="12792" max="12798" width="12.7109375" style="26" customWidth="1"/>
    <col min="12799" max="12799" width="11.42578125" style="26"/>
    <col min="12800" max="12800" width="6.7109375" style="26" customWidth="1"/>
    <col min="12801" max="12801" width="11.28515625" style="26" customWidth="1"/>
    <col min="12802" max="12802" width="6.7109375" style="26" customWidth="1"/>
    <col min="12803" max="12803" width="10.140625" style="26" bestFit="1" customWidth="1"/>
    <col min="12804" max="12804" width="6.7109375" style="26" customWidth="1"/>
    <col min="12805" max="12805" width="8.7109375" style="26" customWidth="1"/>
    <col min="12806" max="12806" width="6.7109375" style="26" customWidth="1"/>
    <col min="12807" max="12807" width="8.7109375" style="26" customWidth="1"/>
    <col min="12808" max="12808" width="6.7109375" style="26" customWidth="1"/>
    <col min="12809" max="12809" width="14.5703125" style="26" bestFit="1" customWidth="1"/>
    <col min="12810" max="12810" width="11.42578125" style="26"/>
    <col min="12811" max="12811" width="14.5703125" style="26" bestFit="1" customWidth="1"/>
    <col min="12812" max="12812" width="11.42578125" style="26"/>
    <col min="12813" max="12813" width="14.5703125" style="26" bestFit="1" customWidth="1"/>
    <col min="12814" max="12814" width="11.42578125" style="26"/>
    <col min="12815" max="12815" width="14.5703125" style="26" bestFit="1" customWidth="1"/>
    <col min="12816" max="12816" width="11.42578125" style="26"/>
    <col min="12817" max="12817" width="14.5703125" style="26" bestFit="1" customWidth="1"/>
    <col min="12818" max="12818" width="13" style="26" bestFit="1" customWidth="1"/>
    <col min="12819" max="13034" width="11.42578125" style="26"/>
    <col min="13035" max="13035" width="3.7109375" style="26" customWidth="1"/>
    <col min="13036" max="13045" width="0" style="26" hidden="1" customWidth="1"/>
    <col min="13046" max="13046" width="4.7109375" style="26" customWidth="1"/>
    <col min="13047" max="13047" width="14" style="26" customWidth="1"/>
    <col min="13048" max="13054" width="12.7109375" style="26" customWidth="1"/>
    <col min="13055" max="13055" width="11.42578125" style="26"/>
    <col min="13056" max="13056" width="6.7109375" style="26" customWidth="1"/>
    <col min="13057" max="13057" width="11.28515625" style="26" customWidth="1"/>
    <col min="13058" max="13058" width="6.7109375" style="26" customWidth="1"/>
    <col min="13059" max="13059" width="10.140625" style="26" bestFit="1" customWidth="1"/>
    <col min="13060" max="13060" width="6.7109375" style="26" customWidth="1"/>
    <col min="13061" max="13061" width="8.7109375" style="26" customWidth="1"/>
    <col min="13062" max="13062" width="6.7109375" style="26" customWidth="1"/>
    <col min="13063" max="13063" width="8.7109375" style="26" customWidth="1"/>
    <col min="13064" max="13064" width="6.7109375" style="26" customWidth="1"/>
    <col min="13065" max="13065" width="14.5703125" style="26" bestFit="1" customWidth="1"/>
    <col min="13066" max="13066" width="11.42578125" style="26"/>
    <col min="13067" max="13067" width="14.5703125" style="26" bestFit="1" customWidth="1"/>
    <col min="13068" max="13068" width="11.42578125" style="26"/>
    <col min="13069" max="13069" width="14.5703125" style="26" bestFit="1" customWidth="1"/>
    <col min="13070" max="13070" width="11.42578125" style="26"/>
    <col min="13071" max="13071" width="14.5703125" style="26" bestFit="1" customWidth="1"/>
    <col min="13072" max="13072" width="11.42578125" style="26"/>
    <col min="13073" max="13073" width="14.5703125" style="26" bestFit="1" customWidth="1"/>
    <col min="13074" max="13074" width="13" style="26" bestFit="1" customWidth="1"/>
    <col min="13075" max="13290" width="11.42578125" style="26"/>
    <col min="13291" max="13291" width="3.7109375" style="26" customWidth="1"/>
    <col min="13292" max="13301" width="0" style="26" hidden="1" customWidth="1"/>
    <col min="13302" max="13302" width="4.7109375" style="26" customWidth="1"/>
    <col min="13303" max="13303" width="14" style="26" customWidth="1"/>
    <col min="13304" max="13310" width="12.7109375" style="26" customWidth="1"/>
    <col min="13311" max="13311" width="11.42578125" style="26"/>
    <col min="13312" max="13312" width="6.7109375" style="26" customWidth="1"/>
    <col min="13313" max="13313" width="11.28515625" style="26" customWidth="1"/>
    <col min="13314" max="13314" width="6.7109375" style="26" customWidth="1"/>
    <col min="13315" max="13315" width="10.140625" style="26" bestFit="1" customWidth="1"/>
    <col min="13316" max="13316" width="6.7109375" style="26" customWidth="1"/>
    <col min="13317" max="13317" width="8.7109375" style="26" customWidth="1"/>
    <col min="13318" max="13318" width="6.7109375" style="26" customWidth="1"/>
    <col min="13319" max="13319" width="8.7109375" style="26" customWidth="1"/>
    <col min="13320" max="13320" width="6.7109375" style="26" customWidth="1"/>
    <col min="13321" max="13321" width="14.5703125" style="26" bestFit="1" customWidth="1"/>
    <col min="13322" max="13322" width="11.42578125" style="26"/>
    <col min="13323" max="13323" width="14.5703125" style="26" bestFit="1" customWidth="1"/>
    <col min="13324" max="13324" width="11.42578125" style="26"/>
    <col min="13325" max="13325" width="14.5703125" style="26" bestFit="1" customWidth="1"/>
    <col min="13326" max="13326" width="11.42578125" style="26"/>
    <col min="13327" max="13327" width="14.5703125" style="26" bestFit="1" customWidth="1"/>
    <col min="13328" max="13328" width="11.42578125" style="26"/>
    <col min="13329" max="13329" width="14.5703125" style="26" bestFit="1" customWidth="1"/>
    <col min="13330" max="13330" width="13" style="26" bestFit="1" customWidth="1"/>
    <col min="13331" max="13546" width="11.42578125" style="26"/>
    <col min="13547" max="13547" width="3.7109375" style="26" customWidth="1"/>
    <col min="13548" max="13557" width="0" style="26" hidden="1" customWidth="1"/>
    <col min="13558" max="13558" width="4.7109375" style="26" customWidth="1"/>
    <col min="13559" max="13559" width="14" style="26" customWidth="1"/>
    <col min="13560" max="13566" width="12.7109375" style="26" customWidth="1"/>
    <col min="13567" max="13567" width="11.42578125" style="26"/>
    <col min="13568" max="13568" width="6.7109375" style="26" customWidth="1"/>
    <col min="13569" max="13569" width="11.28515625" style="26" customWidth="1"/>
    <col min="13570" max="13570" width="6.7109375" style="26" customWidth="1"/>
    <col min="13571" max="13571" width="10.140625" style="26" bestFit="1" customWidth="1"/>
    <col min="13572" max="13572" width="6.7109375" style="26" customWidth="1"/>
    <col min="13573" max="13573" width="8.7109375" style="26" customWidth="1"/>
    <col min="13574" max="13574" width="6.7109375" style="26" customWidth="1"/>
    <col min="13575" max="13575" width="8.7109375" style="26" customWidth="1"/>
    <col min="13576" max="13576" width="6.7109375" style="26" customWidth="1"/>
    <col min="13577" max="13577" width="14.5703125" style="26" bestFit="1" customWidth="1"/>
    <col min="13578" max="13578" width="11.42578125" style="26"/>
    <col min="13579" max="13579" width="14.5703125" style="26" bestFit="1" customWidth="1"/>
    <col min="13580" max="13580" width="11.42578125" style="26"/>
    <col min="13581" max="13581" width="14.5703125" style="26" bestFit="1" customWidth="1"/>
    <col min="13582" max="13582" width="11.42578125" style="26"/>
    <col min="13583" max="13583" width="14.5703125" style="26" bestFit="1" customWidth="1"/>
    <col min="13584" max="13584" width="11.42578125" style="26"/>
    <col min="13585" max="13585" width="14.5703125" style="26" bestFit="1" customWidth="1"/>
    <col min="13586" max="13586" width="13" style="26" bestFit="1" customWidth="1"/>
    <col min="13587" max="13802" width="11.42578125" style="26"/>
    <col min="13803" max="13803" width="3.7109375" style="26" customWidth="1"/>
    <col min="13804" max="13813" width="0" style="26" hidden="1" customWidth="1"/>
    <col min="13814" max="13814" width="4.7109375" style="26" customWidth="1"/>
    <col min="13815" max="13815" width="14" style="26" customWidth="1"/>
    <col min="13816" max="13822" width="12.7109375" style="26" customWidth="1"/>
    <col min="13823" max="13823" width="11.42578125" style="26"/>
    <col min="13824" max="13824" width="6.7109375" style="26" customWidth="1"/>
    <col min="13825" max="13825" width="11.28515625" style="26" customWidth="1"/>
    <col min="13826" max="13826" width="6.7109375" style="26" customWidth="1"/>
    <col min="13827" max="13827" width="10.140625" style="26" bestFit="1" customWidth="1"/>
    <col min="13828" max="13828" width="6.7109375" style="26" customWidth="1"/>
    <col min="13829" max="13829" width="8.7109375" style="26" customWidth="1"/>
    <col min="13830" max="13830" width="6.7109375" style="26" customWidth="1"/>
    <col min="13831" max="13831" width="8.7109375" style="26" customWidth="1"/>
    <col min="13832" max="13832" width="6.7109375" style="26" customWidth="1"/>
    <col min="13833" max="13833" width="14.5703125" style="26" bestFit="1" customWidth="1"/>
    <col min="13834" max="13834" width="11.42578125" style="26"/>
    <col min="13835" max="13835" width="14.5703125" style="26" bestFit="1" customWidth="1"/>
    <col min="13836" max="13836" width="11.42578125" style="26"/>
    <col min="13837" max="13837" width="14.5703125" style="26" bestFit="1" customWidth="1"/>
    <col min="13838" max="13838" width="11.42578125" style="26"/>
    <col min="13839" max="13839" width="14.5703125" style="26" bestFit="1" customWidth="1"/>
    <col min="13840" max="13840" width="11.42578125" style="26"/>
    <col min="13841" max="13841" width="14.5703125" style="26" bestFit="1" customWidth="1"/>
    <col min="13842" max="13842" width="13" style="26" bestFit="1" customWidth="1"/>
    <col min="13843" max="14058" width="11.42578125" style="26"/>
    <col min="14059" max="14059" width="3.7109375" style="26" customWidth="1"/>
    <col min="14060" max="14069" width="0" style="26" hidden="1" customWidth="1"/>
    <col min="14070" max="14070" width="4.7109375" style="26" customWidth="1"/>
    <col min="14071" max="14071" width="14" style="26" customWidth="1"/>
    <col min="14072" max="14078" width="12.7109375" style="26" customWidth="1"/>
    <col min="14079" max="14079" width="11.42578125" style="26"/>
    <col min="14080" max="14080" width="6.7109375" style="26" customWidth="1"/>
    <col min="14081" max="14081" width="11.28515625" style="26" customWidth="1"/>
    <col min="14082" max="14082" width="6.7109375" style="26" customWidth="1"/>
    <col min="14083" max="14083" width="10.140625" style="26" bestFit="1" customWidth="1"/>
    <col min="14084" max="14084" width="6.7109375" style="26" customWidth="1"/>
    <col min="14085" max="14085" width="8.7109375" style="26" customWidth="1"/>
    <col min="14086" max="14086" width="6.7109375" style="26" customWidth="1"/>
    <col min="14087" max="14087" width="8.7109375" style="26" customWidth="1"/>
    <col min="14088" max="14088" width="6.7109375" style="26" customWidth="1"/>
    <col min="14089" max="14089" width="14.5703125" style="26" bestFit="1" customWidth="1"/>
    <col min="14090" max="14090" width="11.42578125" style="26"/>
    <col min="14091" max="14091" width="14.5703125" style="26" bestFit="1" customWidth="1"/>
    <col min="14092" max="14092" width="11.42578125" style="26"/>
    <col min="14093" max="14093" width="14.5703125" style="26" bestFit="1" customWidth="1"/>
    <col min="14094" max="14094" width="11.42578125" style="26"/>
    <col min="14095" max="14095" width="14.5703125" style="26" bestFit="1" customWidth="1"/>
    <col min="14096" max="14096" width="11.42578125" style="26"/>
    <col min="14097" max="14097" width="14.5703125" style="26" bestFit="1" customWidth="1"/>
    <col min="14098" max="14098" width="13" style="26" bestFit="1" customWidth="1"/>
    <col min="14099" max="14314" width="11.42578125" style="26"/>
    <col min="14315" max="14315" width="3.7109375" style="26" customWidth="1"/>
    <col min="14316" max="14325" width="0" style="26" hidden="1" customWidth="1"/>
    <col min="14326" max="14326" width="4.7109375" style="26" customWidth="1"/>
    <col min="14327" max="14327" width="14" style="26" customWidth="1"/>
    <col min="14328" max="14334" width="12.7109375" style="26" customWidth="1"/>
    <col min="14335" max="14335" width="11.42578125" style="26"/>
    <col min="14336" max="14336" width="6.7109375" style="26" customWidth="1"/>
    <col min="14337" max="14337" width="11.28515625" style="26" customWidth="1"/>
    <col min="14338" max="14338" width="6.7109375" style="26" customWidth="1"/>
    <col min="14339" max="14339" width="10.140625" style="26" bestFit="1" customWidth="1"/>
    <col min="14340" max="14340" width="6.7109375" style="26" customWidth="1"/>
    <col min="14341" max="14341" width="8.7109375" style="26" customWidth="1"/>
    <col min="14342" max="14342" width="6.7109375" style="26" customWidth="1"/>
    <col min="14343" max="14343" width="8.7109375" style="26" customWidth="1"/>
    <col min="14344" max="14344" width="6.7109375" style="26" customWidth="1"/>
    <col min="14345" max="14345" width="14.5703125" style="26" bestFit="1" customWidth="1"/>
    <col min="14346" max="14346" width="11.42578125" style="26"/>
    <col min="14347" max="14347" width="14.5703125" style="26" bestFit="1" customWidth="1"/>
    <col min="14348" max="14348" width="11.42578125" style="26"/>
    <col min="14349" max="14349" width="14.5703125" style="26" bestFit="1" customWidth="1"/>
    <col min="14350" max="14350" width="11.42578125" style="26"/>
    <col min="14351" max="14351" width="14.5703125" style="26" bestFit="1" customWidth="1"/>
    <col min="14352" max="14352" width="11.42578125" style="26"/>
    <col min="14353" max="14353" width="14.5703125" style="26" bestFit="1" customWidth="1"/>
    <col min="14354" max="14354" width="13" style="26" bestFit="1" customWidth="1"/>
    <col min="14355" max="14570" width="11.42578125" style="26"/>
    <col min="14571" max="14571" width="3.7109375" style="26" customWidth="1"/>
    <col min="14572" max="14581" width="0" style="26" hidden="1" customWidth="1"/>
    <col min="14582" max="14582" width="4.7109375" style="26" customWidth="1"/>
    <col min="14583" max="14583" width="14" style="26" customWidth="1"/>
    <col min="14584" max="14590" width="12.7109375" style="26" customWidth="1"/>
    <col min="14591" max="14591" width="11.42578125" style="26"/>
    <col min="14592" max="14592" width="6.7109375" style="26" customWidth="1"/>
    <col min="14593" max="14593" width="11.28515625" style="26" customWidth="1"/>
    <col min="14594" max="14594" width="6.7109375" style="26" customWidth="1"/>
    <col min="14595" max="14595" width="10.140625" style="26" bestFit="1" customWidth="1"/>
    <col min="14596" max="14596" width="6.7109375" style="26" customWidth="1"/>
    <col min="14597" max="14597" width="8.7109375" style="26" customWidth="1"/>
    <col min="14598" max="14598" width="6.7109375" style="26" customWidth="1"/>
    <col min="14599" max="14599" width="8.7109375" style="26" customWidth="1"/>
    <col min="14600" max="14600" width="6.7109375" style="26" customWidth="1"/>
    <col min="14601" max="14601" width="14.5703125" style="26" bestFit="1" customWidth="1"/>
    <col min="14602" max="14602" width="11.42578125" style="26"/>
    <col min="14603" max="14603" width="14.5703125" style="26" bestFit="1" customWidth="1"/>
    <col min="14604" max="14604" width="11.42578125" style="26"/>
    <col min="14605" max="14605" width="14.5703125" style="26" bestFit="1" customWidth="1"/>
    <col min="14606" max="14606" width="11.42578125" style="26"/>
    <col min="14607" max="14607" width="14.5703125" style="26" bestFit="1" customWidth="1"/>
    <col min="14608" max="14608" width="11.42578125" style="26"/>
    <col min="14609" max="14609" width="14.5703125" style="26" bestFit="1" customWidth="1"/>
    <col min="14610" max="14610" width="13" style="26" bestFit="1" customWidth="1"/>
    <col min="14611" max="14826" width="11.42578125" style="26"/>
    <col min="14827" max="14827" width="3.7109375" style="26" customWidth="1"/>
    <col min="14828" max="14837" width="0" style="26" hidden="1" customWidth="1"/>
    <col min="14838" max="14838" width="4.7109375" style="26" customWidth="1"/>
    <col min="14839" max="14839" width="14" style="26" customWidth="1"/>
    <col min="14840" max="14846" width="12.7109375" style="26" customWidth="1"/>
    <col min="14847" max="14847" width="11.42578125" style="26"/>
    <col min="14848" max="14848" width="6.7109375" style="26" customWidth="1"/>
    <col min="14849" max="14849" width="11.28515625" style="26" customWidth="1"/>
    <col min="14850" max="14850" width="6.7109375" style="26" customWidth="1"/>
    <col min="14851" max="14851" width="10.140625" style="26" bestFit="1" customWidth="1"/>
    <col min="14852" max="14852" width="6.7109375" style="26" customWidth="1"/>
    <col min="14853" max="14853" width="8.7109375" style="26" customWidth="1"/>
    <col min="14854" max="14854" width="6.7109375" style="26" customWidth="1"/>
    <col min="14855" max="14855" width="8.7109375" style="26" customWidth="1"/>
    <col min="14856" max="14856" width="6.7109375" style="26" customWidth="1"/>
    <col min="14857" max="14857" width="14.5703125" style="26" bestFit="1" customWidth="1"/>
    <col min="14858" max="14858" width="11.42578125" style="26"/>
    <col min="14859" max="14859" width="14.5703125" style="26" bestFit="1" customWidth="1"/>
    <col min="14860" max="14860" width="11.42578125" style="26"/>
    <col min="14861" max="14861" width="14.5703125" style="26" bestFit="1" customWidth="1"/>
    <col min="14862" max="14862" width="11.42578125" style="26"/>
    <col min="14863" max="14863" width="14.5703125" style="26" bestFit="1" customWidth="1"/>
    <col min="14864" max="14864" width="11.42578125" style="26"/>
    <col min="14865" max="14865" width="14.5703125" style="26" bestFit="1" customWidth="1"/>
    <col min="14866" max="14866" width="13" style="26" bestFit="1" customWidth="1"/>
    <col min="14867" max="15082" width="11.42578125" style="26"/>
    <col min="15083" max="15083" width="3.7109375" style="26" customWidth="1"/>
    <col min="15084" max="15093" width="0" style="26" hidden="1" customWidth="1"/>
    <col min="15094" max="15094" width="4.7109375" style="26" customWidth="1"/>
    <col min="15095" max="15095" width="14" style="26" customWidth="1"/>
    <col min="15096" max="15102" width="12.7109375" style="26" customWidth="1"/>
    <col min="15103" max="15103" width="11.42578125" style="26"/>
    <col min="15104" max="15104" width="6.7109375" style="26" customWidth="1"/>
    <col min="15105" max="15105" width="11.28515625" style="26" customWidth="1"/>
    <col min="15106" max="15106" width="6.7109375" style="26" customWidth="1"/>
    <col min="15107" max="15107" width="10.140625" style="26" bestFit="1" customWidth="1"/>
    <col min="15108" max="15108" width="6.7109375" style="26" customWidth="1"/>
    <col min="15109" max="15109" width="8.7109375" style="26" customWidth="1"/>
    <col min="15110" max="15110" width="6.7109375" style="26" customWidth="1"/>
    <col min="15111" max="15111" width="8.7109375" style="26" customWidth="1"/>
    <col min="15112" max="15112" width="6.7109375" style="26" customWidth="1"/>
    <col min="15113" max="15113" width="14.5703125" style="26" bestFit="1" customWidth="1"/>
    <col min="15114" max="15114" width="11.42578125" style="26"/>
    <col min="15115" max="15115" width="14.5703125" style="26" bestFit="1" customWidth="1"/>
    <col min="15116" max="15116" width="11.42578125" style="26"/>
    <col min="15117" max="15117" width="14.5703125" style="26" bestFit="1" customWidth="1"/>
    <col min="15118" max="15118" width="11.42578125" style="26"/>
    <col min="15119" max="15119" width="14.5703125" style="26" bestFit="1" customWidth="1"/>
    <col min="15120" max="15120" width="11.42578125" style="26"/>
    <col min="15121" max="15121" width="14.5703125" style="26" bestFit="1" customWidth="1"/>
    <col min="15122" max="15122" width="13" style="26" bestFit="1" customWidth="1"/>
    <col min="15123" max="15338" width="11.42578125" style="26"/>
    <col min="15339" max="15339" width="3.7109375" style="26" customWidth="1"/>
    <col min="15340" max="15349" width="0" style="26" hidden="1" customWidth="1"/>
    <col min="15350" max="15350" width="4.7109375" style="26" customWidth="1"/>
    <col min="15351" max="15351" width="14" style="26" customWidth="1"/>
    <col min="15352" max="15358" width="12.7109375" style="26" customWidth="1"/>
    <col min="15359" max="15359" width="11.42578125" style="26"/>
    <col min="15360" max="15360" width="6.7109375" style="26" customWidth="1"/>
    <col min="15361" max="15361" width="11.28515625" style="26" customWidth="1"/>
    <col min="15362" max="15362" width="6.7109375" style="26" customWidth="1"/>
    <col min="15363" max="15363" width="10.140625" style="26" bestFit="1" customWidth="1"/>
    <col min="15364" max="15364" width="6.7109375" style="26" customWidth="1"/>
    <col min="15365" max="15365" width="8.7109375" style="26" customWidth="1"/>
    <col min="15366" max="15366" width="6.7109375" style="26" customWidth="1"/>
    <col min="15367" max="15367" width="8.7109375" style="26" customWidth="1"/>
    <col min="15368" max="15368" width="6.7109375" style="26" customWidth="1"/>
    <col min="15369" max="15369" width="14.5703125" style="26" bestFit="1" customWidth="1"/>
    <col min="15370" max="15370" width="11.42578125" style="26"/>
    <col min="15371" max="15371" width="14.5703125" style="26" bestFit="1" customWidth="1"/>
    <col min="15372" max="15372" width="11.42578125" style="26"/>
    <col min="15373" max="15373" width="14.5703125" style="26" bestFit="1" customWidth="1"/>
    <col min="15374" max="15374" width="11.42578125" style="26"/>
    <col min="15375" max="15375" width="14.5703125" style="26" bestFit="1" customWidth="1"/>
    <col min="15376" max="15376" width="11.42578125" style="26"/>
    <col min="15377" max="15377" width="14.5703125" style="26" bestFit="1" customWidth="1"/>
    <col min="15378" max="15378" width="13" style="26" bestFit="1" customWidth="1"/>
    <col min="15379" max="15594" width="11.42578125" style="26"/>
    <col min="15595" max="15595" width="3.7109375" style="26" customWidth="1"/>
    <col min="15596" max="15605" width="0" style="26" hidden="1" customWidth="1"/>
    <col min="15606" max="15606" width="4.7109375" style="26" customWidth="1"/>
    <col min="15607" max="15607" width="14" style="26" customWidth="1"/>
    <col min="15608" max="15614" width="12.7109375" style="26" customWidth="1"/>
    <col min="15615" max="15615" width="11.42578125" style="26"/>
    <col min="15616" max="15616" width="6.7109375" style="26" customWidth="1"/>
    <col min="15617" max="15617" width="11.28515625" style="26" customWidth="1"/>
    <col min="15618" max="15618" width="6.7109375" style="26" customWidth="1"/>
    <col min="15619" max="15619" width="10.140625" style="26" bestFit="1" customWidth="1"/>
    <col min="15620" max="15620" width="6.7109375" style="26" customWidth="1"/>
    <col min="15621" max="15621" width="8.7109375" style="26" customWidth="1"/>
    <col min="15622" max="15622" width="6.7109375" style="26" customWidth="1"/>
    <col min="15623" max="15623" width="8.7109375" style="26" customWidth="1"/>
    <col min="15624" max="15624" width="6.7109375" style="26" customWidth="1"/>
    <col min="15625" max="15625" width="14.5703125" style="26" bestFit="1" customWidth="1"/>
    <col min="15626" max="15626" width="11.42578125" style="26"/>
    <col min="15627" max="15627" width="14.5703125" style="26" bestFit="1" customWidth="1"/>
    <col min="15628" max="15628" width="11.42578125" style="26"/>
    <col min="15629" max="15629" width="14.5703125" style="26" bestFit="1" customWidth="1"/>
    <col min="15630" max="15630" width="11.42578125" style="26"/>
    <col min="15631" max="15631" width="14.5703125" style="26" bestFit="1" customWidth="1"/>
    <col min="15632" max="15632" width="11.42578125" style="26"/>
    <col min="15633" max="15633" width="14.5703125" style="26" bestFit="1" customWidth="1"/>
    <col min="15634" max="15634" width="13" style="26" bestFit="1" customWidth="1"/>
    <col min="15635" max="15850" width="11.42578125" style="26"/>
    <col min="15851" max="15851" width="3.7109375" style="26" customWidth="1"/>
    <col min="15852" max="15861" width="0" style="26" hidden="1" customWidth="1"/>
    <col min="15862" max="15862" width="4.7109375" style="26" customWidth="1"/>
    <col min="15863" max="15863" width="14" style="26" customWidth="1"/>
    <col min="15864" max="15870" width="12.7109375" style="26" customWidth="1"/>
    <col min="15871" max="15871" width="11.42578125" style="26"/>
    <col min="15872" max="15872" width="6.7109375" style="26" customWidth="1"/>
    <col min="15873" max="15873" width="11.28515625" style="26" customWidth="1"/>
    <col min="15874" max="15874" width="6.7109375" style="26" customWidth="1"/>
    <col min="15875" max="15875" width="10.140625" style="26" bestFit="1" customWidth="1"/>
    <col min="15876" max="15876" width="6.7109375" style="26" customWidth="1"/>
    <col min="15877" max="15877" width="8.7109375" style="26" customWidth="1"/>
    <col min="15878" max="15878" width="6.7109375" style="26" customWidth="1"/>
    <col min="15879" max="15879" width="8.7109375" style="26" customWidth="1"/>
    <col min="15880" max="15880" width="6.7109375" style="26" customWidth="1"/>
    <col min="15881" max="15881" width="14.5703125" style="26" bestFit="1" customWidth="1"/>
    <col min="15882" max="15882" width="11.42578125" style="26"/>
    <col min="15883" max="15883" width="14.5703125" style="26" bestFit="1" customWidth="1"/>
    <col min="15884" max="15884" width="11.42578125" style="26"/>
    <col min="15885" max="15885" width="14.5703125" style="26" bestFit="1" customWidth="1"/>
    <col min="15886" max="15886" width="11.42578125" style="26"/>
    <col min="15887" max="15887" width="14.5703125" style="26" bestFit="1" customWidth="1"/>
    <col min="15888" max="15888" width="11.42578125" style="26"/>
    <col min="15889" max="15889" width="14.5703125" style="26" bestFit="1" customWidth="1"/>
    <col min="15890" max="15890" width="13" style="26" bestFit="1" customWidth="1"/>
    <col min="15891" max="16106" width="11.42578125" style="26"/>
    <col min="16107" max="16107" width="3.7109375" style="26" customWidth="1"/>
    <col min="16108" max="16117" width="0" style="26" hidden="1" customWidth="1"/>
    <col min="16118" max="16118" width="4.7109375" style="26" customWidth="1"/>
    <col min="16119" max="16119" width="14" style="26" customWidth="1"/>
    <col min="16120" max="16126" width="12.7109375" style="26" customWidth="1"/>
    <col min="16127" max="16127" width="11.42578125" style="26"/>
    <col min="16128" max="16128" width="6.7109375" style="26" customWidth="1"/>
    <col min="16129" max="16129" width="11.28515625" style="26" customWidth="1"/>
    <col min="16130" max="16130" width="6.7109375" style="26" customWidth="1"/>
    <col min="16131" max="16131" width="10.140625" style="26" bestFit="1" customWidth="1"/>
    <col min="16132" max="16132" width="6.7109375" style="26" customWidth="1"/>
    <col min="16133" max="16133" width="8.7109375" style="26" customWidth="1"/>
    <col min="16134" max="16134" width="6.7109375" style="26" customWidth="1"/>
    <col min="16135" max="16135" width="8.7109375" style="26" customWidth="1"/>
    <col min="16136" max="16136" width="6.7109375" style="26" customWidth="1"/>
    <col min="16137" max="16137" width="14.5703125" style="26" bestFit="1" customWidth="1"/>
    <col min="16138" max="16138" width="11.42578125" style="26"/>
    <col min="16139" max="16139" width="14.5703125" style="26" bestFit="1" customWidth="1"/>
    <col min="16140" max="16140" width="11.42578125" style="26"/>
    <col min="16141" max="16141" width="14.5703125" style="26" bestFit="1" customWidth="1"/>
    <col min="16142" max="16142" width="11.42578125" style="26"/>
    <col min="16143" max="16143" width="14.5703125" style="26" bestFit="1" customWidth="1"/>
    <col min="16144" max="16144" width="11.42578125" style="26"/>
    <col min="16145" max="16145" width="14.5703125" style="26" bestFit="1" customWidth="1"/>
    <col min="16146" max="16146" width="13" style="26" bestFit="1" customWidth="1"/>
    <col min="16147" max="16384" width="11.42578125" style="26"/>
  </cols>
  <sheetData>
    <row r="1" spans="1:22" ht="24.75" customHeight="1"/>
    <row r="2" spans="1:22" ht="25.5" customHeight="1"/>
    <row r="3" spans="1:22" ht="24.95" customHeight="1">
      <c r="A3" s="200"/>
      <c r="B3" s="200"/>
      <c r="C3" s="200"/>
      <c r="D3" s="27"/>
      <c r="E3" s="27"/>
      <c r="G3" s="120"/>
    </row>
    <row r="4" spans="1:22" ht="24.95" customHeight="1">
      <c r="A4" s="200"/>
      <c r="B4" s="201"/>
      <c r="C4" s="201"/>
      <c r="D4" s="212" t="str">
        <f ca="1">"COSTES "&amp;YEAR(C6)&amp;" ESTIMADOS CON CIERRES"</f>
        <v>COSTES 2022 ESTIMADOS CON CIERRES</v>
      </c>
      <c r="E4" s="213"/>
      <c r="F4" s="214"/>
      <c r="G4" s="27"/>
      <c r="H4" s="215" t="s">
        <v>85</v>
      </c>
      <c r="I4" s="216"/>
      <c r="J4" s="217" t="s">
        <v>86</v>
      </c>
      <c r="K4" s="218"/>
      <c r="L4" s="215" t="s">
        <v>87</v>
      </c>
      <c r="M4" s="216"/>
      <c r="N4" s="210" t="str">
        <f ca="1">"OMIE/OMIP A "&amp;TEXT(TODAY(), "dd/mm/aaaa")</f>
        <v>OMIE/OMIP A 16/02/2022</v>
      </c>
      <c r="O4" s="211"/>
      <c r="R4" s="207" t="s">
        <v>108</v>
      </c>
      <c r="S4" s="208"/>
      <c r="T4" s="208"/>
      <c r="U4" s="209"/>
      <c r="V4" s="161"/>
    </row>
    <row r="5" spans="1:22" ht="44.25" customHeight="1">
      <c r="A5" s="200"/>
      <c r="B5" s="201"/>
      <c r="C5" s="201"/>
      <c r="D5" s="121"/>
      <c r="E5" s="121" t="s">
        <v>96</v>
      </c>
      <c r="F5" s="121" t="s">
        <v>88</v>
      </c>
      <c r="G5" s="121" t="s">
        <v>97</v>
      </c>
      <c r="H5" s="123" t="s">
        <v>90</v>
      </c>
      <c r="I5" s="124" t="s">
        <v>91</v>
      </c>
      <c r="J5" s="124" t="s">
        <v>90</v>
      </c>
      <c r="K5" s="124" t="s">
        <v>91</v>
      </c>
      <c r="L5" s="124" t="s">
        <v>90</v>
      </c>
      <c r="M5" s="124" t="s">
        <v>91</v>
      </c>
      <c r="N5" s="124" t="s">
        <v>92</v>
      </c>
      <c r="O5" s="125" t="s">
        <v>93</v>
      </c>
      <c r="P5" s="121" t="s">
        <v>94</v>
      </c>
      <c r="Q5" s="122" t="s">
        <v>89</v>
      </c>
      <c r="R5" s="122" t="s">
        <v>107</v>
      </c>
      <c r="S5" s="122" t="s">
        <v>106</v>
      </c>
      <c r="T5" s="122" t="s">
        <v>105</v>
      </c>
      <c r="U5" s="121" t="s">
        <v>104</v>
      </c>
    </row>
    <row r="6" spans="1:22">
      <c r="A6" s="199">
        <v>1</v>
      </c>
      <c r="B6" s="201"/>
      <c r="C6" s="202">
        <f ca="1">DATE(YEAR(RESUMEN!$A$4),A6,1)</f>
        <v>44562</v>
      </c>
      <c r="D6" s="126" t="s">
        <v>13</v>
      </c>
      <c r="E6" s="127">
        <f>'ELECTRICIDAD 2022'!I8</f>
        <v>1858458.3767845128</v>
      </c>
      <c r="F6" s="188">
        <f>'ELECTRICIDAD 2022'!I64</f>
        <v>460916.59482343722</v>
      </c>
      <c r="G6" s="165">
        <f>(F6/E6)*1000</f>
        <v>248.01017907159741</v>
      </c>
      <c r="H6" s="128"/>
      <c r="I6" s="129"/>
      <c r="J6" s="130"/>
      <c r="K6" s="131"/>
      <c r="L6" s="132"/>
      <c r="M6" s="129"/>
      <c r="N6" s="153">
        <f>1-H6-J6-L6</f>
        <v>1</v>
      </c>
      <c r="O6" s="173">
        <v>193.21105263157892</v>
      </c>
      <c r="P6" s="167" t="s">
        <v>98</v>
      </c>
      <c r="Q6" s="162">
        <f t="shared" ref="Q6:Q17" si="0">H6*I6+J6*K6+L6*M6+N6*O6</f>
        <v>193.21105263157892</v>
      </c>
      <c r="R6" s="162">
        <v>180</v>
      </c>
      <c r="S6" s="194">
        <v>232.74697386294829</v>
      </c>
      <c r="T6" s="188">
        <v>432550.5632468423</v>
      </c>
      <c r="U6" s="191">
        <f>F6-T6</f>
        <v>28366.03157659492</v>
      </c>
    </row>
    <row r="7" spans="1:22">
      <c r="A7" s="199">
        <v>2</v>
      </c>
      <c r="B7" s="201"/>
      <c r="C7" s="202">
        <f ca="1">DATE(YEAR(RESUMEN!$A$4),A7,1)</f>
        <v>44593</v>
      </c>
      <c r="D7" s="126" t="s">
        <v>14</v>
      </c>
      <c r="E7" s="127">
        <f>'ELECTRICIDAD 2022'!I9</f>
        <v>1766949.6212195721</v>
      </c>
      <c r="F7" s="188">
        <f>'ELECTRICIDAD 2022'!I65</f>
        <v>437716.92808670161</v>
      </c>
      <c r="G7" s="165">
        <f t="shared" ref="G7:G17" si="1">(F7/E7)*1000</f>
        <v>247.72462260954762</v>
      </c>
      <c r="H7" s="128"/>
      <c r="I7" s="129"/>
      <c r="J7" s="130"/>
      <c r="K7" s="131"/>
      <c r="L7" s="132"/>
      <c r="M7" s="129"/>
      <c r="N7" s="174">
        <f t="shared" ref="N7:N17" si="2">1-H7-J7-L7</f>
        <v>1</v>
      </c>
      <c r="O7" s="172">
        <v>191.5</v>
      </c>
      <c r="P7" s="171" t="s">
        <v>95</v>
      </c>
      <c r="Q7" s="162">
        <f t="shared" si="0"/>
        <v>191.5</v>
      </c>
      <c r="R7" s="162">
        <v>100</v>
      </c>
      <c r="S7" s="194">
        <v>141.7157137730332</v>
      </c>
      <c r="T7" s="188">
        <v>250404.52677212234</v>
      </c>
      <c r="U7" s="191">
        <f t="shared" ref="U7:U17" si="3">F7-T7</f>
        <v>187312.40131457927</v>
      </c>
    </row>
    <row r="8" spans="1:22">
      <c r="A8" s="199">
        <v>3</v>
      </c>
      <c r="B8" s="201"/>
      <c r="C8" s="202">
        <f ca="1">DATE(YEAR(RESUMEN!$A$4),A8,1)</f>
        <v>44621</v>
      </c>
      <c r="D8" s="126" t="s">
        <v>15</v>
      </c>
      <c r="E8" s="127">
        <f>'ELECTRICIDAD 2022'!I10</f>
        <v>3266776.0776750911</v>
      </c>
      <c r="F8" s="188">
        <f>'ELECTRICIDAD 2022'!I66</f>
        <v>713115.18684098125</v>
      </c>
      <c r="G8" s="165">
        <f t="shared" si="1"/>
        <v>218.2932560680722</v>
      </c>
      <c r="H8" s="135"/>
      <c r="I8" s="136"/>
      <c r="J8" s="137"/>
      <c r="K8" s="138"/>
      <c r="L8" s="139"/>
      <c r="M8" s="136"/>
      <c r="N8" s="133">
        <f t="shared" si="2"/>
        <v>1</v>
      </c>
      <c r="O8" s="134">
        <v>179</v>
      </c>
      <c r="P8" s="171" t="s">
        <v>95</v>
      </c>
      <c r="Q8" s="162">
        <f t="shared" si="0"/>
        <v>179</v>
      </c>
      <c r="R8" s="162">
        <v>75</v>
      </c>
      <c r="S8" s="194">
        <v>101.77550547827559</v>
      </c>
      <c r="T8" s="188">
        <v>332477.78658972087</v>
      </c>
      <c r="U8" s="191">
        <f t="shared" si="3"/>
        <v>380637.40025126038</v>
      </c>
    </row>
    <row r="9" spans="1:22">
      <c r="A9" s="199">
        <v>4</v>
      </c>
      <c r="B9" s="201"/>
      <c r="C9" s="202">
        <f ca="1">DATE(YEAR(RESUMEN!$A$4),A9,1)</f>
        <v>44652</v>
      </c>
      <c r="D9" s="126" t="s">
        <v>16</v>
      </c>
      <c r="E9" s="127">
        <f>'ELECTRICIDAD 2022'!I11</f>
        <v>1591242.5698860255</v>
      </c>
      <c r="F9" s="188">
        <f>'ELECTRICIDAD 2022'!I67</f>
        <v>300848.04162245808</v>
      </c>
      <c r="G9" s="165">
        <f t="shared" si="1"/>
        <v>189.06485240902438</v>
      </c>
      <c r="H9" s="140"/>
      <c r="I9" s="141"/>
      <c r="J9" s="142"/>
      <c r="K9" s="143"/>
      <c r="L9" s="144"/>
      <c r="M9" s="141"/>
      <c r="N9" s="133">
        <f t="shared" si="2"/>
        <v>1</v>
      </c>
      <c r="O9" s="134">
        <v>166</v>
      </c>
      <c r="P9" s="171" t="s">
        <v>95</v>
      </c>
      <c r="Q9" s="162">
        <f t="shared" si="0"/>
        <v>166</v>
      </c>
      <c r="R9" s="162">
        <v>76</v>
      </c>
      <c r="S9" s="194">
        <v>96.133175163719699</v>
      </c>
      <c r="T9" s="188">
        <v>152971.20069882079</v>
      </c>
      <c r="U9" s="191">
        <f t="shared" si="3"/>
        <v>147876.8409236373</v>
      </c>
    </row>
    <row r="10" spans="1:22">
      <c r="A10" s="199">
        <v>5</v>
      </c>
      <c r="B10" s="201"/>
      <c r="C10" s="202">
        <f ca="1">DATE(YEAR(RESUMEN!$A$4),A10,1)</f>
        <v>44682</v>
      </c>
      <c r="D10" s="126" t="s">
        <v>17</v>
      </c>
      <c r="E10" s="127">
        <f>'ELECTRICIDAD 2022'!I12</f>
        <v>2470543.3060059631</v>
      </c>
      <c r="F10" s="188">
        <f>'ELECTRICIDAD 2022'!I68</f>
        <v>481017.83074608317</v>
      </c>
      <c r="G10" s="165">
        <f t="shared" si="1"/>
        <v>194.70123416849839</v>
      </c>
      <c r="H10" s="128"/>
      <c r="I10" s="129"/>
      <c r="J10" s="145"/>
      <c r="K10" s="131"/>
      <c r="L10" s="146"/>
      <c r="M10" s="129"/>
      <c r="N10" s="133">
        <f t="shared" si="2"/>
        <v>1</v>
      </c>
      <c r="O10" s="134">
        <v>166</v>
      </c>
      <c r="P10" s="171" t="s">
        <v>95</v>
      </c>
      <c r="Q10" s="162">
        <f t="shared" si="0"/>
        <v>166</v>
      </c>
      <c r="R10" s="162">
        <v>76</v>
      </c>
      <c r="S10" s="194">
        <v>97.569215668010685</v>
      </c>
      <c r="T10" s="188">
        <v>241048.97264085594</v>
      </c>
      <c r="U10" s="191">
        <f t="shared" si="3"/>
        <v>239968.85810522723</v>
      </c>
    </row>
    <row r="11" spans="1:22">
      <c r="A11" s="199">
        <v>6</v>
      </c>
      <c r="B11" s="201"/>
      <c r="C11" s="202">
        <f ca="1">DATE(YEAR(RESUMEN!$A$4),A11,1)</f>
        <v>44713</v>
      </c>
      <c r="D11" s="126" t="s">
        <v>18</v>
      </c>
      <c r="E11" s="127">
        <f>'ELECTRICIDAD 2022'!I13</f>
        <v>2144553.0043842541</v>
      </c>
      <c r="F11" s="188">
        <f>'ELECTRICIDAD 2022'!I69</f>
        <v>402961.50012394408</v>
      </c>
      <c r="G11" s="165">
        <f t="shared" si="1"/>
        <v>187.89999561686875</v>
      </c>
      <c r="H11" s="135"/>
      <c r="I11" s="136"/>
      <c r="J11" s="137"/>
      <c r="K11" s="138"/>
      <c r="L11" s="139"/>
      <c r="M11" s="136"/>
      <c r="N11" s="133">
        <f t="shared" si="2"/>
        <v>1</v>
      </c>
      <c r="O11" s="134">
        <v>153.87</v>
      </c>
      <c r="P11" s="171" t="s">
        <v>95</v>
      </c>
      <c r="Q11" s="162">
        <f t="shared" si="0"/>
        <v>153.87</v>
      </c>
      <c r="R11" s="162">
        <v>76</v>
      </c>
      <c r="S11" s="194">
        <v>101.79174585771224</v>
      </c>
      <c r="T11" s="188">
        <v>218297.79440067522</v>
      </c>
      <c r="U11" s="191">
        <f t="shared" si="3"/>
        <v>184663.70572326885</v>
      </c>
    </row>
    <row r="12" spans="1:22">
      <c r="A12" s="199">
        <v>7</v>
      </c>
      <c r="B12" s="201"/>
      <c r="C12" s="202">
        <f ca="1">DATE(YEAR(RESUMEN!$A$4),A12,1)</f>
        <v>44743</v>
      </c>
      <c r="D12" s="126" t="s">
        <v>19</v>
      </c>
      <c r="E12" s="127">
        <f>'ELECTRICIDAD 2022'!I14</f>
        <v>2139383.8715675082</v>
      </c>
      <c r="F12" s="188">
        <f>'ELECTRICIDAD 2022'!I70</f>
        <v>476549.5833221256</v>
      </c>
      <c r="G12" s="165">
        <f t="shared" si="1"/>
        <v>222.75085348426123</v>
      </c>
      <c r="H12" s="140"/>
      <c r="I12" s="141"/>
      <c r="J12" s="142"/>
      <c r="K12" s="143"/>
      <c r="L12" s="144"/>
      <c r="M12" s="141"/>
      <c r="N12" s="133">
        <f t="shared" si="2"/>
        <v>1</v>
      </c>
      <c r="O12" s="134">
        <v>162.75</v>
      </c>
      <c r="P12" s="171" t="s">
        <v>95</v>
      </c>
      <c r="Q12" s="162">
        <f t="shared" si="0"/>
        <v>162.75</v>
      </c>
      <c r="R12" s="162">
        <v>82</v>
      </c>
      <c r="S12" s="194">
        <v>124.43231316150124</v>
      </c>
      <c r="T12" s="188">
        <v>266208.48387955315</v>
      </c>
      <c r="U12" s="191">
        <f t="shared" si="3"/>
        <v>210341.09944257245</v>
      </c>
    </row>
    <row r="13" spans="1:22">
      <c r="A13" s="199">
        <v>8</v>
      </c>
      <c r="B13" s="201"/>
      <c r="C13" s="202">
        <f ca="1">DATE(YEAR(RESUMEN!$A$4),A13,1)</f>
        <v>44774</v>
      </c>
      <c r="D13" s="126" t="s">
        <v>20</v>
      </c>
      <c r="E13" s="127">
        <f>'ELECTRICIDAD 2022'!I15</f>
        <v>1835398.3979878349</v>
      </c>
      <c r="F13" s="188">
        <f>'ELECTRICIDAD 2022'!I71</f>
        <v>368534.87638672045</v>
      </c>
      <c r="G13" s="165">
        <f t="shared" si="1"/>
        <v>200.79285063708721</v>
      </c>
      <c r="H13" s="128"/>
      <c r="I13" s="129"/>
      <c r="J13" s="130"/>
      <c r="K13" s="131"/>
      <c r="L13" s="132"/>
      <c r="M13" s="129"/>
      <c r="N13" s="133">
        <f t="shared" si="2"/>
        <v>1</v>
      </c>
      <c r="O13" s="134">
        <v>162.75</v>
      </c>
      <c r="P13" s="171" t="s">
        <v>95</v>
      </c>
      <c r="Q13" s="162">
        <f t="shared" si="0"/>
        <v>162.75</v>
      </c>
      <c r="R13" s="162">
        <v>82</v>
      </c>
      <c r="S13" s="194">
        <v>111.52272094170617</v>
      </c>
      <c r="T13" s="188">
        <v>204688.62335565186</v>
      </c>
      <c r="U13" s="191">
        <f t="shared" si="3"/>
        <v>163846.2530310686</v>
      </c>
    </row>
    <row r="14" spans="1:22">
      <c r="A14" s="199">
        <v>9</v>
      </c>
      <c r="B14" s="201"/>
      <c r="C14" s="202">
        <f ca="1">DATE(YEAR(RESUMEN!$A$4),A14,1)</f>
        <v>44805</v>
      </c>
      <c r="D14" s="126" t="s">
        <v>21</v>
      </c>
      <c r="E14" s="127">
        <f>'ELECTRICIDAD 2022'!I16</f>
        <v>1238656.3438585526</v>
      </c>
      <c r="F14" s="188">
        <f>'ELECTRICIDAD 2022'!I72</f>
        <v>252154.12437698903</v>
      </c>
      <c r="G14" s="165">
        <f t="shared" si="1"/>
        <v>203.57068821163165</v>
      </c>
      <c r="H14" s="135"/>
      <c r="I14" s="136"/>
      <c r="J14" s="137"/>
      <c r="K14" s="138"/>
      <c r="L14" s="139"/>
      <c r="M14" s="136"/>
      <c r="N14" s="133">
        <f t="shared" si="2"/>
        <v>1</v>
      </c>
      <c r="O14" s="134">
        <v>162.75</v>
      </c>
      <c r="P14" s="171" t="s">
        <v>95</v>
      </c>
      <c r="Q14" s="162">
        <f t="shared" si="0"/>
        <v>162.75</v>
      </c>
      <c r="R14" s="162">
        <v>82</v>
      </c>
      <c r="S14" s="194">
        <v>114.61923453496237</v>
      </c>
      <c r="T14" s="188">
        <v>141973.84198494244</v>
      </c>
      <c r="U14" s="191">
        <f t="shared" si="3"/>
        <v>110180.28239204659</v>
      </c>
    </row>
    <row r="15" spans="1:22">
      <c r="A15" s="199">
        <v>10</v>
      </c>
      <c r="B15" s="201"/>
      <c r="C15" s="202">
        <f ca="1">DATE(YEAR(RESUMEN!$A$4),A15,1)</f>
        <v>44835</v>
      </c>
      <c r="D15" s="126" t="s">
        <v>22</v>
      </c>
      <c r="E15" s="127">
        <f>'ELECTRICIDAD 2022'!I17</f>
        <v>1765011.4717934965</v>
      </c>
      <c r="F15" s="188">
        <f>'ELECTRICIDAD 2022'!I73</f>
        <v>344765.16980358242</v>
      </c>
      <c r="G15" s="165">
        <f t="shared" si="1"/>
        <v>195.33310423940372</v>
      </c>
      <c r="H15" s="140"/>
      <c r="I15" s="141"/>
      <c r="J15" s="142"/>
      <c r="K15" s="143"/>
      <c r="L15" s="144"/>
      <c r="M15" s="141"/>
      <c r="N15" s="133">
        <f t="shared" si="2"/>
        <v>1</v>
      </c>
      <c r="O15" s="134">
        <v>165.5</v>
      </c>
      <c r="P15" s="171" t="s">
        <v>95</v>
      </c>
      <c r="Q15" s="162">
        <f t="shared" si="0"/>
        <v>165.5</v>
      </c>
      <c r="R15" s="162">
        <v>79</v>
      </c>
      <c r="S15" s="194">
        <v>102.14451618840914</v>
      </c>
      <c r="T15" s="188">
        <v>180286.24285333866</v>
      </c>
      <c r="U15" s="191">
        <f t="shared" si="3"/>
        <v>164478.92695024377</v>
      </c>
    </row>
    <row r="16" spans="1:22">
      <c r="A16" s="199">
        <v>11</v>
      </c>
      <c r="B16" s="201"/>
      <c r="C16" s="202">
        <f ca="1">DATE(YEAR(RESUMEN!$A$4),A16,1)</f>
        <v>44866</v>
      </c>
      <c r="D16" s="126" t="s">
        <v>11</v>
      </c>
      <c r="E16" s="127">
        <f>'ELECTRICIDAD 2022'!I18</f>
        <v>1730382.6966904467</v>
      </c>
      <c r="F16" s="188">
        <f>'ELECTRICIDAD 2022'!I74</f>
        <v>366353.27801703999</v>
      </c>
      <c r="G16" s="165">
        <f t="shared" si="1"/>
        <v>211.71806601957601</v>
      </c>
      <c r="H16" s="128"/>
      <c r="I16" s="129"/>
      <c r="J16" s="142"/>
      <c r="K16" s="143"/>
      <c r="L16" s="144"/>
      <c r="M16" s="141"/>
      <c r="N16" s="133">
        <f t="shared" si="2"/>
        <v>1</v>
      </c>
      <c r="O16" s="134">
        <v>165.5</v>
      </c>
      <c r="P16" s="171" t="s">
        <v>95</v>
      </c>
      <c r="Q16" s="162">
        <f t="shared" si="0"/>
        <v>165.5</v>
      </c>
      <c r="R16" s="162">
        <v>79</v>
      </c>
      <c r="S16" s="194">
        <v>112.35857345414263</v>
      </c>
      <c r="T16" s="188">
        <v>194423.33132987097</v>
      </c>
      <c r="U16" s="191">
        <f t="shared" si="3"/>
        <v>171929.94668716902</v>
      </c>
    </row>
    <row r="17" spans="1:22" ht="15.75" thickBot="1">
      <c r="A17" s="199">
        <v>12</v>
      </c>
      <c r="B17" s="201"/>
      <c r="C17" s="202">
        <f ca="1">DATE(YEAR(RESUMEN!$A$4),A17,1)</f>
        <v>44896</v>
      </c>
      <c r="D17" s="147" t="s">
        <v>10</v>
      </c>
      <c r="E17" s="127">
        <f>'ELECTRICIDAD 2022'!I19</f>
        <v>1113892.1180538372</v>
      </c>
      <c r="F17" s="189">
        <f>'ELECTRICIDAD 2022'!I75</f>
        <v>253138.51609526097</v>
      </c>
      <c r="G17" s="166">
        <f t="shared" si="1"/>
        <v>227.25586436282347</v>
      </c>
      <c r="H17" s="148"/>
      <c r="I17" s="149"/>
      <c r="J17" s="150"/>
      <c r="K17" s="151"/>
      <c r="L17" s="152"/>
      <c r="M17" s="149"/>
      <c r="N17" s="153">
        <f t="shared" si="2"/>
        <v>1</v>
      </c>
      <c r="O17" s="154">
        <v>165.5</v>
      </c>
      <c r="P17" s="171" t="s">
        <v>95</v>
      </c>
      <c r="Q17" s="163">
        <f t="shared" si="0"/>
        <v>165.5</v>
      </c>
      <c r="R17" s="162">
        <v>79</v>
      </c>
      <c r="S17" s="195">
        <v>124.00735516644205</v>
      </c>
      <c r="T17" s="189">
        <v>138130.81550060259</v>
      </c>
      <c r="U17" s="191">
        <f t="shared" si="3"/>
        <v>115007.70059465838</v>
      </c>
    </row>
    <row r="18" spans="1:22" ht="15.75" thickBot="1">
      <c r="A18" s="200"/>
      <c r="B18" s="201"/>
      <c r="C18" s="201"/>
      <c r="D18" s="155" t="s">
        <v>30</v>
      </c>
      <c r="E18" s="156">
        <f>+SUM(E6:E17)</f>
        <v>22921247.85590709</v>
      </c>
      <c r="F18" s="190">
        <f t="shared" ref="F18" si="4">+SUM(F6:F17)</f>
        <v>4858071.6302453242</v>
      </c>
      <c r="G18" s="158">
        <f>SUMPRODUCT(G6:G17,E6:E17)/E18</f>
        <v>211.94621081649962</v>
      </c>
      <c r="H18" s="28"/>
      <c r="I18" s="28"/>
      <c r="J18" s="28"/>
      <c r="K18" s="28"/>
      <c r="L18" s="28"/>
      <c r="M18" s="28"/>
      <c r="N18" s="159"/>
      <c r="O18" s="160"/>
      <c r="P18" s="160"/>
      <c r="Q18" s="164">
        <f>SUMPRODUCT(Q6:Q17,E6:E17)/E18</f>
        <v>170.05013579795954</v>
      </c>
      <c r="R18" s="164">
        <f t="shared" ref="R18" si="5">SUMPRODUCT(R6:R17,F6:F17)/F18</f>
        <v>89.83339408310583</v>
      </c>
      <c r="S18" s="193">
        <f>SUMPRODUCT(S6:S17,E6:E17)/E18</f>
        <v>120.12706291395895</v>
      </c>
      <c r="T18" s="190">
        <f t="shared" ref="T18:U18" si="6">+SUM(T6:T17)</f>
        <v>2753462.1832529972</v>
      </c>
      <c r="U18" s="192">
        <f t="shared" si="6"/>
        <v>2104609.446992327</v>
      </c>
    </row>
    <row r="19" spans="1:22">
      <c r="L19" s="49"/>
      <c r="M19" s="49"/>
      <c r="N19" s="49"/>
      <c r="O19" s="49"/>
      <c r="P19" s="49"/>
      <c r="Q19" s="26" t="s">
        <v>99</v>
      </c>
      <c r="R19" s="49"/>
      <c r="S19" s="49"/>
      <c r="T19" s="49"/>
      <c r="U19" s="186"/>
    </row>
    <row r="20" spans="1:22">
      <c r="U20" s="28"/>
    </row>
    <row r="21" spans="1:22" ht="27" customHeight="1">
      <c r="D21" s="212" t="str">
        <f ca="1">"COSTES "&amp;YEAR(C23)&amp;" ESTIMADOS CON CIERRES"</f>
        <v>COSTES 2023 ESTIMADOS CON CIERRES</v>
      </c>
      <c r="E21" s="213"/>
      <c r="F21" s="214"/>
      <c r="G21" s="27"/>
      <c r="H21" s="215" t="s">
        <v>85</v>
      </c>
      <c r="I21" s="216"/>
      <c r="J21" s="217" t="s">
        <v>86</v>
      </c>
      <c r="K21" s="218"/>
      <c r="L21" s="215" t="s">
        <v>87</v>
      </c>
      <c r="M21" s="216"/>
      <c r="N21" s="210" t="str">
        <f ca="1">N4</f>
        <v>OMIE/OMIP A 16/02/2022</v>
      </c>
      <c r="O21" s="211"/>
      <c r="R21" s="207" t="s">
        <v>109</v>
      </c>
      <c r="S21" s="208"/>
      <c r="T21" s="208"/>
      <c r="U21" s="209"/>
      <c r="V21" s="161"/>
    </row>
    <row r="22" spans="1:22" ht="45">
      <c r="D22" s="121"/>
      <c r="E22" s="121" t="s">
        <v>96</v>
      </c>
      <c r="F22" s="121" t="s">
        <v>88</v>
      </c>
      <c r="G22" s="121" t="s">
        <v>97</v>
      </c>
      <c r="H22" s="123" t="s">
        <v>90</v>
      </c>
      <c r="I22" s="124" t="s">
        <v>91</v>
      </c>
      <c r="J22" s="124" t="s">
        <v>90</v>
      </c>
      <c r="K22" s="124" t="s">
        <v>91</v>
      </c>
      <c r="L22" s="124" t="s">
        <v>90</v>
      </c>
      <c r="M22" s="124" t="s">
        <v>91</v>
      </c>
      <c r="N22" s="124" t="s">
        <v>92</v>
      </c>
      <c r="O22" s="125" t="s">
        <v>93</v>
      </c>
      <c r="P22" s="121" t="s">
        <v>94</v>
      </c>
      <c r="Q22" s="122" t="s">
        <v>89</v>
      </c>
      <c r="R22" s="122" t="s">
        <v>107</v>
      </c>
      <c r="S22" s="122" t="s">
        <v>106</v>
      </c>
      <c r="T22" s="122" t="s">
        <v>105</v>
      </c>
      <c r="U22" s="121" t="s">
        <v>104</v>
      </c>
    </row>
    <row r="23" spans="1:22">
      <c r="C23" s="203">
        <f ca="1">DATE(YEAR(RESUMEN!$A$4)+1,A6,1)</f>
        <v>44927</v>
      </c>
      <c r="D23" s="126" t="s">
        <v>13</v>
      </c>
      <c r="E23" s="127">
        <f>'ELECTRICIDAD 2023'!I8</f>
        <v>1858458.3767845128</v>
      </c>
      <c r="F23" s="127">
        <f>'ELECTRICIDAD 2023'!I64</f>
        <v>389607.68448063335</v>
      </c>
      <c r="G23" s="165">
        <f>(F23/E23)*1000</f>
        <v>209.6402530976932</v>
      </c>
      <c r="H23" s="128"/>
      <c r="I23" s="129"/>
      <c r="J23" s="130"/>
      <c r="K23" s="131"/>
      <c r="L23" s="132"/>
      <c r="M23" s="129"/>
      <c r="N23" s="153">
        <f>1-H23-J23-L23</f>
        <v>1</v>
      </c>
      <c r="O23" s="154">
        <v>160</v>
      </c>
      <c r="P23" s="171" t="s">
        <v>95</v>
      </c>
      <c r="Q23" s="162">
        <f t="shared" ref="Q23:Q34" si="7">H23*I23+J23*K23+L23*M23+N23*O23</f>
        <v>160</v>
      </c>
      <c r="R23" s="162">
        <v>63</v>
      </c>
      <c r="S23" s="194">
        <v>97.572657386206203</v>
      </c>
      <c r="T23" s="188">
        <v>181334.72246452016</v>
      </c>
      <c r="U23" s="191">
        <f>F23-T23</f>
        <v>208272.96201611319</v>
      </c>
    </row>
    <row r="24" spans="1:22">
      <c r="C24" s="203">
        <f ca="1">DATE(YEAR(RESUMEN!$A$4)+1,A7,1)</f>
        <v>44958</v>
      </c>
      <c r="D24" s="126" t="s">
        <v>14</v>
      </c>
      <c r="E24" s="127">
        <f>'ELECTRICIDAD 2023'!I9</f>
        <v>1766949.6212195721</v>
      </c>
      <c r="F24" s="127">
        <f>'ELECTRICIDAD 2023'!I65</f>
        <v>373232.33091283002</v>
      </c>
      <c r="G24" s="165">
        <f t="shared" ref="G24:G34" si="8">(F24/E24)*1000</f>
        <v>211.2297523543541</v>
      </c>
      <c r="H24" s="128"/>
      <c r="I24" s="129"/>
      <c r="J24" s="130"/>
      <c r="K24" s="131"/>
      <c r="L24" s="132"/>
      <c r="M24" s="129"/>
      <c r="N24" s="174">
        <f t="shared" ref="N24:N34" si="9">1-H24-J24-L24</f>
        <v>1</v>
      </c>
      <c r="O24" s="154">
        <v>160</v>
      </c>
      <c r="P24" s="171" t="s">
        <v>95</v>
      </c>
      <c r="Q24" s="162">
        <f t="shared" si="7"/>
        <v>160</v>
      </c>
      <c r="R24" s="162">
        <v>63</v>
      </c>
      <c r="S24" s="194">
        <v>98.848723314551933</v>
      </c>
      <c r="T24" s="188">
        <v>174660.71421868584</v>
      </c>
      <c r="U24" s="191">
        <f t="shared" ref="U24:U34" si="10">F24-T24</f>
        <v>198571.61669414418</v>
      </c>
    </row>
    <row r="25" spans="1:22">
      <c r="C25" s="203">
        <f ca="1">DATE(YEAR(RESUMEN!$A$4)+1,A8,1)</f>
        <v>44986</v>
      </c>
      <c r="D25" s="126" t="s">
        <v>15</v>
      </c>
      <c r="E25" s="127">
        <f>'ELECTRICIDAD 2023'!I10</f>
        <v>3266776.0776750911</v>
      </c>
      <c r="F25" s="127">
        <f>'ELECTRICIDAD 2023'!I66</f>
        <v>643575.66179507796</v>
      </c>
      <c r="G25" s="165">
        <f t="shared" si="8"/>
        <v>197.00635932570555</v>
      </c>
      <c r="H25" s="135"/>
      <c r="I25" s="136"/>
      <c r="J25" s="137"/>
      <c r="K25" s="138"/>
      <c r="L25" s="139"/>
      <c r="M25" s="136"/>
      <c r="N25" s="133">
        <f t="shared" si="9"/>
        <v>1</v>
      </c>
      <c r="O25" s="154">
        <v>160</v>
      </c>
      <c r="P25" s="171" t="s">
        <v>95</v>
      </c>
      <c r="Q25" s="162">
        <f t="shared" si="7"/>
        <v>160</v>
      </c>
      <c r="R25" s="162">
        <v>63</v>
      </c>
      <c r="S25" s="194">
        <v>88.331149640991327</v>
      </c>
      <c r="T25" s="188">
        <v>288558.08656072919</v>
      </c>
      <c r="U25" s="191">
        <f t="shared" si="10"/>
        <v>355017.57523434877</v>
      </c>
    </row>
    <row r="26" spans="1:22">
      <c r="C26" s="203">
        <f ca="1">DATE(YEAR(RESUMEN!$A$4)+1,A9,1)</f>
        <v>45017</v>
      </c>
      <c r="D26" s="126" t="s">
        <v>16</v>
      </c>
      <c r="E26" s="127">
        <f>'ELECTRICIDAD 2023'!I11</f>
        <v>1591242.5698860255</v>
      </c>
      <c r="F26" s="127">
        <f>'ELECTRICIDAD 2023'!I67</f>
        <v>163634.76400542524</v>
      </c>
      <c r="G26" s="165">
        <f t="shared" si="8"/>
        <v>102.83458166729775</v>
      </c>
      <c r="H26" s="140"/>
      <c r="I26" s="141"/>
      <c r="J26" s="142"/>
      <c r="K26" s="143"/>
      <c r="L26" s="144"/>
      <c r="M26" s="141"/>
      <c r="N26" s="133">
        <f t="shared" si="9"/>
        <v>1</v>
      </c>
      <c r="O26" s="154">
        <v>82.49</v>
      </c>
      <c r="P26" s="171" t="s">
        <v>95</v>
      </c>
      <c r="Q26" s="162">
        <f t="shared" si="7"/>
        <v>82.49</v>
      </c>
      <c r="R26" s="162">
        <v>58</v>
      </c>
      <c r="S26" s="194">
        <v>77.546839714658773</v>
      </c>
      <c r="T26" s="188">
        <v>123395.83251409332</v>
      </c>
      <c r="U26" s="191">
        <f t="shared" si="10"/>
        <v>40238.931491331925</v>
      </c>
    </row>
    <row r="27" spans="1:22">
      <c r="C27" s="203">
        <f ca="1">DATE(YEAR(RESUMEN!$A$4)+1,A10,1)</f>
        <v>45047</v>
      </c>
      <c r="D27" s="126" t="s">
        <v>17</v>
      </c>
      <c r="E27" s="127">
        <f>'ELECTRICIDAD 2023'!I12</f>
        <v>2470543.3060059631</v>
      </c>
      <c r="F27" s="127">
        <f>'ELECTRICIDAD 2023'!I68</f>
        <v>258353.39363088837</v>
      </c>
      <c r="G27" s="165">
        <f t="shared" si="8"/>
        <v>104.57351344654583</v>
      </c>
      <c r="H27" s="128"/>
      <c r="I27" s="129"/>
      <c r="J27" s="145"/>
      <c r="K27" s="131"/>
      <c r="L27" s="146"/>
      <c r="M27" s="129"/>
      <c r="N27" s="133">
        <f t="shared" si="9"/>
        <v>1</v>
      </c>
      <c r="O27" s="154">
        <v>82.49</v>
      </c>
      <c r="P27" s="171" t="s">
        <v>95</v>
      </c>
      <c r="Q27" s="162">
        <f t="shared" si="7"/>
        <v>82.49</v>
      </c>
      <c r="R27" s="162">
        <v>58</v>
      </c>
      <c r="S27" s="194">
        <v>78.142811967913147</v>
      </c>
      <c r="T27" s="188">
        <v>193055.20101981048</v>
      </c>
      <c r="U27" s="191">
        <f t="shared" si="10"/>
        <v>65298.192611077888</v>
      </c>
    </row>
    <row r="28" spans="1:22">
      <c r="C28" s="203">
        <f ca="1">DATE(YEAR(RESUMEN!$A$4)+1,A11,1)</f>
        <v>45078</v>
      </c>
      <c r="D28" s="126" t="s">
        <v>18</v>
      </c>
      <c r="E28" s="127">
        <f>'ELECTRICIDAD 2023'!I13</f>
        <v>2144553.0043842541</v>
      </c>
      <c r="F28" s="127">
        <f>'ELECTRICIDAD 2023'!I69</f>
        <v>233688.41274078071</v>
      </c>
      <c r="G28" s="165">
        <f t="shared" si="8"/>
        <v>108.96835483340153</v>
      </c>
      <c r="H28" s="135"/>
      <c r="I28" s="136"/>
      <c r="J28" s="137"/>
      <c r="K28" s="138"/>
      <c r="L28" s="139"/>
      <c r="M28" s="136"/>
      <c r="N28" s="133">
        <f t="shared" si="9"/>
        <v>1</v>
      </c>
      <c r="O28" s="154">
        <v>82.49</v>
      </c>
      <c r="P28" s="171" t="s">
        <v>95</v>
      </c>
      <c r="Q28" s="162">
        <f t="shared" si="7"/>
        <v>82.49</v>
      </c>
      <c r="R28" s="162">
        <v>58</v>
      </c>
      <c r="S28" s="194">
        <v>81.88743745056162</v>
      </c>
      <c r="T28" s="188">
        <v>175611.95000592963</v>
      </c>
      <c r="U28" s="191">
        <f t="shared" si="10"/>
        <v>58076.462734851084</v>
      </c>
    </row>
    <row r="29" spans="1:22">
      <c r="C29" s="203">
        <f ca="1">DATE(YEAR(RESUMEN!$A$4)+1,A12,1)</f>
        <v>45108</v>
      </c>
      <c r="D29" s="126" t="s">
        <v>19</v>
      </c>
      <c r="E29" s="127">
        <f>'ELECTRICIDAD 2023'!I14</f>
        <v>2139383.8715675082</v>
      </c>
      <c r="F29" s="127">
        <f>'ELECTRICIDAD 2023'!I70</f>
        <v>277305.11649410875</v>
      </c>
      <c r="G29" s="165">
        <f t="shared" si="8"/>
        <v>129.61914884911684</v>
      </c>
      <c r="H29" s="140"/>
      <c r="I29" s="141"/>
      <c r="J29" s="142"/>
      <c r="K29" s="143"/>
      <c r="L29" s="144"/>
      <c r="M29" s="141"/>
      <c r="N29" s="133">
        <f t="shared" si="9"/>
        <v>1</v>
      </c>
      <c r="O29" s="154">
        <v>86.26</v>
      </c>
      <c r="P29" s="171" t="s">
        <v>95</v>
      </c>
      <c r="Q29" s="162">
        <f t="shared" si="7"/>
        <v>86.26</v>
      </c>
      <c r="R29" s="162">
        <v>64</v>
      </c>
      <c r="S29" s="194">
        <v>102.51610603073125</v>
      </c>
      <c r="T29" s="188">
        <v>219321.303818051</v>
      </c>
      <c r="U29" s="191">
        <f t="shared" si="10"/>
        <v>57983.812676057743</v>
      </c>
    </row>
    <row r="30" spans="1:22">
      <c r="C30" s="203">
        <f ca="1">DATE(YEAR(RESUMEN!$A$4)+1,A13,1)</f>
        <v>45139</v>
      </c>
      <c r="D30" s="126" t="s">
        <v>20</v>
      </c>
      <c r="E30" s="127">
        <f>'ELECTRICIDAD 2023'!I15</f>
        <v>1835398.3979878349</v>
      </c>
      <c r="F30" s="127">
        <f>'ELECTRICIDAD 2023'!I71</f>
        <v>213332.40091493796</v>
      </c>
      <c r="G30" s="165">
        <f t="shared" si="8"/>
        <v>116.23220394483091</v>
      </c>
      <c r="H30" s="128"/>
      <c r="I30" s="129"/>
      <c r="J30" s="130"/>
      <c r="K30" s="131"/>
      <c r="L30" s="132"/>
      <c r="M30" s="129"/>
      <c r="N30" s="133">
        <f t="shared" si="9"/>
        <v>1</v>
      </c>
      <c r="O30" s="154">
        <v>86.26</v>
      </c>
      <c r="P30" s="171" t="s">
        <v>95</v>
      </c>
      <c r="Q30" s="162">
        <f t="shared" si="7"/>
        <v>86.26</v>
      </c>
      <c r="R30" s="162">
        <v>64</v>
      </c>
      <c r="S30" s="194">
        <v>91.623496984841054</v>
      </c>
      <c r="T30" s="188">
        <v>168165.61958402049</v>
      </c>
      <c r="U30" s="191">
        <f t="shared" si="10"/>
        <v>45166.781330917467</v>
      </c>
    </row>
    <row r="31" spans="1:22">
      <c r="C31" s="203">
        <f ca="1">DATE(YEAR(RESUMEN!$A$4)+1,A14,1)</f>
        <v>45170</v>
      </c>
      <c r="D31" s="126" t="s">
        <v>21</v>
      </c>
      <c r="E31" s="127">
        <f>'ELECTRICIDAD 2023'!I16</f>
        <v>1238656.3438585526</v>
      </c>
      <c r="F31" s="127">
        <f>'ELECTRICIDAD 2023'!I72</f>
        <v>147786.44883311729</v>
      </c>
      <c r="G31" s="165">
        <f t="shared" si="8"/>
        <v>119.31190565152721</v>
      </c>
      <c r="H31" s="135"/>
      <c r="I31" s="136"/>
      <c r="J31" s="137"/>
      <c r="K31" s="138"/>
      <c r="L31" s="139"/>
      <c r="M31" s="136"/>
      <c r="N31" s="133">
        <f t="shared" si="9"/>
        <v>1</v>
      </c>
      <c r="O31" s="154">
        <v>86.26</v>
      </c>
      <c r="P31" s="171" t="s">
        <v>95</v>
      </c>
      <c r="Q31" s="162">
        <f t="shared" si="7"/>
        <v>86.26</v>
      </c>
      <c r="R31" s="162">
        <v>64</v>
      </c>
      <c r="S31" s="194">
        <v>94.791046718491202</v>
      </c>
      <c r="T31" s="188">
        <v>117413.53135885157</v>
      </c>
      <c r="U31" s="191">
        <f t="shared" si="10"/>
        <v>30372.91747426572</v>
      </c>
    </row>
    <row r="32" spans="1:22">
      <c r="C32" s="203">
        <f ca="1">DATE(YEAR(RESUMEN!$A$4)+1,A15,1)</f>
        <v>45200</v>
      </c>
      <c r="D32" s="126" t="s">
        <v>22</v>
      </c>
      <c r="E32" s="127">
        <f>'ELECTRICIDAD 2023'!I17</f>
        <v>1765011.4717934965</v>
      </c>
      <c r="F32" s="127">
        <f>'ELECTRICIDAD 2023'!I73</f>
        <v>192246.61800382461</v>
      </c>
      <c r="G32" s="165">
        <f t="shared" si="8"/>
        <v>108.92088866055661</v>
      </c>
      <c r="H32" s="140"/>
      <c r="I32" s="141"/>
      <c r="J32" s="142"/>
      <c r="K32" s="143"/>
      <c r="L32" s="144"/>
      <c r="M32" s="141"/>
      <c r="N32" s="133">
        <f t="shared" si="9"/>
        <v>1</v>
      </c>
      <c r="O32" s="154">
        <v>85.29</v>
      </c>
      <c r="P32" s="171" t="s">
        <v>95</v>
      </c>
      <c r="Q32" s="162">
        <f t="shared" si="7"/>
        <v>85.29</v>
      </c>
      <c r="R32" s="162">
        <v>63</v>
      </c>
      <c r="S32" s="194">
        <v>84.907320710768516</v>
      </c>
      <c r="T32" s="188">
        <v>149862.39509375597</v>
      </c>
      <c r="U32" s="191">
        <f t="shared" si="10"/>
        <v>42384.222910068638</v>
      </c>
    </row>
    <row r="33" spans="3:21">
      <c r="C33" s="203">
        <f ca="1">DATE(YEAR(RESUMEN!$A$4)+1,A16,1)</f>
        <v>45231</v>
      </c>
      <c r="D33" s="126" t="s">
        <v>11</v>
      </c>
      <c r="E33" s="127">
        <f>'ELECTRICIDAD 2023'!I18</f>
        <v>1730382.6966904467</v>
      </c>
      <c r="F33" s="127">
        <f>'ELECTRICIDAD 2023'!I74</f>
        <v>206925.5205167183</v>
      </c>
      <c r="G33" s="165">
        <f t="shared" si="8"/>
        <v>119.58367412739786</v>
      </c>
      <c r="H33" s="128"/>
      <c r="I33" s="129"/>
      <c r="J33" s="142"/>
      <c r="K33" s="143"/>
      <c r="L33" s="144"/>
      <c r="M33" s="141"/>
      <c r="N33" s="133">
        <f t="shared" si="9"/>
        <v>1</v>
      </c>
      <c r="O33" s="154">
        <v>85.29</v>
      </c>
      <c r="P33" s="171" t="s">
        <v>95</v>
      </c>
      <c r="Q33" s="162">
        <f t="shared" si="7"/>
        <v>85.29</v>
      </c>
      <c r="R33" s="162">
        <v>63</v>
      </c>
      <c r="S33" s="194">
        <v>93.979938991172261</v>
      </c>
      <c r="T33" s="188">
        <v>162621.26026634831</v>
      </c>
      <c r="U33" s="191">
        <f t="shared" si="10"/>
        <v>44304.260250369989</v>
      </c>
    </row>
    <row r="34" spans="3:21" ht="15.75" thickBot="1">
      <c r="C34" s="203">
        <f ca="1">DATE(YEAR(RESUMEN!$A$4)+1,A17,1)</f>
        <v>45261</v>
      </c>
      <c r="D34" s="147" t="s">
        <v>10</v>
      </c>
      <c r="E34" s="127">
        <f>'ELECTRICIDAD 2023'!I19</f>
        <v>1113892.1180538372</v>
      </c>
      <c r="F34" s="127">
        <f>'ELECTRICIDAD 2023'!I75</f>
        <v>146493.80320858411</v>
      </c>
      <c r="G34" s="166">
        <f t="shared" si="8"/>
        <v>131.51525254037546</v>
      </c>
      <c r="H34" s="148"/>
      <c r="I34" s="149"/>
      <c r="J34" s="150"/>
      <c r="K34" s="151"/>
      <c r="L34" s="152"/>
      <c r="M34" s="149"/>
      <c r="N34" s="153">
        <f t="shared" si="9"/>
        <v>1</v>
      </c>
      <c r="O34" s="154">
        <v>85.29</v>
      </c>
      <c r="P34" s="171" t="s">
        <v>95</v>
      </c>
      <c r="Q34" s="163">
        <f t="shared" si="7"/>
        <v>85.29</v>
      </c>
      <c r="R34" s="162">
        <v>63</v>
      </c>
      <c r="S34" s="195">
        <v>104.90936502607093</v>
      </c>
      <c r="T34" s="189">
        <v>116857.71481257329</v>
      </c>
      <c r="U34" s="191">
        <f t="shared" si="10"/>
        <v>29636.088396010819</v>
      </c>
    </row>
    <row r="35" spans="3:21" ht="15.75" thickBot="1">
      <c r="D35" s="155" t="s">
        <v>30</v>
      </c>
      <c r="E35" s="156">
        <f>+SUM(E23:E34)</f>
        <v>22921247.85590709</v>
      </c>
      <c r="F35" s="157">
        <f t="shared" ref="F35" si="11">+SUM(F23:F34)</f>
        <v>3246182.1555369268</v>
      </c>
      <c r="G35" s="158">
        <f>SUMPRODUCT(G23:G34,E23:E34)/E35</f>
        <v>141.62327356450385</v>
      </c>
      <c r="H35" s="28"/>
      <c r="I35" s="28"/>
      <c r="J35" s="28"/>
      <c r="K35" s="28"/>
      <c r="L35" s="28"/>
      <c r="M35" s="28"/>
      <c r="N35" s="159"/>
      <c r="O35" s="160"/>
      <c r="P35" s="160"/>
      <c r="Q35" s="164">
        <f>SUMPRODUCT(Q23:Q34,E23:E34)/E35</f>
        <v>107.21700685598603</v>
      </c>
      <c r="R35" s="164">
        <f t="shared" ref="R35" si="12">SUMPRODUCT(R23:R34,F23:F34)/F35</f>
        <v>62.186749615655287</v>
      </c>
      <c r="S35" s="193">
        <f>SUMPRODUCT(S23:S34,E23:E34)/E35</f>
        <v>90.346666321819967</v>
      </c>
      <c r="T35" s="190">
        <f t="shared" ref="T35:U35" si="13">+SUM(T23:T34)</f>
        <v>2070858.3317173694</v>
      </c>
      <c r="U35" s="192">
        <f t="shared" si="13"/>
        <v>1175323.8238195577</v>
      </c>
    </row>
  </sheetData>
  <mergeCells count="12">
    <mergeCell ref="R4:U4"/>
    <mergeCell ref="R21:U21"/>
    <mergeCell ref="N4:O4"/>
    <mergeCell ref="D4:F4"/>
    <mergeCell ref="H4:I4"/>
    <mergeCell ref="J4:K4"/>
    <mergeCell ref="L4:M4"/>
    <mergeCell ref="D21:F21"/>
    <mergeCell ref="H21:I21"/>
    <mergeCell ref="J21:K21"/>
    <mergeCell ref="L21:M21"/>
    <mergeCell ref="N21:O21"/>
  </mergeCells>
  <conditionalFormatting sqref="O6:O17">
    <cfRule type="expression" dxfId="3" priority="3">
      <formula>C6&lt;=TODAY()</formula>
    </cfRule>
  </conditionalFormatting>
  <conditionalFormatting sqref="O23">
    <cfRule type="expression" dxfId="2" priority="2">
      <formula>C23&lt;=TODAY()</formula>
    </cfRule>
  </conditionalFormatting>
  <conditionalFormatting sqref="O24:O34">
    <cfRule type="expression" dxfId="1" priority="1">
      <formula>C24&lt;=TODAY()</formula>
    </cfRule>
  </conditionalFormatting>
  <printOptions horizontalCentered="1" verticalCentered="1"/>
  <pageMargins left="0.23622047244094491" right="0.23622047244094491" top="0.15748031496062992" bottom="0.15748031496062992" header="0" footer="0"/>
  <pageSetup paperSize="9" scale="4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2:M90"/>
  <sheetViews>
    <sheetView topLeftCell="A52" zoomScaleNormal="100" workbookViewId="0">
      <selection activeCell="M73" sqref="M73"/>
    </sheetView>
  </sheetViews>
  <sheetFormatPr baseColWidth="10" defaultColWidth="11.42578125" defaultRowHeight="15" customHeight="1"/>
  <cols>
    <col min="1" max="1" width="3.7109375" style="1" customWidth="1"/>
    <col min="2" max="2" width="20.7109375" style="1" customWidth="1"/>
    <col min="3" max="8" width="11.7109375" style="1" customWidth="1"/>
    <col min="9" max="9" width="12.42578125" style="1" bestFit="1" customWidth="1"/>
    <col min="10" max="10" width="13" style="1" customWidth="1"/>
    <col min="11" max="11" width="3.7109375" style="1" customWidth="1"/>
    <col min="12" max="16384" width="11.42578125" style="1"/>
  </cols>
  <sheetData>
    <row r="2" spans="1:11" ht="30" customHeight="1">
      <c r="A2" s="3"/>
      <c r="B2" s="219" t="s">
        <v>81</v>
      </c>
      <c r="C2" s="220"/>
      <c r="D2" s="220"/>
      <c r="E2" s="220"/>
      <c r="F2" s="220"/>
      <c r="G2" s="220"/>
      <c r="H2" s="221"/>
      <c r="I2" s="23"/>
      <c r="J2" s="9"/>
      <c r="K2" s="8"/>
    </row>
    <row r="3" spans="1:11" s="2" customFormat="1" ht="30" customHeight="1">
      <c r="A3" s="6"/>
      <c r="B3" s="29" t="s">
        <v>51</v>
      </c>
      <c r="C3" s="30" t="s">
        <v>0</v>
      </c>
      <c r="D3" s="30" t="s">
        <v>1</v>
      </c>
      <c r="E3" s="30" t="s">
        <v>2</v>
      </c>
      <c r="F3" s="30" t="s">
        <v>3</v>
      </c>
      <c r="G3" s="30" t="s">
        <v>4</v>
      </c>
      <c r="H3" s="30" t="s">
        <v>5</v>
      </c>
      <c r="J3" s="1"/>
    </row>
    <row r="4" spans="1:11">
      <c r="A4" s="3"/>
      <c r="B4" s="7" t="s">
        <v>12</v>
      </c>
      <c r="C4" s="5">
        <v>3758</v>
      </c>
      <c r="D4" s="5">
        <v>3758</v>
      </c>
      <c r="E4" s="5">
        <v>3758</v>
      </c>
      <c r="F4" s="5">
        <v>3758</v>
      </c>
      <c r="G4" s="5">
        <v>3758</v>
      </c>
      <c r="H4" s="5">
        <v>7500</v>
      </c>
      <c r="I4" s="30" t="s">
        <v>6</v>
      </c>
    </row>
    <row r="5" spans="1:11">
      <c r="A5" s="3"/>
      <c r="B5" s="7" t="s">
        <v>7</v>
      </c>
      <c r="C5" s="5">
        <f>+SUM(C8:C19)</f>
        <v>2053845.9193624826</v>
      </c>
      <c r="D5" s="5">
        <f t="shared" ref="D5:I5" si="0">+SUM(D8:D19)</f>
        <v>3201440.8151493776</v>
      </c>
      <c r="E5" s="5">
        <f t="shared" si="0"/>
        <v>3149637.2757990686</v>
      </c>
      <c r="F5" s="5">
        <f t="shared" si="0"/>
        <v>3156420.3785017482</v>
      </c>
      <c r="G5" s="5">
        <f t="shared" si="0"/>
        <v>1424112.4443608832</v>
      </c>
      <c r="H5" s="5">
        <f t="shared" si="0"/>
        <v>9935791.0227335356</v>
      </c>
      <c r="I5" s="104">
        <f t="shared" si="0"/>
        <v>22921247.85590709</v>
      </c>
    </row>
    <row r="6" spans="1:11">
      <c r="B6" s="13"/>
      <c r="C6" s="14"/>
      <c r="D6" s="14"/>
      <c r="E6" s="14"/>
      <c r="F6" s="14"/>
      <c r="G6" s="14"/>
      <c r="H6" s="14"/>
      <c r="I6" s="15"/>
      <c r="K6" s="4"/>
    </row>
    <row r="7" spans="1:11" s="26" customFormat="1" ht="30" customHeight="1">
      <c r="A7" s="27"/>
      <c r="B7" s="46" t="s">
        <v>23</v>
      </c>
      <c r="C7" s="35" t="s">
        <v>0</v>
      </c>
      <c r="D7" s="35" t="s">
        <v>1</v>
      </c>
      <c r="E7" s="35" t="s">
        <v>2</v>
      </c>
      <c r="F7" s="35" t="s">
        <v>3</v>
      </c>
      <c r="G7" s="35" t="s">
        <v>4</v>
      </c>
      <c r="H7" s="35" t="s">
        <v>5</v>
      </c>
      <c r="I7" s="35" t="s">
        <v>6</v>
      </c>
      <c r="K7" s="28"/>
    </row>
    <row r="8" spans="1:11" ht="15" customHeight="1">
      <c r="A8" s="3"/>
      <c r="B8" s="31" t="s">
        <v>13</v>
      </c>
      <c r="C8" s="40">
        <v>575561.54477489099</v>
      </c>
      <c r="D8" s="40">
        <v>446401.00440894964</v>
      </c>
      <c r="E8" s="40">
        <v>0</v>
      </c>
      <c r="F8" s="40">
        <v>0</v>
      </c>
      <c r="G8" s="40">
        <v>0</v>
      </c>
      <c r="H8" s="40">
        <v>836495.82760067214</v>
      </c>
      <c r="I8" s="41">
        <f>+SUM(C8:H8)</f>
        <v>1858458.3767845128</v>
      </c>
      <c r="J8" s="16"/>
      <c r="K8" s="4"/>
    </row>
    <row r="9" spans="1:11">
      <c r="A9" s="3"/>
      <c r="B9" s="31" t="s">
        <v>14</v>
      </c>
      <c r="C9" s="40">
        <v>562548.99253905972</v>
      </c>
      <c r="D9" s="40">
        <v>428837.44037623273</v>
      </c>
      <c r="E9" s="40">
        <v>0</v>
      </c>
      <c r="F9" s="40">
        <v>0</v>
      </c>
      <c r="G9" s="40">
        <v>0</v>
      </c>
      <c r="H9" s="40">
        <v>775563.18830427958</v>
      </c>
      <c r="I9" s="42">
        <f t="shared" ref="I9:I19" si="1">+SUM(C9:H9)</f>
        <v>1766949.6212195721</v>
      </c>
      <c r="J9" s="16"/>
      <c r="K9" s="4"/>
    </row>
    <row r="10" spans="1:11">
      <c r="A10" s="3"/>
      <c r="B10" s="31" t="s">
        <v>15</v>
      </c>
      <c r="C10" s="40">
        <v>0</v>
      </c>
      <c r="D10" s="40">
        <v>1078690.5283032733</v>
      </c>
      <c r="E10" s="40">
        <v>829433.73044167657</v>
      </c>
      <c r="F10" s="40">
        <v>0</v>
      </c>
      <c r="G10" s="40">
        <v>0</v>
      </c>
      <c r="H10" s="40">
        <v>1358651.8189301409</v>
      </c>
      <c r="I10" s="42">
        <f t="shared" si="1"/>
        <v>3266776.0776750911</v>
      </c>
      <c r="J10" s="16"/>
      <c r="K10" s="4"/>
    </row>
    <row r="11" spans="1:11">
      <c r="A11" s="3"/>
      <c r="B11" s="31" t="s">
        <v>16</v>
      </c>
      <c r="C11" s="40">
        <v>0</v>
      </c>
      <c r="D11" s="40">
        <v>0</v>
      </c>
      <c r="E11" s="40">
        <v>0</v>
      </c>
      <c r="F11" s="40">
        <v>520892.50519843941</v>
      </c>
      <c r="G11" s="40">
        <v>398986.14895333268</v>
      </c>
      <c r="H11" s="40">
        <v>671363.91573425324</v>
      </c>
      <c r="I11" s="42">
        <f t="shared" si="1"/>
        <v>1591242.5698860255</v>
      </c>
      <c r="J11" s="16"/>
      <c r="K11" s="4"/>
    </row>
    <row r="12" spans="1:11">
      <c r="A12" s="3"/>
      <c r="B12" s="31" t="s">
        <v>17</v>
      </c>
      <c r="C12" s="40">
        <v>0</v>
      </c>
      <c r="D12" s="40">
        <v>0</v>
      </c>
      <c r="E12" s="40">
        <v>0</v>
      </c>
      <c r="F12" s="40">
        <v>794455.31584368472</v>
      </c>
      <c r="G12" s="40">
        <v>616870.8971383397</v>
      </c>
      <c r="H12" s="40">
        <v>1059217.0930239388</v>
      </c>
      <c r="I12" s="42">
        <f t="shared" si="1"/>
        <v>2470543.3060059631</v>
      </c>
      <c r="J12" s="16"/>
      <c r="K12" s="4"/>
    </row>
    <row r="13" spans="1:11">
      <c r="A13" s="3"/>
      <c r="B13" s="31" t="s">
        <v>18</v>
      </c>
      <c r="C13" s="40">
        <v>0</v>
      </c>
      <c r="D13" s="40">
        <v>0</v>
      </c>
      <c r="E13" s="40">
        <v>711883.92385651695</v>
      </c>
      <c r="F13" s="40">
        <v>548510.41464726883</v>
      </c>
      <c r="G13" s="40">
        <v>0</v>
      </c>
      <c r="H13" s="40">
        <v>884158.66588046832</v>
      </c>
      <c r="I13" s="42">
        <f t="shared" si="1"/>
        <v>2144553.0043842541</v>
      </c>
      <c r="J13" s="16"/>
      <c r="K13" s="4"/>
    </row>
    <row r="14" spans="1:11">
      <c r="A14" s="3"/>
      <c r="B14" s="31" t="s">
        <v>19</v>
      </c>
      <c r="C14" s="40">
        <v>701193.65723168117</v>
      </c>
      <c r="D14" s="40">
        <v>543755.06256396149</v>
      </c>
      <c r="E14" s="40">
        <v>0</v>
      </c>
      <c r="F14" s="40">
        <v>0</v>
      </c>
      <c r="G14" s="40">
        <v>0</v>
      </c>
      <c r="H14" s="40">
        <v>894435.15177186555</v>
      </c>
      <c r="I14" s="42">
        <f t="shared" si="1"/>
        <v>2139383.8715675082</v>
      </c>
      <c r="J14" s="16"/>
      <c r="K14" s="4"/>
    </row>
    <row r="15" spans="1:11">
      <c r="A15" s="3"/>
      <c r="B15" s="31" t="s">
        <v>20</v>
      </c>
      <c r="C15" s="40">
        <v>0</v>
      </c>
      <c r="D15" s="40">
        <v>0</v>
      </c>
      <c r="E15" s="40">
        <v>607722.72807704681</v>
      </c>
      <c r="F15" s="40">
        <v>464803.15824185289</v>
      </c>
      <c r="G15" s="40">
        <v>0</v>
      </c>
      <c r="H15" s="40">
        <v>762872.51166893519</v>
      </c>
      <c r="I15" s="42">
        <f t="shared" si="1"/>
        <v>1835398.3979878349</v>
      </c>
      <c r="J15" s="16"/>
      <c r="K15" s="4"/>
    </row>
    <row r="16" spans="1:11" ht="15" customHeight="1">
      <c r="A16" s="3"/>
      <c r="B16" s="31" t="s">
        <v>21</v>
      </c>
      <c r="C16" s="40">
        <v>0</v>
      </c>
      <c r="D16" s="40">
        <v>0</v>
      </c>
      <c r="E16" s="40">
        <v>387361.43912818935</v>
      </c>
      <c r="F16" s="40">
        <v>285901.88517369749</v>
      </c>
      <c r="G16" s="40">
        <v>0</v>
      </c>
      <c r="H16" s="40">
        <v>565393.01955666579</v>
      </c>
      <c r="I16" s="42">
        <f t="shared" si="1"/>
        <v>1238656.3438585526</v>
      </c>
      <c r="J16" s="16"/>
      <c r="K16" s="4"/>
    </row>
    <row r="17" spans="1:11">
      <c r="A17" s="3"/>
      <c r="B17" s="31" t="s">
        <v>22</v>
      </c>
      <c r="C17" s="40">
        <v>0</v>
      </c>
      <c r="D17" s="40">
        <v>0</v>
      </c>
      <c r="E17" s="40">
        <v>0</v>
      </c>
      <c r="F17" s="40">
        <v>541857.0993968047</v>
      </c>
      <c r="G17" s="40">
        <v>408255.39826921088</v>
      </c>
      <c r="H17" s="40">
        <v>814898.97412748088</v>
      </c>
      <c r="I17" s="42">
        <f t="shared" si="1"/>
        <v>1765011.4717934965</v>
      </c>
      <c r="J17" s="16"/>
      <c r="K17" s="4"/>
    </row>
    <row r="18" spans="1:11">
      <c r="A18" s="3"/>
      <c r="B18" s="31" t="s">
        <v>11</v>
      </c>
      <c r="C18" s="40">
        <v>0</v>
      </c>
      <c r="D18" s="40">
        <v>351025.94081995171</v>
      </c>
      <c r="E18" s="40">
        <v>613235.45429563872</v>
      </c>
      <c r="F18" s="40">
        <v>0</v>
      </c>
      <c r="G18" s="40">
        <v>0</v>
      </c>
      <c r="H18" s="40">
        <v>766121.30157485628</v>
      </c>
      <c r="I18" s="42">
        <f t="shared" si="1"/>
        <v>1730382.6966904467</v>
      </c>
      <c r="J18" s="16"/>
      <c r="K18" s="4"/>
    </row>
    <row r="19" spans="1:11">
      <c r="A19" s="3"/>
      <c r="B19" s="31" t="s">
        <v>10</v>
      </c>
      <c r="C19" s="40">
        <v>214541.72481685079</v>
      </c>
      <c r="D19" s="40">
        <v>352730.83867700846</v>
      </c>
      <c r="E19" s="40">
        <v>0</v>
      </c>
      <c r="F19" s="40">
        <v>0</v>
      </c>
      <c r="G19" s="40">
        <v>0</v>
      </c>
      <c r="H19" s="40">
        <v>546619.55455997796</v>
      </c>
      <c r="I19" s="43">
        <f t="shared" si="1"/>
        <v>1113892.1180538372</v>
      </c>
      <c r="J19" s="16"/>
      <c r="K19" s="4"/>
    </row>
    <row r="20" spans="1:11">
      <c r="B20" s="110" t="s">
        <v>71</v>
      </c>
      <c r="C20" s="12"/>
      <c r="D20" s="12"/>
      <c r="E20" s="12"/>
      <c r="F20" s="12"/>
      <c r="G20" s="12"/>
      <c r="H20" s="12"/>
      <c r="I20" s="12"/>
      <c r="K20" s="4"/>
    </row>
    <row r="21" spans="1:11" s="26" customFormat="1" ht="30" customHeight="1">
      <c r="A21" s="27"/>
      <c r="B21" s="45" t="s">
        <v>25</v>
      </c>
      <c r="C21" s="35" t="s">
        <v>0</v>
      </c>
      <c r="D21" s="35" t="s">
        <v>1</v>
      </c>
      <c r="E21" s="35" t="s">
        <v>2</v>
      </c>
      <c r="F21" s="35" t="s">
        <v>3</v>
      </c>
      <c r="G21" s="35" t="s">
        <v>4</v>
      </c>
      <c r="H21" s="35" t="s">
        <v>5</v>
      </c>
      <c r="I21" s="35" t="s">
        <v>8</v>
      </c>
      <c r="K21" s="28"/>
    </row>
    <row r="22" spans="1:11">
      <c r="A22" s="3"/>
      <c r="B22" s="32" t="s">
        <v>13</v>
      </c>
      <c r="C22" s="39">
        <f>INFO!P12/1000</f>
        <v>0.25481168576878893</v>
      </c>
      <c r="D22" s="39">
        <f>INFO!Q12/1000</f>
        <v>0.24975044491213919</v>
      </c>
      <c r="E22" s="39">
        <f>INFO!R12/1000</f>
        <v>0.22170130912152322</v>
      </c>
      <c r="F22" s="39">
        <f>INFO!S12/1000</f>
        <v>0.21003396771224106</v>
      </c>
      <c r="G22" s="39">
        <f>INFO!T12/1000</f>
        <v>0.20669320860988324</v>
      </c>
      <c r="H22" s="39">
        <f>INFO!U12/1000</f>
        <v>0.19734822130498547</v>
      </c>
      <c r="I22" s="39">
        <f>+SUMPRODUCT(C22:H22,C8:H8)/I8</f>
        <v>0.22773155747853852</v>
      </c>
      <c r="J22" s="24"/>
      <c r="K22" s="4"/>
    </row>
    <row r="23" spans="1:11">
      <c r="A23" s="3"/>
      <c r="B23" s="32" t="s">
        <v>14</v>
      </c>
      <c r="C23" s="39">
        <f>INFO!P13/1000</f>
        <v>0.25301304553771248</v>
      </c>
      <c r="D23" s="39">
        <f>INFO!Q13/1000</f>
        <v>0.24799495571698754</v>
      </c>
      <c r="E23" s="39">
        <f>INFO!R13/1000</f>
        <v>0.22018825833352501</v>
      </c>
      <c r="F23" s="39">
        <f>INFO!S13/1000</f>
        <v>0.20862320975352083</v>
      </c>
      <c r="G23" s="39">
        <f>INFO!T13/1000</f>
        <v>0.20530902648482496</v>
      </c>
      <c r="H23" s="39">
        <f>INFO!U13/1000</f>
        <v>0.19605398854766248</v>
      </c>
      <c r="I23" s="39">
        <f t="shared" ref="I23:I33" si="2">+SUMPRODUCT(C23:H23,C9:H9)/I9</f>
        <v>0.22679424898575964</v>
      </c>
      <c r="J23" s="24"/>
      <c r="K23" s="4"/>
    </row>
    <row r="24" spans="1:11">
      <c r="A24" s="3"/>
      <c r="B24" s="32" t="s">
        <v>15</v>
      </c>
      <c r="C24" s="39">
        <f>INFO!P14/1000</f>
        <v>0.23609254974262428</v>
      </c>
      <c r="D24" s="39">
        <f>INFO!Q14/1000</f>
        <v>0.23136811437746374</v>
      </c>
      <c r="E24" s="39">
        <f>INFO!R14/1000</f>
        <v>0.20537210622650809</v>
      </c>
      <c r="F24" s="39">
        <f>INFO!S14/1000</f>
        <v>0.19455794940495152</v>
      </c>
      <c r="G24" s="39">
        <f>INFO!T14/1000</f>
        <v>0.19146309462872219</v>
      </c>
      <c r="H24" s="39">
        <f>INFO!U14/1000</f>
        <v>0.18278963615791019</v>
      </c>
      <c r="I24" s="39">
        <f t="shared" si="2"/>
        <v>0.20456394974264391</v>
      </c>
      <c r="J24" s="24"/>
      <c r="K24" s="4"/>
    </row>
    <row r="25" spans="1:11">
      <c r="A25" s="3"/>
      <c r="B25" s="32" t="s">
        <v>16</v>
      </c>
      <c r="C25" s="39">
        <f>INFO!P15/1000</f>
        <v>0.21922458301444167</v>
      </c>
      <c r="D25" s="39">
        <f>INFO!Q15/1000</f>
        <v>0.21480971202559165</v>
      </c>
      <c r="E25" s="39">
        <f>INFO!R15/1000</f>
        <v>0.19068918714848335</v>
      </c>
      <c r="F25" s="39">
        <f>INFO!S15/1000</f>
        <v>0.18065526379862498</v>
      </c>
      <c r="G25" s="39">
        <f>INFO!T15/1000</f>
        <v>0.17778365295494999</v>
      </c>
      <c r="H25" s="39">
        <f>INFO!U15/1000</f>
        <v>0.16972961022797498</v>
      </c>
      <c r="I25" s="39">
        <f t="shared" si="2"/>
        <v>0.17532557825887382</v>
      </c>
      <c r="J25" s="24"/>
      <c r="K25" s="4"/>
    </row>
    <row r="26" spans="1:11">
      <c r="A26" s="3"/>
      <c r="B26" s="32" t="s">
        <v>17</v>
      </c>
      <c r="C26" s="39">
        <f>INFO!P16/1000</f>
        <v>0.22014427352536237</v>
      </c>
      <c r="D26" s="39">
        <f>INFO!Q16/1000</f>
        <v>0.21573465291050434</v>
      </c>
      <c r="E26" s="39">
        <f>INFO!R16/1000</f>
        <v>0.19160450234774407</v>
      </c>
      <c r="F26" s="39">
        <f>INFO!S16/1000</f>
        <v>0.18156970393555372</v>
      </c>
      <c r="G26" s="39">
        <f>INFO!T16/1000</f>
        <v>0.17869196765555481</v>
      </c>
      <c r="H26" s="39">
        <f>INFO!U16/1000</f>
        <v>0.1706563012375516</v>
      </c>
      <c r="I26" s="39">
        <f t="shared" si="2"/>
        <v>0.17617216469423364</v>
      </c>
      <c r="J26" s="24"/>
      <c r="K26" s="4"/>
    </row>
    <row r="27" spans="1:11">
      <c r="A27" s="3"/>
      <c r="B27" s="32" t="s">
        <v>18</v>
      </c>
      <c r="C27" s="39">
        <f>INFO!P17/1000</f>
        <v>0.20352870074663779</v>
      </c>
      <c r="D27" s="39">
        <f>INFO!Q17/1000</f>
        <v>0.19940292391692946</v>
      </c>
      <c r="E27" s="39">
        <f>INFO!R17/1000</f>
        <v>0.17703191676603222</v>
      </c>
      <c r="F27" s="39">
        <f>INFO!S17/1000</f>
        <v>0.16772597013266111</v>
      </c>
      <c r="G27" s="39">
        <f>INFO!T17/1000</f>
        <v>0.1650623751367033</v>
      </c>
      <c r="H27" s="39">
        <f>INFO!U17/1000</f>
        <v>0.15758715868799164</v>
      </c>
      <c r="I27" s="39">
        <f t="shared" si="2"/>
        <v>0.16663503687468798</v>
      </c>
      <c r="J27" s="24"/>
      <c r="K27" s="4"/>
    </row>
    <row r="28" spans="1:11">
      <c r="A28" s="3"/>
      <c r="B28" s="32" t="s">
        <v>19</v>
      </c>
      <c r="C28" s="39">
        <f>INFO!P18/1000</f>
        <v>0.21495826917641209</v>
      </c>
      <c r="D28" s="39">
        <f>INFO!Q18/1000</f>
        <v>0.21062050770891289</v>
      </c>
      <c r="E28" s="39">
        <f>INFO!R18/1000</f>
        <v>0.18696936986693227</v>
      </c>
      <c r="F28" s="39">
        <f>INFO!S18/1000</f>
        <v>0.17713055181378626</v>
      </c>
      <c r="G28" s="39">
        <f>INFO!T18/1000</f>
        <v>0.17431508045476449</v>
      </c>
      <c r="H28" s="39">
        <f>INFO!U18/1000</f>
        <v>0.16641490615920482</v>
      </c>
      <c r="I28" s="39">
        <f t="shared" si="2"/>
        <v>0.19356072073531849</v>
      </c>
      <c r="J28" s="24"/>
      <c r="K28" s="4"/>
    </row>
    <row r="29" spans="1:11">
      <c r="A29" s="3"/>
      <c r="B29" s="32" t="s">
        <v>20</v>
      </c>
      <c r="C29" s="39">
        <f>INFO!P19/1000</f>
        <v>0.21665324979079381</v>
      </c>
      <c r="D29" s="39">
        <f>INFO!Q19/1000</f>
        <v>0.21232516471119786</v>
      </c>
      <c r="E29" s="39">
        <f>INFO!R19/1000</f>
        <v>0.18865628682472796</v>
      </c>
      <c r="F29" s="39">
        <f>INFO!S19/1000</f>
        <v>0.17881585604026476</v>
      </c>
      <c r="G29" s="39">
        <f>INFO!T19/1000</f>
        <v>0.17598909556202255</v>
      </c>
      <c r="H29" s="39">
        <f>INFO!U19/1000</f>
        <v>0.16812278862412419</v>
      </c>
      <c r="I29" s="39">
        <f t="shared" si="2"/>
        <v>0.17762963197153073</v>
      </c>
      <c r="J29" s="24"/>
      <c r="K29" s="4"/>
    </row>
    <row r="30" spans="1:11">
      <c r="A30" s="3"/>
      <c r="B30" s="32" t="s">
        <v>21</v>
      </c>
      <c r="C30" s="39">
        <f>INFO!P20/1000</f>
        <v>0.21583701445545556</v>
      </c>
      <c r="D30" s="39">
        <f>INFO!Q20/1000</f>
        <v>0.2115042696118139</v>
      </c>
      <c r="E30" s="39">
        <f>INFO!R20/1000</f>
        <v>0.18784393462609447</v>
      </c>
      <c r="F30" s="39">
        <f>INFO!S20/1000</f>
        <v>0.17800428046897221</v>
      </c>
      <c r="G30" s="39">
        <f>INFO!T20/1000</f>
        <v>0.17518295638211664</v>
      </c>
      <c r="H30" s="39">
        <f>INFO!U20/1000</f>
        <v>0.1673003402700583</v>
      </c>
      <c r="I30" s="39">
        <f t="shared" si="2"/>
        <v>0.17619552173899858</v>
      </c>
      <c r="J30" s="24"/>
      <c r="K30" s="4"/>
    </row>
    <row r="31" spans="1:11">
      <c r="A31" s="3"/>
      <c r="B31" s="32" t="s">
        <v>22</v>
      </c>
      <c r="C31" s="39">
        <f>INFO!P21/1000</f>
        <v>0.21833553682740614</v>
      </c>
      <c r="D31" s="39">
        <f>INFO!Q21/1000</f>
        <v>0.21393120044862327</v>
      </c>
      <c r="E31" s="39">
        <f>INFO!R21/1000</f>
        <v>0.18988532434910022</v>
      </c>
      <c r="F31" s="39">
        <f>INFO!S21/1000</f>
        <v>0.1798816385976057</v>
      </c>
      <c r="G31" s="39">
        <f>INFO!T21/1000</f>
        <v>0.17702021438981069</v>
      </c>
      <c r="H31" s="39">
        <f>INFO!U21/1000</f>
        <v>0.16898519435294559</v>
      </c>
      <c r="I31" s="39">
        <f t="shared" si="2"/>
        <v>0.17418893162274879</v>
      </c>
      <c r="J31" s="24"/>
      <c r="K31" s="4"/>
    </row>
    <row r="32" spans="1:11">
      <c r="A32" s="3"/>
      <c r="B32" s="32" t="s">
        <v>11</v>
      </c>
      <c r="C32" s="39">
        <f>INFO!P22/1000</f>
        <v>0.21827213670037221</v>
      </c>
      <c r="D32" s="39">
        <f>INFO!Q22/1000</f>
        <v>0.21386743837985558</v>
      </c>
      <c r="E32" s="39">
        <f>INFO!R22/1000</f>
        <v>0.1898222258401778</v>
      </c>
      <c r="F32" s="39">
        <f>INFO!S22/1000</f>
        <v>0.17981860041230552</v>
      </c>
      <c r="G32" s="39">
        <f>INFO!T22/1000</f>
        <v>0.17695759846986664</v>
      </c>
      <c r="H32" s="39">
        <f>INFO!U22/1000</f>
        <v>0.1689213116369333</v>
      </c>
      <c r="I32" s="39">
        <f t="shared" si="2"/>
        <v>0.1854462330300205</v>
      </c>
      <c r="J32" s="24"/>
      <c r="K32" s="4"/>
    </row>
    <row r="33" spans="1:11">
      <c r="A33" s="3"/>
      <c r="B33" s="32" t="s">
        <v>10</v>
      </c>
      <c r="C33" s="39">
        <f>INFO!P23/1000</f>
        <v>0.2180243384702871</v>
      </c>
      <c r="D33" s="39">
        <f>INFO!Q23/1000</f>
        <v>0.21361822550716292</v>
      </c>
      <c r="E33" s="39">
        <f>INFO!R23/1000</f>
        <v>0.18957560647893229</v>
      </c>
      <c r="F33" s="39">
        <f>INFO!S23/1000</f>
        <v>0.17957221682482796</v>
      </c>
      <c r="G33" s="39">
        <f>INFO!T23/1000</f>
        <v>0.17671286529876448</v>
      </c>
      <c r="H33" s="39">
        <f>INFO!U23/1000</f>
        <v>0.16867162721670481</v>
      </c>
      <c r="I33" s="39">
        <f t="shared" si="2"/>
        <v>0.19241025206091564</v>
      </c>
      <c r="J33" s="24"/>
      <c r="K33" s="4"/>
    </row>
    <row r="34" spans="1:11">
      <c r="B34" s="111" t="s">
        <v>79</v>
      </c>
      <c r="C34" s="24"/>
      <c r="D34" s="24"/>
      <c r="E34" s="24"/>
      <c r="F34" s="24"/>
      <c r="G34" s="24"/>
      <c r="H34" s="4"/>
      <c r="I34" s="48"/>
      <c r="K34" s="4"/>
    </row>
    <row r="35" spans="1:11" s="26" customFormat="1" ht="30" customHeight="1">
      <c r="A35" s="27"/>
      <c r="B35" s="45" t="s">
        <v>24</v>
      </c>
      <c r="C35" s="35" t="s">
        <v>0</v>
      </c>
      <c r="D35" s="35" t="s">
        <v>1</v>
      </c>
      <c r="E35" s="35" t="s">
        <v>2</v>
      </c>
      <c r="F35" s="35" t="s">
        <v>3</v>
      </c>
      <c r="G35" s="35" t="s">
        <v>4</v>
      </c>
      <c r="H35" s="35" t="s">
        <v>5</v>
      </c>
      <c r="I35" s="35" t="s">
        <v>8</v>
      </c>
      <c r="K35" s="28"/>
    </row>
    <row r="36" spans="1:11">
      <c r="A36" s="3"/>
      <c r="B36" s="32" t="s">
        <v>13</v>
      </c>
      <c r="C36" s="39">
        <f>INFO!C$23/1000</f>
        <v>1.9546000000000001E-2</v>
      </c>
      <c r="D36" s="39">
        <f>INFO!D$23/1000</f>
        <v>1.5216E-2</v>
      </c>
      <c r="E36" s="39">
        <f>INFO!E$23/1000</f>
        <v>8.379000000000001E-3</v>
      </c>
      <c r="F36" s="39">
        <f>INFO!F$23/1000</f>
        <v>5.0299999999999997E-3</v>
      </c>
      <c r="G36" s="39">
        <f>INFO!G$23/1000</f>
        <v>1.5049999999999998E-3</v>
      </c>
      <c r="H36" s="39">
        <f>INFO!H$23/1000</f>
        <v>1.0040000000000001E-3</v>
      </c>
      <c r="I36" s="39">
        <f>+SUMPRODUCT(C36:H36,C8:H8)/I8</f>
        <v>1.0160144388510593E-2</v>
      </c>
      <c r="K36" s="4"/>
    </row>
    <row r="37" spans="1:11">
      <c r="A37" s="3"/>
      <c r="B37" s="32" t="s">
        <v>14</v>
      </c>
      <c r="C37" s="39">
        <f>INFO!C$23/1000</f>
        <v>1.9546000000000001E-2</v>
      </c>
      <c r="D37" s="39">
        <f>INFO!D$23/1000</f>
        <v>1.5216E-2</v>
      </c>
      <c r="E37" s="39">
        <f>INFO!E$23/1000</f>
        <v>8.379000000000001E-3</v>
      </c>
      <c r="F37" s="39">
        <f>INFO!F$23/1000</f>
        <v>5.0299999999999997E-3</v>
      </c>
      <c r="G37" s="39">
        <f>INFO!G$23/1000</f>
        <v>1.5049999999999998E-3</v>
      </c>
      <c r="H37" s="39">
        <f>INFO!H$23/1000</f>
        <v>1.0040000000000001E-3</v>
      </c>
      <c r="I37" s="39">
        <f t="shared" ref="I37:I47" si="3">+SUMPRODUCT(C37:H37,C9:H9)/I9</f>
        <v>1.0356514029732325E-2</v>
      </c>
      <c r="K37" s="4"/>
    </row>
    <row r="38" spans="1:11">
      <c r="A38" s="3"/>
      <c r="B38" s="32" t="s">
        <v>15</v>
      </c>
      <c r="C38" s="39">
        <f>INFO!C$23/1000</f>
        <v>1.9546000000000001E-2</v>
      </c>
      <c r="D38" s="39">
        <f>INFO!D$23/1000</f>
        <v>1.5216E-2</v>
      </c>
      <c r="E38" s="39">
        <f>INFO!E$23/1000</f>
        <v>8.379000000000001E-3</v>
      </c>
      <c r="F38" s="39">
        <f>INFO!F$23/1000</f>
        <v>5.0299999999999997E-3</v>
      </c>
      <c r="G38" s="39">
        <f>INFO!G$23/1000</f>
        <v>1.5049999999999998E-3</v>
      </c>
      <c r="H38" s="39">
        <f>INFO!H$23/1000</f>
        <v>1.0040000000000001E-3</v>
      </c>
      <c r="I38" s="39">
        <f t="shared" si="3"/>
        <v>7.5693179282239793E-3</v>
      </c>
      <c r="K38" s="4"/>
    </row>
    <row r="39" spans="1:11">
      <c r="A39" s="3"/>
      <c r="B39" s="32" t="s">
        <v>16</v>
      </c>
      <c r="C39" s="39">
        <f>INFO!C$23/1000</f>
        <v>1.9546000000000001E-2</v>
      </c>
      <c r="D39" s="39">
        <f>INFO!D$23/1000</f>
        <v>1.5216E-2</v>
      </c>
      <c r="E39" s="39">
        <f>INFO!E$23/1000</f>
        <v>8.379000000000001E-3</v>
      </c>
      <c r="F39" s="39">
        <f>INFO!F$23/1000</f>
        <v>5.0299999999999997E-3</v>
      </c>
      <c r="G39" s="39">
        <f>INFO!G$23/1000</f>
        <v>1.5049999999999998E-3</v>
      </c>
      <c r="H39" s="39">
        <f>INFO!H$23/1000</f>
        <v>1.0040000000000001E-3</v>
      </c>
      <c r="I39" s="39">
        <f t="shared" si="3"/>
        <v>2.4475293084944695E-3</v>
      </c>
      <c r="K39" s="4"/>
    </row>
    <row r="40" spans="1:11">
      <c r="A40" s="3"/>
      <c r="B40" s="32" t="s">
        <v>17</v>
      </c>
      <c r="C40" s="39">
        <f>INFO!C$23/1000</f>
        <v>1.9546000000000001E-2</v>
      </c>
      <c r="D40" s="39">
        <f>INFO!D$23/1000</f>
        <v>1.5216E-2</v>
      </c>
      <c r="E40" s="39">
        <f>INFO!E$23/1000</f>
        <v>8.379000000000001E-3</v>
      </c>
      <c r="F40" s="39">
        <f>INFO!F$23/1000</f>
        <v>5.0299999999999997E-3</v>
      </c>
      <c r="G40" s="39">
        <f>INFO!G$23/1000</f>
        <v>1.5049999999999998E-3</v>
      </c>
      <c r="H40" s="39">
        <f>INFO!H$23/1000</f>
        <v>1.0040000000000001E-3</v>
      </c>
      <c r="I40" s="39">
        <f t="shared" si="3"/>
        <v>2.423740108390764E-3</v>
      </c>
      <c r="K40" s="4"/>
    </row>
    <row r="41" spans="1:11">
      <c r="A41" s="3"/>
      <c r="B41" s="32" t="s">
        <v>18</v>
      </c>
      <c r="C41" s="39">
        <f>INFO!C$23/1000</f>
        <v>1.9546000000000001E-2</v>
      </c>
      <c r="D41" s="39">
        <f>INFO!D$23/1000</f>
        <v>1.5216E-2</v>
      </c>
      <c r="E41" s="39">
        <f>INFO!E$23/1000</f>
        <v>8.379000000000001E-3</v>
      </c>
      <c r="F41" s="39">
        <f>INFO!F$23/1000</f>
        <v>5.0299999999999997E-3</v>
      </c>
      <c r="G41" s="39">
        <f>INFO!G$23/1000</f>
        <v>1.5049999999999998E-3</v>
      </c>
      <c r="H41" s="39">
        <f>INFO!H$23/1000</f>
        <v>1.0040000000000001E-3</v>
      </c>
      <c r="I41" s="39">
        <f t="shared" si="3"/>
        <v>4.4818561558347646E-3</v>
      </c>
      <c r="K41" s="4"/>
    </row>
    <row r="42" spans="1:11">
      <c r="A42" s="3"/>
      <c r="B42" s="32" t="s">
        <v>19</v>
      </c>
      <c r="C42" s="39">
        <f>INFO!C$23/1000</f>
        <v>1.9546000000000001E-2</v>
      </c>
      <c r="D42" s="39">
        <f>INFO!D$23/1000</f>
        <v>1.5216E-2</v>
      </c>
      <c r="E42" s="39">
        <f>INFO!E$23/1000</f>
        <v>8.379000000000001E-3</v>
      </c>
      <c r="F42" s="39">
        <f>INFO!F$23/1000</f>
        <v>5.0299999999999997E-3</v>
      </c>
      <c r="G42" s="39">
        <f>INFO!G$23/1000</f>
        <v>1.5049999999999998E-3</v>
      </c>
      <c r="H42" s="39">
        <f>INFO!H$23/1000</f>
        <v>1.0040000000000001E-3</v>
      </c>
      <c r="I42" s="39">
        <f t="shared" si="3"/>
        <v>1.0693415731810962E-2</v>
      </c>
      <c r="K42" s="4"/>
    </row>
    <row r="43" spans="1:11">
      <c r="A43" s="3"/>
      <c r="B43" s="32" t="s">
        <v>20</v>
      </c>
      <c r="C43" s="39">
        <f>INFO!C$23/1000</f>
        <v>1.9546000000000001E-2</v>
      </c>
      <c r="D43" s="39">
        <f>INFO!D$23/1000</f>
        <v>1.5216E-2</v>
      </c>
      <c r="E43" s="39">
        <f>INFO!E$23/1000</f>
        <v>8.379000000000001E-3</v>
      </c>
      <c r="F43" s="39">
        <f>INFO!F$23/1000</f>
        <v>5.0299999999999997E-3</v>
      </c>
      <c r="G43" s="39">
        <f>INFO!G$23/1000</f>
        <v>1.5049999999999998E-3</v>
      </c>
      <c r="H43" s="39">
        <f>INFO!H$23/1000</f>
        <v>1.0040000000000001E-3</v>
      </c>
      <c r="I43" s="39">
        <f t="shared" si="3"/>
        <v>4.4655114852530401E-3</v>
      </c>
      <c r="K43" s="4"/>
    </row>
    <row r="44" spans="1:11">
      <c r="A44" s="3"/>
      <c r="B44" s="32" t="s">
        <v>21</v>
      </c>
      <c r="C44" s="39">
        <f>INFO!C$23/1000</f>
        <v>1.9546000000000001E-2</v>
      </c>
      <c r="D44" s="39">
        <f>INFO!D$23/1000</f>
        <v>1.5216E-2</v>
      </c>
      <c r="E44" s="39">
        <f>INFO!E$23/1000</f>
        <v>8.379000000000001E-3</v>
      </c>
      <c r="F44" s="39">
        <f>INFO!F$23/1000</f>
        <v>5.0299999999999997E-3</v>
      </c>
      <c r="G44" s="39">
        <f>INFO!G$23/1000</f>
        <v>1.5049999999999998E-3</v>
      </c>
      <c r="H44" s="39">
        <f>INFO!H$23/1000</f>
        <v>1.0040000000000001E-3</v>
      </c>
      <c r="I44" s="39">
        <f t="shared" si="3"/>
        <v>4.2396283671020966E-3</v>
      </c>
      <c r="K44" s="4"/>
    </row>
    <row r="45" spans="1:11">
      <c r="A45" s="3"/>
      <c r="B45" s="32" t="s">
        <v>22</v>
      </c>
      <c r="C45" s="39">
        <f>INFO!C$23/1000</f>
        <v>1.9546000000000001E-2</v>
      </c>
      <c r="D45" s="39">
        <f>INFO!D$23/1000</f>
        <v>1.5216E-2</v>
      </c>
      <c r="E45" s="39">
        <f>INFO!E$23/1000</f>
        <v>8.379000000000001E-3</v>
      </c>
      <c r="F45" s="39">
        <f>INFO!F$23/1000</f>
        <v>5.0299999999999997E-3</v>
      </c>
      <c r="G45" s="39">
        <f>INFO!G$23/1000</f>
        <v>1.5049999999999998E-3</v>
      </c>
      <c r="H45" s="39">
        <f>INFO!H$23/1000</f>
        <v>1.0040000000000001E-3</v>
      </c>
      <c r="I45" s="39">
        <f t="shared" si="3"/>
        <v>2.3558623957043463E-3</v>
      </c>
      <c r="K45" s="4"/>
    </row>
    <row r="46" spans="1:11">
      <c r="A46" s="3"/>
      <c r="B46" s="32" t="s">
        <v>11</v>
      </c>
      <c r="C46" s="39">
        <f>INFO!C$23/1000</f>
        <v>1.9546000000000001E-2</v>
      </c>
      <c r="D46" s="39">
        <f>INFO!D$23/1000</f>
        <v>1.5216E-2</v>
      </c>
      <c r="E46" s="39">
        <f>INFO!E$23/1000</f>
        <v>8.379000000000001E-3</v>
      </c>
      <c r="F46" s="39">
        <f>INFO!F$23/1000</f>
        <v>5.0299999999999997E-3</v>
      </c>
      <c r="G46" s="39">
        <f>INFO!G$23/1000</f>
        <v>1.5049999999999998E-3</v>
      </c>
      <c r="H46" s="39">
        <f>INFO!H$23/1000</f>
        <v>1.0040000000000001E-3</v>
      </c>
      <c r="I46" s="39">
        <f t="shared" si="3"/>
        <v>6.5006986000005129E-3</v>
      </c>
      <c r="K46" s="4"/>
    </row>
    <row r="47" spans="1:11">
      <c r="A47" s="3"/>
      <c r="B47" s="32" t="s">
        <v>10</v>
      </c>
      <c r="C47" s="39">
        <f>INFO!C$23/1000</f>
        <v>1.9546000000000001E-2</v>
      </c>
      <c r="D47" s="39">
        <f>INFO!D$23/1000</f>
        <v>1.5216E-2</v>
      </c>
      <c r="E47" s="39">
        <f>INFO!E$23/1000</f>
        <v>8.379000000000001E-3</v>
      </c>
      <c r="F47" s="39">
        <f>INFO!F$23/1000</f>
        <v>5.0299999999999997E-3</v>
      </c>
      <c r="G47" s="39">
        <f>INFO!G$23/1000</f>
        <v>1.5049999999999998E-3</v>
      </c>
      <c r="H47" s="39">
        <f>INFO!H$23/1000</f>
        <v>1.0040000000000001E-3</v>
      </c>
      <c r="I47" s="39">
        <f t="shared" si="3"/>
        <v>9.0757362077582577E-3</v>
      </c>
      <c r="K47" s="4"/>
    </row>
    <row r="48" spans="1:11">
      <c r="A48" s="3"/>
      <c r="B48" s="112" t="s">
        <v>80</v>
      </c>
      <c r="C48" s="25"/>
      <c r="D48" s="25"/>
      <c r="E48" s="25"/>
      <c r="F48" s="25"/>
      <c r="G48" s="25"/>
      <c r="H48" s="25"/>
      <c r="I48" s="10"/>
      <c r="K48" s="4"/>
    </row>
    <row r="49" spans="1:11" s="26" customFormat="1" ht="30" customHeight="1">
      <c r="B49" s="45" t="s">
        <v>26</v>
      </c>
      <c r="C49" s="35" t="s">
        <v>0</v>
      </c>
      <c r="D49" s="35" t="s">
        <v>1</v>
      </c>
      <c r="E49" s="35" t="s">
        <v>2</v>
      </c>
      <c r="F49" s="35" t="s">
        <v>3</v>
      </c>
      <c r="G49" s="35" t="s">
        <v>4</v>
      </c>
      <c r="H49" s="35" t="s">
        <v>5</v>
      </c>
      <c r="I49" s="10"/>
      <c r="K49" s="28"/>
    </row>
    <row r="50" spans="1:11">
      <c r="B50" s="32" t="s">
        <v>13</v>
      </c>
      <c r="C50" s="44">
        <f>INFO!C$31</f>
        <v>17.357804000000002</v>
      </c>
      <c r="D50" s="44">
        <f>INFO!D$31</f>
        <v>15.477352</v>
      </c>
      <c r="E50" s="44">
        <f>INFO!E$31</f>
        <v>8.0180159999999994</v>
      </c>
      <c r="F50" s="44">
        <f>INFO!F$31</f>
        <v>7.4178310000000005</v>
      </c>
      <c r="G50" s="44">
        <f>INFO!G$31</f>
        <v>1.787506</v>
      </c>
      <c r="H50" s="44">
        <f>INFO!H$31</f>
        <v>1.0459320000000001</v>
      </c>
      <c r="I50" s="10"/>
      <c r="K50" s="4"/>
    </row>
    <row r="51" spans="1:11">
      <c r="B51" s="32" t="s">
        <v>14</v>
      </c>
      <c r="C51" s="44">
        <f>INFO!C$31</f>
        <v>17.357804000000002</v>
      </c>
      <c r="D51" s="44">
        <f>INFO!D$31</f>
        <v>15.477352</v>
      </c>
      <c r="E51" s="44">
        <f>INFO!E$31</f>
        <v>8.0180159999999994</v>
      </c>
      <c r="F51" s="44">
        <f>INFO!F$31</f>
        <v>7.4178310000000005</v>
      </c>
      <c r="G51" s="44">
        <f>INFO!G$31</f>
        <v>1.787506</v>
      </c>
      <c r="H51" s="44">
        <f>INFO!H$31</f>
        <v>1.0459320000000001</v>
      </c>
      <c r="I51" s="10"/>
      <c r="K51" s="4"/>
    </row>
    <row r="52" spans="1:11">
      <c r="B52" s="32" t="s">
        <v>15</v>
      </c>
      <c r="C52" s="44">
        <f>INFO!C$31</f>
        <v>17.357804000000002</v>
      </c>
      <c r="D52" s="44">
        <f>INFO!D$31</f>
        <v>15.477352</v>
      </c>
      <c r="E52" s="44">
        <f>INFO!E$31</f>
        <v>8.0180159999999994</v>
      </c>
      <c r="F52" s="44">
        <f>INFO!F$31</f>
        <v>7.4178310000000005</v>
      </c>
      <c r="G52" s="44">
        <f>INFO!G$31</f>
        <v>1.787506</v>
      </c>
      <c r="H52" s="44">
        <f>INFO!H$31</f>
        <v>1.0459320000000001</v>
      </c>
      <c r="I52" s="10"/>
      <c r="K52" s="4"/>
    </row>
    <row r="53" spans="1:11">
      <c r="B53" s="32" t="s">
        <v>16</v>
      </c>
      <c r="C53" s="44">
        <f>INFO!C$31</f>
        <v>17.357804000000002</v>
      </c>
      <c r="D53" s="44">
        <f>INFO!D$31</f>
        <v>15.477352</v>
      </c>
      <c r="E53" s="44">
        <f>INFO!E$31</f>
        <v>8.0180159999999994</v>
      </c>
      <c r="F53" s="44">
        <f>INFO!F$31</f>
        <v>7.4178310000000005</v>
      </c>
      <c r="G53" s="44">
        <f>INFO!G$31</f>
        <v>1.787506</v>
      </c>
      <c r="H53" s="44">
        <f>INFO!H$31</f>
        <v>1.0459320000000001</v>
      </c>
      <c r="I53" s="10"/>
      <c r="K53" s="4"/>
    </row>
    <row r="54" spans="1:11">
      <c r="B54" s="32" t="s">
        <v>17</v>
      </c>
      <c r="C54" s="44">
        <f>INFO!C$31</f>
        <v>17.357804000000002</v>
      </c>
      <c r="D54" s="44">
        <f>INFO!D$31</f>
        <v>15.477352</v>
      </c>
      <c r="E54" s="44">
        <f>INFO!E$31</f>
        <v>8.0180159999999994</v>
      </c>
      <c r="F54" s="44">
        <f>INFO!F$31</f>
        <v>7.4178310000000005</v>
      </c>
      <c r="G54" s="44">
        <f>INFO!G$31</f>
        <v>1.787506</v>
      </c>
      <c r="H54" s="44">
        <f>INFO!H$31</f>
        <v>1.0459320000000001</v>
      </c>
      <c r="I54" s="10"/>
      <c r="K54" s="4"/>
    </row>
    <row r="55" spans="1:11">
      <c r="B55" s="32" t="s">
        <v>18</v>
      </c>
      <c r="C55" s="44">
        <f>INFO!C$31</f>
        <v>17.357804000000002</v>
      </c>
      <c r="D55" s="44">
        <f>INFO!D$31</f>
        <v>15.477352</v>
      </c>
      <c r="E55" s="44">
        <f>INFO!E$31</f>
        <v>8.0180159999999994</v>
      </c>
      <c r="F55" s="44">
        <f>INFO!F$31</f>
        <v>7.4178310000000005</v>
      </c>
      <c r="G55" s="44">
        <f>INFO!G$31</f>
        <v>1.787506</v>
      </c>
      <c r="H55" s="44">
        <f>INFO!H$31</f>
        <v>1.0459320000000001</v>
      </c>
      <c r="I55" s="10"/>
      <c r="K55" s="4"/>
    </row>
    <row r="56" spans="1:11">
      <c r="B56" s="32" t="s">
        <v>19</v>
      </c>
      <c r="C56" s="44">
        <f>INFO!C$31</f>
        <v>17.357804000000002</v>
      </c>
      <c r="D56" s="44">
        <f>INFO!D$31</f>
        <v>15.477352</v>
      </c>
      <c r="E56" s="44">
        <f>INFO!E$31</f>
        <v>8.0180159999999994</v>
      </c>
      <c r="F56" s="44">
        <f>INFO!F$31</f>
        <v>7.4178310000000005</v>
      </c>
      <c r="G56" s="44">
        <f>INFO!G$31</f>
        <v>1.787506</v>
      </c>
      <c r="H56" s="44">
        <f>INFO!H$31</f>
        <v>1.0459320000000001</v>
      </c>
      <c r="I56" s="10"/>
    </row>
    <row r="57" spans="1:11" ht="15" customHeight="1">
      <c r="A57" s="3"/>
      <c r="B57" s="32" t="s">
        <v>20</v>
      </c>
      <c r="C57" s="44">
        <f>INFO!C$31</f>
        <v>17.357804000000002</v>
      </c>
      <c r="D57" s="44">
        <f>INFO!D$31</f>
        <v>15.477352</v>
      </c>
      <c r="E57" s="44">
        <f>INFO!E$31</f>
        <v>8.0180159999999994</v>
      </c>
      <c r="F57" s="44">
        <f>INFO!F$31</f>
        <v>7.4178310000000005</v>
      </c>
      <c r="G57" s="44">
        <f>INFO!G$31</f>
        <v>1.787506</v>
      </c>
      <c r="H57" s="44">
        <f>INFO!H$31</f>
        <v>1.0459320000000001</v>
      </c>
      <c r="I57" s="10"/>
    </row>
    <row r="58" spans="1:11" ht="15" customHeight="1">
      <c r="B58" s="32" t="s">
        <v>21</v>
      </c>
      <c r="C58" s="44">
        <f>INFO!C$31</f>
        <v>17.357804000000002</v>
      </c>
      <c r="D58" s="44">
        <f>INFO!D$31</f>
        <v>15.477352</v>
      </c>
      <c r="E58" s="44">
        <f>INFO!E$31</f>
        <v>8.0180159999999994</v>
      </c>
      <c r="F58" s="44">
        <f>INFO!F$31</f>
        <v>7.4178310000000005</v>
      </c>
      <c r="G58" s="44">
        <f>INFO!G$31</f>
        <v>1.787506</v>
      </c>
      <c r="H58" s="44">
        <f>INFO!H$31</f>
        <v>1.0459320000000001</v>
      </c>
      <c r="I58" s="10"/>
    </row>
    <row r="59" spans="1:11" ht="15" customHeight="1">
      <c r="B59" s="32" t="s">
        <v>22</v>
      </c>
      <c r="C59" s="44">
        <f>INFO!C$31</f>
        <v>17.357804000000002</v>
      </c>
      <c r="D59" s="44">
        <f>INFO!D$31</f>
        <v>15.477352</v>
      </c>
      <c r="E59" s="44">
        <f>INFO!E$31</f>
        <v>8.0180159999999994</v>
      </c>
      <c r="F59" s="44">
        <f>INFO!F$31</f>
        <v>7.4178310000000005</v>
      </c>
      <c r="G59" s="44">
        <f>INFO!G$31</f>
        <v>1.787506</v>
      </c>
      <c r="H59" s="44">
        <f>INFO!H$31</f>
        <v>1.0459320000000001</v>
      </c>
      <c r="I59" s="10"/>
    </row>
    <row r="60" spans="1:11" ht="15" customHeight="1">
      <c r="B60" s="32" t="s">
        <v>11</v>
      </c>
      <c r="C60" s="44">
        <f>INFO!C$31</f>
        <v>17.357804000000002</v>
      </c>
      <c r="D60" s="44">
        <f>INFO!D$31</f>
        <v>15.477352</v>
      </c>
      <c r="E60" s="44">
        <f>INFO!E$31</f>
        <v>8.0180159999999994</v>
      </c>
      <c r="F60" s="44">
        <f>INFO!F$31</f>
        <v>7.4178310000000005</v>
      </c>
      <c r="G60" s="44">
        <f>INFO!G$31</f>
        <v>1.787506</v>
      </c>
      <c r="H60" s="44">
        <f>INFO!H$31</f>
        <v>1.0459320000000001</v>
      </c>
      <c r="I60" s="10"/>
    </row>
    <row r="61" spans="1:11" ht="15" customHeight="1">
      <c r="B61" s="32" t="s">
        <v>10</v>
      </c>
      <c r="C61" s="44">
        <f>INFO!C$31</f>
        <v>17.357804000000002</v>
      </c>
      <c r="D61" s="44">
        <f>INFO!D$31</f>
        <v>15.477352</v>
      </c>
      <c r="E61" s="44">
        <f>INFO!E$31</f>
        <v>8.0180159999999994</v>
      </c>
      <c r="F61" s="44">
        <f>INFO!F$31</f>
        <v>7.4178310000000005</v>
      </c>
      <c r="G61" s="44">
        <f>INFO!G$31</f>
        <v>1.787506</v>
      </c>
      <c r="H61" s="44">
        <f>INFO!H$31</f>
        <v>1.0459320000000001</v>
      </c>
      <c r="I61" s="10"/>
    </row>
    <row r="62" spans="1:11" ht="15" customHeight="1">
      <c r="B62" s="112" t="s">
        <v>80</v>
      </c>
      <c r="C62" s="11"/>
      <c r="D62" s="11"/>
      <c r="E62" s="11"/>
      <c r="F62" s="11"/>
      <c r="G62" s="11"/>
      <c r="H62" s="11"/>
      <c r="I62" s="10"/>
    </row>
    <row r="63" spans="1:11" s="26" customFormat="1" ht="30" customHeight="1">
      <c r="B63" s="45" t="s">
        <v>34</v>
      </c>
      <c r="C63" s="35" t="s">
        <v>27</v>
      </c>
      <c r="D63" s="35" t="s">
        <v>35</v>
      </c>
      <c r="E63" s="35" t="s">
        <v>31</v>
      </c>
      <c r="F63" s="35" t="s">
        <v>28</v>
      </c>
      <c r="G63" s="35" t="s">
        <v>32</v>
      </c>
      <c r="H63" s="35" t="s">
        <v>29</v>
      </c>
      <c r="I63" s="35" t="s">
        <v>9</v>
      </c>
    </row>
    <row r="64" spans="1:11" ht="15" customHeight="1">
      <c r="B64" s="32" t="s">
        <v>13</v>
      </c>
      <c r="C64" s="17">
        <f>+SUMPRODUCT(C22:H22,C8:H8)</f>
        <v>423229.62065417366</v>
      </c>
      <c r="D64" s="17">
        <f>+SUMPRODUCT(C36:H36,C8:H8)</f>
        <v>18882.205448167671</v>
      </c>
      <c r="E64" s="17">
        <f>+D64+C64</f>
        <v>442111.82610234135</v>
      </c>
      <c r="F64" s="17">
        <f>+SUMPRODUCT(C50:H50,$C$4:$H$4)/12</f>
        <v>16330.363901833332</v>
      </c>
      <c r="G64" s="17">
        <v>65</v>
      </c>
      <c r="H64" s="17">
        <f>+SUM(E64:F64)*1.051127*0.5%</f>
        <v>2409.4048192625905</v>
      </c>
      <c r="I64" s="18">
        <f>+SUM(E64:H64)</f>
        <v>460916.59482343722</v>
      </c>
      <c r="J64" s="47">
        <f>+I64/(I8)</f>
        <v>0.24801017907159739</v>
      </c>
    </row>
    <row r="65" spans="1:13" ht="15" customHeight="1">
      <c r="B65" s="32" t="s">
        <v>14</v>
      </c>
      <c r="C65" s="17">
        <f t="shared" ref="C65:C75" si="4">+SUMPRODUCT(C23:H23,C9:H9)</f>
        <v>400734.01234016533</v>
      </c>
      <c r="D65" s="17">
        <f t="shared" ref="D65:D75" si="5">+SUMPRODUCT(C37:H37,C9:H9)</f>
        <v>18299.438541990716</v>
      </c>
      <c r="E65" s="17">
        <f t="shared" ref="E65:E75" si="6">+D65+C65</f>
        <v>419033.45088215603</v>
      </c>
      <c r="F65" s="17">
        <f t="shared" ref="F65:F75" si="7">+SUMPRODUCT(C51:H51,$C$4:$H$4)/12</f>
        <v>16330.363901833332</v>
      </c>
      <c r="G65" s="17">
        <v>65</v>
      </c>
      <c r="H65" s="17">
        <f t="shared" ref="H65:H67" si="8">+SUM(E65:F65)*1.051127*0.5%</f>
        <v>2288.1133027122519</v>
      </c>
      <c r="I65" s="18">
        <f t="shared" ref="I65:I75" si="9">+SUM(E65:H65)</f>
        <v>437716.92808670161</v>
      </c>
      <c r="J65" s="47">
        <f t="shared" ref="J65:J75" si="10">+I65/(I9)</f>
        <v>0.24772462260954761</v>
      </c>
    </row>
    <row r="66" spans="1:13" ht="15" customHeight="1">
      <c r="A66" s="3"/>
      <c r="B66" s="32" t="s">
        <v>15</v>
      </c>
      <c r="C66" s="17">
        <f t="shared" si="4"/>
        <v>668264.61737399874</v>
      </c>
      <c r="D66" s="17">
        <f t="shared" si="5"/>
        <v>24727.266732239277</v>
      </c>
      <c r="E66" s="17">
        <f t="shared" si="6"/>
        <v>692991.88410623802</v>
      </c>
      <c r="F66" s="17">
        <f t="shared" si="7"/>
        <v>16330.363901833332</v>
      </c>
      <c r="G66" s="17">
        <v>65</v>
      </c>
      <c r="H66" s="17">
        <f t="shared" si="8"/>
        <v>3727.9388329098997</v>
      </c>
      <c r="I66" s="18">
        <f t="shared" si="9"/>
        <v>713115.18684098125</v>
      </c>
      <c r="J66" s="47">
        <f t="shared" si="10"/>
        <v>0.21829325606807221</v>
      </c>
      <c r="K66" s="3"/>
      <c r="L66" s="47">
        <f>+AVERAGE(J64:J66)</f>
        <v>0.23800935258307243</v>
      </c>
    </row>
    <row r="67" spans="1:13" ht="15" customHeight="1">
      <c r="B67" s="32" t="s">
        <v>16</v>
      </c>
      <c r="C67" s="17">
        <f t="shared" si="4"/>
        <v>278985.52371540386</v>
      </c>
      <c r="D67" s="17">
        <f t="shared" si="5"/>
        <v>3894.6128267201066</v>
      </c>
      <c r="E67" s="17">
        <f t="shared" si="6"/>
        <v>282880.13654212398</v>
      </c>
      <c r="F67" s="17">
        <f t="shared" si="7"/>
        <v>16330.363901833332</v>
      </c>
      <c r="G67" s="17">
        <v>65</v>
      </c>
      <c r="H67" s="17">
        <f t="shared" si="8"/>
        <v>1572.5411785007773</v>
      </c>
      <c r="I67" s="18">
        <f t="shared" si="9"/>
        <v>300848.04162245808</v>
      </c>
      <c r="J67" s="47">
        <f t="shared" si="10"/>
        <v>0.18906485240902438</v>
      </c>
    </row>
    <row r="68" spans="1:13" ht="15" customHeight="1">
      <c r="B68" s="32" t="s">
        <v>17</v>
      </c>
      <c r="C68" s="17">
        <f t="shared" si="4"/>
        <v>435240.96218991897</v>
      </c>
      <c r="D68" s="17">
        <f t="shared" si="5"/>
        <v>5987.9549002829699</v>
      </c>
      <c r="E68" s="17">
        <f t="shared" si="6"/>
        <v>441228.91709020193</v>
      </c>
      <c r="F68" s="17">
        <f t="shared" si="7"/>
        <v>16330.363901833332</v>
      </c>
      <c r="G68" s="17">
        <v>65</v>
      </c>
      <c r="H68" s="17">
        <f t="shared" ref="H68:H75" si="11">+SUM(E68:F68)*1.051127*4.864%</f>
        <v>23393.549754047959</v>
      </c>
      <c r="I68" s="18">
        <f t="shared" si="9"/>
        <v>481017.83074608317</v>
      </c>
      <c r="J68" s="47">
        <f t="shared" si="10"/>
        <v>0.19470123416849838</v>
      </c>
    </row>
    <row r="69" spans="1:13" ht="15" customHeight="1">
      <c r="B69" s="32" t="s">
        <v>18</v>
      </c>
      <c r="C69" s="17">
        <f t="shared" si="4"/>
        <v>357357.66896529304</v>
      </c>
      <c r="D69" s="17">
        <f t="shared" si="5"/>
        <v>9611.5780842135082</v>
      </c>
      <c r="E69" s="17">
        <f t="shared" si="6"/>
        <v>366969.24704950652</v>
      </c>
      <c r="F69" s="17">
        <f t="shared" si="7"/>
        <v>16330.363901833332</v>
      </c>
      <c r="G69" s="17">
        <v>65</v>
      </c>
      <c r="H69" s="17">
        <f t="shared" si="11"/>
        <v>19596.889172604235</v>
      </c>
      <c r="I69" s="18">
        <f t="shared" si="9"/>
        <v>402961.50012394408</v>
      </c>
      <c r="J69" s="47">
        <f t="shared" si="10"/>
        <v>0.18789999561686876</v>
      </c>
    </row>
    <row r="70" spans="1:13" ht="15" customHeight="1">
      <c r="B70" s="32" t="s">
        <v>19</v>
      </c>
      <c r="C70" s="17">
        <f t="shared" si="4"/>
        <v>414100.68411012297</v>
      </c>
      <c r="D70" s="17">
        <f t="shared" si="5"/>
        <v>22877.321148602634</v>
      </c>
      <c r="E70" s="17">
        <f t="shared" si="6"/>
        <v>436978.00525872561</v>
      </c>
      <c r="F70" s="17">
        <f t="shared" si="7"/>
        <v>16330.363901833332</v>
      </c>
      <c r="G70" s="17">
        <v>65</v>
      </c>
      <c r="H70" s="17">
        <f t="shared" si="11"/>
        <v>23176.214161566681</v>
      </c>
      <c r="I70" s="18">
        <f t="shared" si="9"/>
        <v>476549.5833221256</v>
      </c>
      <c r="J70" s="47">
        <f t="shared" si="10"/>
        <v>0.22275085348426124</v>
      </c>
    </row>
    <row r="71" spans="1:13" ht="15" customHeight="1">
      <c r="B71" s="32" t="s">
        <v>20</v>
      </c>
      <c r="C71" s="17">
        <f t="shared" si="4"/>
        <v>326021.14195571619</v>
      </c>
      <c r="D71" s="17">
        <f t="shared" si="5"/>
        <v>8195.9926262297067</v>
      </c>
      <c r="E71" s="17">
        <f t="shared" si="6"/>
        <v>334217.13458194589</v>
      </c>
      <c r="F71" s="17">
        <f t="shared" si="7"/>
        <v>16330.363901833332</v>
      </c>
      <c r="G71" s="17">
        <v>65</v>
      </c>
      <c r="H71" s="17">
        <f t="shared" si="11"/>
        <v>17922.377902941254</v>
      </c>
      <c r="I71" s="18">
        <f t="shared" si="9"/>
        <v>368534.87638672045</v>
      </c>
      <c r="J71" s="47">
        <f t="shared" si="10"/>
        <v>0.20079285063708721</v>
      </c>
    </row>
    <row r="72" spans="1:13" ht="15" customHeight="1">
      <c r="B72" s="32" t="s">
        <v>21</v>
      </c>
      <c r="C72" s="17">
        <f t="shared" si="4"/>
        <v>218245.7007614781</v>
      </c>
      <c r="D72" s="17">
        <f t="shared" si="5"/>
        <v>5251.4425725136889</v>
      </c>
      <c r="E72" s="17">
        <f t="shared" si="6"/>
        <v>223497.14333399179</v>
      </c>
      <c r="F72" s="17">
        <f t="shared" si="7"/>
        <v>16330.363901833332</v>
      </c>
      <c r="G72" s="17">
        <v>65</v>
      </c>
      <c r="H72" s="17">
        <f t="shared" si="11"/>
        <v>12261.617141163906</v>
      </c>
      <c r="I72" s="18">
        <f t="shared" si="9"/>
        <v>252154.12437698903</v>
      </c>
      <c r="J72" s="47">
        <f t="shared" si="10"/>
        <v>0.20357068821163166</v>
      </c>
    </row>
    <row r="73" spans="1:13" ht="15" customHeight="1">
      <c r="B73" s="32" t="s">
        <v>22</v>
      </c>
      <c r="C73" s="17">
        <f t="shared" si="4"/>
        <v>307445.46257360454</v>
      </c>
      <c r="D73" s="17">
        <f t="shared" si="5"/>
        <v>4158.1241543850811</v>
      </c>
      <c r="E73" s="17">
        <f t="shared" si="6"/>
        <v>311603.5867279896</v>
      </c>
      <c r="F73" s="17">
        <f t="shared" si="7"/>
        <v>16330.363901833332</v>
      </c>
      <c r="G73" s="17">
        <v>65</v>
      </c>
      <c r="H73" s="17">
        <f t="shared" si="11"/>
        <v>16766.219173759495</v>
      </c>
      <c r="I73" s="18">
        <f t="shared" si="9"/>
        <v>344765.16980358242</v>
      </c>
      <c r="J73" s="47">
        <f t="shared" si="10"/>
        <v>0.19533310423940373</v>
      </c>
    </row>
    <row r="74" spans="1:13" ht="15" customHeight="1">
      <c r="B74" s="32" t="s">
        <v>11</v>
      </c>
      <c r="C74" s="17">
        <f t="shared" si="4"/>
        <v>320892.95280157187</v>
      </c>
      <c r="D74" s="17">
        <f t="shared" si="5"/>
        <v>11248.696373840699</v>
      </c>
      <c r="E74" s="17">
        <f t="shared" si="6"/>
        <v>332141.64917541255</v>
      </c>
      <c r="F74" s="17">
        <f t="shared" si="7"/>
        <v>16330.363901833332</v>
      </c>
      <c r="G74" s="17">
        <v>65</v>
      </c>
      <c r="H74" s="17">
        <f t="shared" si="11"/>
        <v>17816.264939794117</v>
      </c>
      <c r="I74" s="18">
        <f t="shared" si="9"/>
        <v>366353.27801703999</v>
      </c>
      <c r="J74" s="47">
        <f t="shared" si="10"/>
        <v>0.21171806601957602</v>
      </c>
    </row>
    <row r="75" spans="1:13" ht="15" customHeight="1" thickBot="1">
      <c r="B75" s="33" t="s">
        <v>10</v>
      </c>
      <c r="C75" s="19">
        <f t="shared" si="4"/>
        <v>214324.26320340601</v>
      </c>
      <c r="D75" s="19">
        <f t="shared" si="5"/>
        <v>10109.391027357746</v>
      </c>
      <c r="E75" s="19">
        <f t="shared" si="6"/>
        <v>224433.65423076376</v>
      </c>
      <c r="F75" s="19">
        <f t="shared" si="7"/>
        <v>16330.363901833332</v>
      </c>
      <c r="G75" s="19">
        <v>65</v>
      </c>
      <c r="H75" s="19">
        <f t="shared" si="11"/>
        <v>12309.497962663896</v>
      </c>
      <c r="I75" s="20">
        <f t="shared" si="9"/>
        <v>253138.51609526097</v>
      </c>
      <c r="J75" s="47">
        <f t="shared" si="10"/>
        <v>0.22725586436282347</v>
      </c>
      <c r="L75" s="47">
        <f>+AVERAGE(J67:J75)</f>
        <v>0.20367638990546388</v>
      </c>
    </row>
    <row r="76" spans="1:13" ht="15" customHeight="1">
      <c r="A76" s="3"/>
      <c r="B76" s="34" t="s">
        <v>30</v>
      </c>
      <c r="C76" s="21">
        <f t="shared" ref="C76:I76" si="12">+SUM(C64:C75)</f>
        <v>4364842.6106448527</v>
      </c>
      <c r="D76" s="21">
        <f t="shared" si="12"/>
        <v>143244.02443654381</v>
      </c>
      <c r="E76" s="117">
        <f t="shared" si="12"/>
        <v>4508086.6350813974</v>
      </c>
      <c r="F76" s="21">
        <f t="shared" si="12"/>
        <v>195964.36682199998</v>
      </c>
      <c r="G76" s="21">
        <f t="shared" si="12"/>
        <v>780</v>
      </c>
      <c r="H76" s="21">
        <f t="shared" si="12"/>
        <v>153240.62834192708</v>
      </c>
      <c r="I76" s="22">
        <f t="shared" si="12"/>
        <v>4858071.6302453242</v>
      </c>
      <c r="J76" s="115">
        <f>+I76/(I5)</f>
        <v>0.21194621081649964</v>
      </c>
      <c r="L76" s="1">
        <v>2762015.5689862329</v>
      </c>
      <c r="M76" s="119">
        <f>+L76-I76</f>
        <v>-2096056.0612590914</v>
      </c>
    </row>
    <row r="77" spans="1:13" ht="15" customHeight="1">
      <c r="B77" s="113" t="s">
        <v>33</v>
      </c>
      <c r="C77" s="36"/>
      <c r="D77" s="36"/>
      <c r="E77" s="36"/>
      <c r="F77" s="36"/>
      <c r="G77" s="36"/>
      <c r="H77" s="36"/>
      <c r="I77" s="37"/>
      <c r="J77" s="116">
        <f>+C76/I76</f>
        <v>0.89847226283578607</v>
      </c>
      <c r="K77" s="38"/>
      <c r="L77" s="116">
        <f>+INFO!L27/'ELECTRICIDAD 2022'!J76</f>
        <v>0.81351279704288959</v>
      </c>
    </row>
    <row r="78" spans="1:13" ht="15" customHeight="1">
      <c r="E78" s="115">
        <f>+E77/I5</f>
        <v>0</v>
      </c>
    </row>
    <row r="79" spans="1:13" ht="15" customHeight="1">
      <c r="B79" s="94"/>
      <c r="C79" s="93" t="s">
        <v>70</v>
      </c>
      <c r="D79" s="53">
        <v>136</v>
      </c>
      <c r="E79" s="53">
        <v>135</v>
      </c>
      <c r="F79" s="53">
        <v>128</v>
      </c>
      <c r="G79" s="53">
        <v>87</v>
      </c>
      <c r="H79" s="53">
        <v>87</v>
      </c>
      <c r="I79" s="53">
        <v>87</v>
      </c>
      <c r="J79" s="105" t="s">
        <v>37</v>
      </c>
      <c r="K79" s="94"/>
    </row>
    <row r="80" spans="1:13" ht="15" customHeight="1">
      <c r="B80" s="51"/>
      <c r="C80" s="51"/>
      <c r="D80" s="91">
        <v>44562</v>
      </c>
      <c r="E80" s="91">
        <v>44593</v>
      </c>
      <c r="F80" s="91">
        <v>44621</v>
      </c>
      <c r="G80" s="54" t="s">
        <v>67</v>
      </c>
      <c r="H80" s="54" t="s">
        <v>68</v>
      </c>
      <c r="I80" s="54" t="s">
        <v>69</v>
      </c>
      <c r="J80" s="55"/>
      <c r="K80" s="52"/>
    </row>
    <row r="81" spans="3:9" ht="15" customHeight="1">
      <c r="D81" s="118">
        <f>74+D79</f>
        <v>210</v>
      </c>
      <c r="E81" s="118">
        <f t="shared" ref="E81:I81" si="13">74+E79</f>
        <v>209</v>
      </c>
      <c r="F81" s="118">
        <f t="shared" si="13"/>
        <v>202</v>
      </c>
      <c r="G81" s="118">
        <f t="shared" si="13"/>
        <v>161</v>
      </c>
      <c r="H81" s="118">
        <f t="shared" si="13"/>
        <v>161</v>
      </c>
      <c r="I81" s="118">
        <f t="shared" si="13"/>
        <v>161</v>
      </c>
    </row>
    <row r="82" spans="3:9" ht="15" customHeight="1">
      <c r="D82" s="1">
        <f>+D81/2</f>
        <v>105</v>
      </c>
      <c r="E82" s="1">
        <f t="shared" ref="E82:I82" si="14">+E81/2</f>
        <v>104.5</v>
      </c>
      <c r="F82" s="1">
        <f t="shared" si="14"/>
        <v>101</v>
      </c>
      <c r="G82" s="1">
        <f t="shared" si="14"/>
        <v>80.5</v>
      </c>
      <c r="H82" s="1">
        <f t="shared" si="14"/>
        <v>80.5</v>
      </c>
      <c r="I82" s="1">
        <f t="shared" si="14"/>
        <v>80.5</v>
      </c>
    </row>
    <row r="86" spans="3:9" ht="15" customHeight="1">
      <c r="C86" s="47"/>
      <c r="D86" s="47"/>
      <c r="E86" s="47"/>
      <c r="F86" s="47"/>
      <c r="G86" s="47"/>
      <c r="H86" s="47"/>
    </row>
    <row r="87" spans="3:9" ht="15" customHeight="1">
      <c r="C87" s="47"/>
      <c r="D87" s="47"/>
      <c r="E87" s="47"/>
      <c r="F87" s="47"/>
      <c r="G87" s="47"/>
      <c r="H87" s="47"/>
    </row>
    <row r="88" spans="3:9" ht="15" customHeight="1">
      <c r="C88" s="47"/>
      <c r="D88" s="47"/>
      <c r="E88" s="47"/>
      <c r="F88" s="47"/>
      <c r="G88" s="47"/>
      <c r="H88" s="47"/>
    </row>
    <row r="89" spans="3:9" ht="15" customHeight="1">
      <c r="C89" s="47"/>
      <c r="D89" s="47"/>
      <c r="E89" s="47"/>
      <c r="F89" s="47"/>
      <c r="G89" s="47"/>
      <c r="H89" s="47"/>
    </row>
    <row r="90" spans="3:9" ht="15" customHeight="1">
      <c r="C90" s="47"/>
      <c r="D90" s="47"/>
      <c r="E90" s="47"/>
      <c r="F90" s="47"/>
      <c r="G90" s="47"/>
      <c r="H90" s="47"/>
    </row>
  </sheetData>
  <mergeCells count="1">
    <mergeCell ref="B2:H2"/>
  </mergeCells>
  <pageMargins left="0.25" right="0.25" top="0.75" bottom="0.75" header="0.3" footer="0.3"/>
  <pageSetup paperSize="9" scale="27" orientation="portrait" horizontalDpi="1200" verticalDpi="1200" r:id="rId1"/>
  <customProperties>
    <customPr name="ID" r:id="rId2"/>
  </customProperties>
  <ignoredErrors>
    <ignoredError sqref="K64 K65:K7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AF75-DDBD-4201-A632-1948E0F28EF6}">
  <sheetPr codeName="Hoja4">
    <pageSetUpPr fitToPage="1"/>
  </sheetPr>
  <dimension ref="A2:M90"/>
  <sheetViews>
    <sheetView topLeftCell="A50" zoomScaleNormal="100" workbookViewId="0">
      <selection activeCell="G64" sqref="G64:G75"/>
    </sheetView>
  </sheetViews>
  <sheetFormatPr baseColWidth="10" defaultColWidth="11.42578125" defaultRowHeight="15" customHeight="1"/>
  <cols>
    <col min="1" max="1" width="3.7109375" style="1" customWidth="1"/>
    <col min="2" max="2" width="20.7109375" style="1" customWidth="1"/>
    <col min="3" max="8" width="11.7109375" style="1" customWidth="1"/>
    <col min="9" max="9" width="12.42578125" style="1" bestFit="1" customWidth="1"/>
    <col min="10" max="10" width="13" style="1" customWidth="1"/>
    <col min="11" max="11" width="3.7109375" style="1" customWidth="1"/>
    <col min="12" max="16384" width="11.42578125" style="1"/>
  </cols>
  <sheetData>
    <row r="2" spans="1:11" ht="30" customHeight="1">
      <c r="A2" s="3"/>
      <c r="B2" s="219" t="s">
        <v>81</v>
      </c>
      <c r="C2" s="220"/>
      <c r="D2" s="220"/>
      <c r="E2" s="220"/>
      <c r="F2" s="220"/>
      <c r="G2" s="220"/>
      <c r="H2" s="221"/>
      <c r="I2" s="23"/>
      <c r="J2" s="9"/>
      <c r="K2" s="8"/>
    </row>
    <row r="3" spans="1:11" s="2" customFormat="1" ht="30" customHeight="1">
      <c r="A3" s="6"/>
      <c r="B3" s="29" t="s">
        <v>51</v>
      </c>
      <c r="C3" s="30" t="s">
        <v>0</v>
      </c>
      <c r="D3" s="30" t="s">
        <v>1</v>
      </c>
      <c r="E3" s="30" t="s">
        <v>2</v>
      </c>
      <c r="F3" s="30" t="s">
        <v>3</v>
      </c>
      <c r="G3" s="30" t="s">
        <v>4</v>
      </c>
      <c r="H3" s="30" t="s">
        <v>5</v>
      </c>
      <c r="J3" s="1"/>
    </row>
    <row r="4" spans="1:11">
      <c r="A4" s="3"/>
      <c r="B4" s="7" t="s">
        <v>12</v>
      </c>
      <c r="C4" s="5">
        <v>3758</v>
      </c>
      <c r="D4" s="5">
        <v>3758</v>
      </c>
      <c r="E4" s="5">
        <v>3758</v>
      </c>
      <c r="F4" s="5">
        <v>3758</v>
      </c>
      <c r="G4" s="5">
        <v>3758</v>
      </c>
      <c r="H4" s="5">
        <v>7500</v>
      </c>
      <c r="I4" s="30" t="s">
        <v>6</v>
      </c>
    </row>
    <row r="5" spans="1:11">
      <c r="A5" s="3"/>
      <c r="B5" s="7" t="s">
        <v>7</v>
      </c>
      <c r="C5" s="5">
        <f>+SUM(C8:C19)</f>
        <v>2053845.9193624826</v>
      </c>
      <c r="D5" s="5">
        <f t="shared" ref="D5:I5" si="0">+SUM(D8:D19)</f>
        <v>3201440.8151493776</v>
      </c>
      <c r="E5" s="5">
        <f t="shared" si="0"/>
        <v>3149637.2757990686</v>
      </c>
      <c r="F5" s="5">
        <f t="shared" si="0"/>
        <v>3156420.3785017482</v>
      </c>
      <c r="G5" s="5">
        <f t="shared" si="0"/>
        <v>1424112.4443608832</v>
      </c>
      <c r="H5" s="5">
        <f t="shared" si="0"/>
        <v>9935791.0227335356</v>
      </c>
      <c r="I5" s="104">
        <f t="shared" si="0"/>
        <v>22921247.85590709</v>
      </c>
    </row>
    <row r="6" spans="1:11">
      <c r="B6" s="13"/>
      <c r="C6" s="14"/>
      <c r="D6" s="14"/>
      <c r="E6" s="14"/>
      <c r="F6" s="14"/>
      <c r="G6" s="14"/>
      <c r="H6" s="14"/>
      <c r="I6" s="15"/>
      <c r="K6" s="4"/>
    </row>
    <row r="7" spans="1:11" s="26" customFormat="1" ht="30" customHeight="1">
      <c r="A7" s="27"/>
      <c r="B7" s="46" t="s">
        <v>23</v>
      </c>
      <c r="C7" s="35" t="s">
        <v>0</v>
      </c>
      <c r="D7" s="35" t="s">
        <v>1</v>
      </c>
      <c r="E7" s="35" t="s">
        <v>2</v>
      </c>
      <c r="F7" s="35" t="s">
        <v>3</v>
      </c>
      <c r="G7" s="35" t="s">
        <v>4</v>
      </c>
      <c r="H7" s="35" t="s">
        <v>5</v>
      </c>
      <c r="I7" s="35" t="s">
        <v>6</v>
      </c>
      <c r="K7" s="28"/>
    </row>
    <row r="8" spans="1:11" ht="15" customHeight="1">
      <c r="A8" s="3"/>
      <c r="B8" s="31" t="s">
        <v>13</v>
      </c>
      <c r="C8" s="40">
        <v>575561.54477489099</v>
      </c>
      <c r="D8" s="40">
        <v>446401.00440894964</v>
      </c>
      <c r="E8" s="40">
        <v>0</v>
      </c>
      <c r="F8" s="40">
        <v>0</v>
      </c>
      <c r="G8" s="40">
        <v>0</v>
      </c>
      <c r="H8" s="40">
        <v>836495.82760067214</v>
      </c>
      <c r="I8" s="41">
        <f>+SUM(C8:H8)</f>
        <v>1858458.3767845128</v>
      </c>
      <c r="J8" s="16"/>
      <c r="K8" s="4"/>
    </row>
    <row r="9" spans="1:11">
      <c r="A9" s="3"/>
      <c r="B9" s="31" t="s">
        <v>14</v>
      </c>
      <c r="C9" s="40">
        <v>562548.99253905972</v>
      </c>
      <c r="D9" s="40">
        <v>428837.44037623273</v>
      </c>
      <c r="E9" s="40">
        <v>0</v>
      </c>
      <c r="F9" s="40">
        <v>0</v>
      </c>
      <c r="G9" s="40">
        <v>0</v>
      </c>
      <c r="H9" s="40">
        <v>775563.18830427958</v>
      </c>
      <c r="I9" s="42">
        <f t="shared" ref="I9:I19" si="1">+SUM(C9:H9)</f>
        <v>1766949.6212195721</v>
      </c>
      <c r="J9" s="16"/>
      <c r="K9" s="4"/>
    </row>
    <row r="10" spans="1:11">
      <c r="A10" s="3"/>
      <c r="B10" s="31" t="s">
        <v>15</v>
      </c>
      <c r="C10" s="40">
        <v>0</v>
      </c>
      <c r="D10" s="40">
        <v>1078690.5283032733</v>
      </c>
      <c r="E10" s="40">
        <v>829433.73044167657</v>
      </c>
      <c r="F10" s="40">
        <v>0</v>
      </c>
      <c r="G10" s="40">
        <v>0</v>
      </c>
      <c r="H10" s="40">
        <v>1358651.8189301409</v>
      </c>
      <c r="I10" s="42">
        <f t="shared" si="1"/>
        <v>3266776.0776750911</v>
      </c>
      <c r="J10" s="16"/>
      <c r="K10" s="4"/>
    </row>
    <row r="11" spans="1:11">
      <c r="A11" s="3"/>
      <c r="B11" s="31" t="s">
        <v>16</v>
      </c>
      <c r="C11" s="40">
        <v>0</v>
      </c>
      <c r="D11" s="40">
        <v>0</v>
      </c>
      <c r="E11" s="40">
        <v>0</v>
      </c>
      <c r="F11" s="40">
        <v>520892.50519843941</v>
      </c>
      <c r="G11" s="40">
        <v>398986.14895333268</v>
      </c>
      <c r="H11" s="40">
        <v>671363.91573425324</v>
      </c>
      <c r="I11" s="42">
        <f t="shared" si="1"/>
        <v>1591242.5698860255</v>
      </c>
      <c r="J11" s="16"/>
      <c r="K11" s="4"/>
    </row>
    <row r="12" spans="1:11">
      <c r="A12" s="3"/>
      <c r="B12" s="31" t="s">
        <v>17</v>
      </c>
      <c r="C12" s="40">
        <v>0</v>
      </c>
      <c r="D12" s="40">
        <v>0</v>
      </c>
      <c r="E12" s="40">
        <v>0</v>
      </c>
      <c r="F12" s="40">
        <v>794455.31584368472</v>
      </c>
      <c r="G12" s="40">
        <v>616870.8971383397</v>
      </c>
      <c r="H12" s="40">
        <v>1059217.0930239388</v>
      </c>
      <c r="I12" s="42">
        <f t="shared" si="1"/>
        <v>2470543.3060059631</v>
      </c>
      <c r="J12" s="16"/>
      <c r="K12" s="4"/>
    </row>
    <row r="13" spans="1:11">
      <c r="A13" s="3"/>
      <c r="B13" s="31" t="s">
        <v>18</v>
      </c>
      <c r="C13" s="40">
        <v>0</v>
      </c>
      <c r="D13" s="40">
        <v>0</v>
      </c>
      <c r="E13" s="40">
        <v>711883.92385651695</v>
      </c>
      <c r="F13" s="40">
        <v>548510.41464726883</v>
      </c>
      <c r="G13" s="40">
        <v>0</v>
      </c>
      <c r="H13" s="40">
        <v>884158.66588046832</v>
      </c>
      <c r="I13" s="42">
        <f t="shared" si="1"/>
        <v>2144553.0043842541</v>
      </c>
      <c r="J13" s="16"/>
      <c r="K13" s="4"/>
    </row>
    <row r="14" spans="1:11">
      <c r="A14" s="3"/>
      <c r="B14" s="31" t="s">
        <v>19</v>
      </c>
      <c r="C14" s="40">
        <v>701193.65723168117</v>
      </c>
      <c r="D14" s="40">
        <v>543755.06256396149</v>
      </c>
      <c r="E14" s="40">
        <v>0</v>
      </c>
      <c r="F14" s="40">
        <v>0</v>
      </c>
      <c r="G14" s="40">
        <v>0</v>
      </c>
      <c r="H14" s="40">
        <v>894435.15177186555</v>
      </c>
      <c r="I14" s="42">
        <f t="shared" si="1"/>
        <v>2139383.8715675082</v>
      </c>
      <c r="J14" s="16"/>
      <c r="K14" s="4"/>
    </row>
    <row r="15" spans="1:11">
      <c r="A15" s="3"/>
      <c r="B15" s="31" t="s">
        <v>20</v>
      </c>
      <c r="C15" s="40">
        <v>0</v>
      </c>
      <c r="D15" s="40">
        <v>0</v>
      </c>
      <c r="E15" s="40">
        <v>607722.72807704681</v>
      </c>
      <c r="F15" s="40">
        <v>464803.15824185289</v>
      </c>
      <c r="G15" s="40">
        <v>0</v>
      </c>
      <c r="H15" s="40">
        <v>762872.51166893519</v>
      </c>
      <c r="I15" s="42">
        <f t="shared" si="1"/>
        <v>1835398.3979878349</v>
      </c>
      <c r="J15" s="16"/>
      <c r="K15" s="4"/>
    </row>
    <row r="16" spans="1:11" ht="15" customHeight="1">
      <c r="A16" s="3"/>
      <c r="B16" s="31" t="s">
        <v>21</v>
      </c>
      <c r="C16" s="40">
        <v>0</v>
      </c>
      <c r="D16" s="40">
        <v>0</v>
      </c>
      <c r="E16" s="40">
        <v>387361.43912818935</v>
      </c>
      <c r="F16" s="40">
        <v>285901.88517369749</v>
      </c>
      <c r="G16" s="40">
        <v>0</v>
      </c>
      <c r="H16" s="40">
        <v>565393.01955666579</v>
      </c>
      <c r="I16" s="42">
        <f t="shared" si="1"/>
        <v>1238656.3438585526</v>
      </c>
      <c r="J16" s="16"/>
      <c r="K16" s="4"/>
    </row>
    <row r="17" spans="1:11">
      <c r="A17" s="3"/>
      <c r="B17" s="31" t="s">
        <v>22</v>
      </c>
      <c r="C17" s="40">
        <v>0</v>
      </c>
      <c r="D17" s="40">
        <v>0</v>
      </c>
      <c r="E17" s="40">
        <v>0</v>
      </c>
      <c r="F17" s="40">
        <v>541857.0993968047</v>
      </c>
      <c r="G17" s="40">
        <v>408255.39826921088</v>
      </c>
      <c r="H17" s="40">
        <v>814898.97412748088</v>
      </c>
      <c r="I17" s="42">
        <f t="shared" si="1"/>
        <v>1765011.4717934965</v>
      </c>
      <c r="J17" s="16"/>
      <c r="K17" s="4"/>
    </row>
    <row r="18" spans="1:11">
      <c r="A18" s="3"/>
      <c r="B18" s="31" t="s">
        <v>11</v>
      </c>
      <c r="C18" s="40">
        <v>0</v>
      </c>
      <c r="D18" s="40">
        <v>351025.94081995171</v>
      </c>
      <c r="E18" s="40">
        <v>613235.45429563872</v>
      </c>
      <c r="F18" s="40">
        <v>0</v>
      </c>
      <c r="G18" s="40">
        <v>0</v>
      </c>
      <c r="H18" s="40">
        <v>766121.30157485628</v>
      </c>
      <c r="I18" s="42">
        <f t="shared" si="1"/>
        <v>1730382.6966904467</v>
      </c>
      <c r="J18" s="16"/>
      <c r="K18" s="4"/>
    </row>
    <row r="19" spans="1:11">
      <c r="A19" s="3"/>
      <c r="B19" s="31" t="s">
        <v>10</v>
      </c>
      <c r="C19" s="40">
        <v>214541.72481685079</v>
      </c>
      <c r="D19" s="40">
        <v>352730.83867700846</v>
      </c>
      <c r="E19" s="40">
        <v>0</v>
      </c>
      <c r="F19" s="40">
        <v>0</v>
      </c>
      <c r="G19" s="40">
        <v>0</v>
      </c>
      <c r="H19" s="40">
        <v>546619.55455997796</v>
      </c>
      <c r="I19" s="43">
        <f t="shared" si="1"/>
        <v>1113892.1180538372</v>
      </c>
      <c r="J19" s="16"/>
      <c r="K19" s="4"/>
    </row>
    <row r="20" spans="1:11">
      <c r="B20" s="110" t="s">
        <v>71</v>
      </c>
      <c r="C20" s="12"/>
      <c r="D20" s="12"/>
      <c r="E20" s="12"/>
      <c r="F20" s="12"/>
      <c r="G20" s="12"/>
      <c r="H20" s="12"/>
      <c r="I20" s="12"/>
      <c r="K20" s="4"/>
    </row>
    <row r="21" spans="1:11" s="26" customFormat="1" ht="30" customHeight="1">
      <c r="A21" s="27"/>
      <c r="B21" s="45" t="s">
        <v>25</v>
      </c>
      <c r="C21" s="35" t="s">
        <v>0</v>
      </c>
      <c r="D21" s="35" t="s">
        <v>1</v>
      </c>
      <c r="E21" s="35" t="s">
        <v>2</v>
      </c>
      <c r="F21" s="35" t="s">
        <v>3</v>
      </c>
      <c r="G21" s="35" t="s">
        <v>4</v>
      </c>
      <c r="H21" s="35" t="s">
        <v>5</v>
      </c>
      <c r="I21" s="35" t="s">
        <v>8</v>
      </c>
      <c r="K21" s="28"/>
    </row>
    <row r="22" spans="1:11">
      <c r="A22" s="3"/>
      <c r="B22" s="32" t="s">
        <v>13</v>
      </c>
      <c r="C22" s="39">
        <f>INFO!P37/1000</f>
        <v>0.21207205875565538</v>
      </c>
      <c r="D22" s="39">
        <f>INFO!Q37/1000</f>
        <v>0.20780367557087798</v>
      </c>
      <c r="E22" s="39">
        <f>INFO!R37/1000</f>
        <v>0.18454213647213658</v>
      </c>
      <c r="F22" s="39">
        <f>INFO!S37/1000</f>
        <v>0.17486771888876615</v>
      </c>
      <c r="G22" s="39">
        <f>INFO!T37/1000</f>
        <v>0.17209492977850641</v>
      </c>
      <c r="H22" s="39">
        <f>INFO!U37/1000</f>
        <v>0.16433941302428548</v>
      </c>
      <c r="I22" s="39">
        <f>+SUMPRODUCT(C22:H22,C8:H8)/I8</f>
        <v>0.18956223552899862</v>
      </c>
      <c r="J22" s="24"/>
      <c r="K22" s="4"/>
    </row>
    <row r="23" spans="1:11">
      <c r="A23" s="3"/>
      <c r="B23" s="32" t="s">
        <v>14</v>
      </c>
      <c r="C23" s="39">
        <f>INFO!P38/1000</f>
        <v>0.21247538881696246</v>
      </c>
      <c r="D23" s="39">
        <f>INFO!Q38/1000</f>
        <v>0.20820930818248751</v>
      </c>
      <c r="E23" s="39">
        <f>INFO!R38/1000</f>
        <v>0.18494354774152502</v>
      </c>
      <c r="F23" s="39">
        <f>INFO!S38/1000</f>
        <v>0.1752687463997708</v>
      </c>
      <c r="G23" s="39">
        <f>INFO!T38/1000</f>
        <v>0.17249327098082498</v>
      </c>
      <c r="H23" s="39">
        <f>INFO!U38/1000</f>
        <v>0.16474581315266246</v>
      </c>
      <c r="I23" s="39">
        <f t="shared" ref="I23:I33" si="2">+SUMPRODUCT(C23:H23,C9:H9)/I9</f>
        <v>0.19049017966791543</v>
      </c>
      <c r="J23" s="24"/>
      <c r="K23" s="4"/>
    </row>
    <row r="24" spans="1:11">
      <c r="A24" s="3"/>
      <c r="B24" s="32" t="s">
        <v>15</v>
      </c>
      <c r="C24" s="39">
        <f>INFO!P39/1000</f>
        <v>0.21164126473645764</v>
      </c>
      <c r="D24" s="39">
        <f>INFO!Q39/1000</f>
        <v>0.20737042221379709</v>
      </c>
      <c r="E24" s="39">
        <f>INFO!R39/1000</f>
        <v>0.18411339190117479</v>
      </c>
      <c r="F24" s="39">
        <f>INFO!S39/1000</f>
        <v>0.17443938420745156</v>
      </c>
      <c r="G24" s="39">
        <f>INFO!T39/1000</f>
        <v>0.17166946432472219</v>
      </c>
      <c r="H24" s="39">
        <f>INFO!U39/1000</f>
        <v>0.1639053398879102</v>
      </c>
      <c r="I24" s="39">
        <f t="shared" si="2"/>
        <v>0.18338834425363149</v>
      </c>
      <c r="J24" s="24"/>
      <c r="K24" s="4"/>
    </row>
    <row r="25" spans="1:11">
      <c r="A25" s="3"/>
      <c r="B25" s="32" t="s">
        <v>16</v>
      </c>
      <c r="C25" s="39">
        <f>INFO!P40/1000</f>
        <v>0.11175475086365333</v>
      </c>
      <c r="D25" s="39">
        <f>INFO!Q40/1000</f>
        <v>0.10933353978412834</v>
      </c>
      <c r="E25" s="39">
        <f>INFO!R40/1000</f>
        <v>9.7251543290136647E-2</v>
      </c>
      <c r="F25" s="39">
        <f>INFO!S40/1000</f>
        <v>9.2228875396349969E-2</v>
      </c>
      <c r="G25" s="39">
        <f>INFO!T40/1000</f>
        <v>9.0785438918789985E-2</v>
      </c>
      <c r="H25" s="39">
        <f>INFO!U40/1000</f>
        <v>8.6728158569674973E-2</v>
      </c>
      <c r="I25" s="39">
        <f t="shared" si="2"/>
        <v>8.9546132972077072E-2</v>
      </c>
      <c r="J25" s="24"/>
      <c r="K25" s="4"/>
    </row>
    <row r="26" spans="1:11">
      <c r="A26" s="3"/>
      <c r="B26" s="32" t="s">
        <v>17</v>
      </c>
      <c r="C26" s="39">
        <f>INFO!P41/1000</f>
        <v>0.11267444137457401</v>
      </c>
      <c r="D26" s="39">
        <f>INFO!Q41/1000</f>
        <v>0.11025848066904098</v>
      </c>
      <c r="E26" s="39">
        <f>INFO!R41/1000</f>
        <v>9.8166858489397407E-2</v>
      </c>
      <c r="F26" s="39">
        <f>INFO!S41/1000</f>
        <v>9.3143315533278717E-2</v>
      </c>
      <c r="G26" s="39">
        <f>INFO!T41/1000</f>
        <v>9.1693753619394816E-2</v>
      </c>
      <c r="H26" s="39">
        <f>INFO!U41/1000</f>
        <v>8.7654849579251584E-2</v>
      </c>
      <c r="I26" s="39">
        <f t="shared" si="2"/>
        <v>9.0428257070245877E-2</v>
      </c>
      <c r="J26" s="24"/>
      <c r="K26" s="4"/>
    </row>
    <row r="27" spans="1:11">
      <c r="A27" s="3"/>
      <c r="B27" s="32" t="s">
        <v>18</v>
      </c>
      <c r="C27" s="39">
        <f>INFO!P42/1000</f>
        <v>0.1116690837076811</v>
      </c>
      <c r="D27" s="39">
        <f>INFO!Q42/1000</f>
        <v>0.10924738356732279</v>
      </c>
      <c r="E27" s="39">
        <f>INFO!R42/1000</f>
        <v>9.7166283684858884E-2</v>
      </c>
      <c r="F27" s="39">
        <f>INFO!S42/1000</f>
        <v>9.214369730121108E-2</v>
      </c>
      <c r="G27" s="39">
        <f>INFO!T42/1000</f>
        <v>9.0700831394623302E-2</v>
      </c>
      <c r="H27" s="39">
        <f>INFO!U42/1000</f>
        <v>8.6641839332591647E-2</v>
      </c>
      <c r="I27" s="39">
        <f t="shared" si="2"/>
        <v>9.1542631766312374E-2</v>
      </c>
      <c r="J27" s="24"/>
      <c r="K27" s="4"/>
    </row>
    <row r="28" spans="1:11">
      <c r="A28" s="3"/>
      <c r="B28" s="32" t="s">
        <v>19</v>
      </c>
      <c r="C28" s="39">
        <f>INFO!P43/1000</f>
        <v>0.11652254338053378</v>
      </c>
      <c r="D28" s="39">
        <f>INFO!Q43/1000</f>
        <v>0.11401085120370959</v>
      </c>
      <c r="E28" s="39">
        <f>INFO!R43/1000</f>
        <v>0.1013862615119456</v>
      </c>
      <c r="F28" s="39">
        <f>INFO!S43/1000</f>
        <v>9.6137443816061277E-2</v>
      </c>
      <c r="G28" s="39">
        <f>INFO!T43/1000</f>
        <v>9.463009193092449E-2</v>
      </c>
      <c r="H28" s="39">
        <f>INFO!U43/1000</f>
        <v>9.0390705017504833E-2</v>
      </c>
      <c r="I28" s="39">
        <f t="shared" si="2"/>
        <v>0.1049589430010759</v>
      </c>
      <c r="J28" s="24"/>
      <c r="K28" s="4"/>
    </row>
    <row r="29" spans="1:11">
      <c r="A29" s="3"/>
      <c r="B29" s="32" t="s">
        <v>20</v>
      </c>
      <c r="C29" s="39">
        <f>INFO!P44/1000</f>
        <v>0.1182175239949155</v>
      </c>
      <c r="D29" s="39">
        <f>INFO!Q44/1000</f>
        <v>0.11571550820599452</v>
      </c>
      <c r="E29" s="39">
        <f>INFO!R44/1000</f>
        <v>0.1030731784697413</v>
      </c>
      <c r="F29" s="39">
        <f>INFO!S44/1000</f>
        <v>9.7822748042539778E-2</v>
      </c>
      <c r="G29" s="39">
        <f>INFO!T44/1000</f>
        <v>9.6304107038182568E-2</v>
      </c>
      <c r="H29" s="39">
        <f>INFO!U44/1000</f>
        <v>9.209858748242418E-2</v>
      </c>
      <c r="I29" s="39">
        <f t="shared" si="2"/>
        <v>9.718201584936402E-2</v>
      </c>
      <c r="J29" s="24"/>
      <c r="K29" s="4"/>
    </row>
    <row r="30" spans="1:11">
      <c r="A30" s="3"/>
      <c r="B30" s="32" t="s">
        <v>21</v>
      </c>
      <c r="C30" s="39">
        <f>INFO!P45/1000</f>
        <v>0.11740128865957723</v>
      </c>
      <c r="D30" s="39">
        <f>INFO!Q45/1000</f>
        <v>0.11489461310661056</v>
      </c>
      <c r="E30" s="39">
        <f>INFO!R45/1000</f>
        <v>0.10226082627110779</v>
      </c>
      <c r="F30" s="39">
        <f>INFO!S45/1000</f>
        <v>9.7011172471247201E-2</v>
      </c>
      <c r="G30" s="39">
        <f>INFO!T45/1000</f>
        <v>9.5497967858276647E-2</v>
      </c>
      <c r="H30" s="39">
        <f>INFO!U45/1000</f>
        <v>9.1276139128358316E-2</v>
      </c>
      <c r="I30" s="39">
        <f t="shared" si="2"/>
        <v>9.6035087075043546E-2</v>
      </c>
      <c r="J30" s="24"/>
      <c r="K30" s="4"/>
    </row>
    <row r="31" spans="1:11">
      <c r="A31" s="3"/>
      <c r="B31" s="32" t="s">
        <v>22</v>
      </c>
      <c r="C31" s="39">
        <f>INFO!P46/1000</f>
        <v>0.11511250680926782</v>
      </c>
      <c r="D31" s="39">
        <f>INFO!Q46/1000</f>
        <v>0.11262304842505995</v>
      </c>
      <c r="E31" s="39">
        <f>INFO!R46/1000</f>
        <v>0.10013998350515357</v>
      </c>
      <c r="F31" s="39">
        <f>INFO!S46/1000</f>
        <v>9.4949527308580695E-2</v>
      </c>
      <c r="G31" s="39">
        <f>INFO!T46/1000</f>
        <v>9.3459841406450736E-2</v>
      </c>
      <c r="H31" s="39">
        <f>INFO!U46/1000</f>
        <v>8.9263646783645637E-2</v>
      </c>
      <c r="I31" s="39">
        <f t="shared" si="2"/>
        <v>9.197980694029044E-2</v>
      </c>
      <c r="J31" s="24"/>
      <c r="K31" s="4"/>
    </row>
    <row r="32" spans="1:11">
      <c r="A32" s="3"/>
      <c r="B32" s="32" t="s">
        <v>11</v>
      </c>
      <c r="C32" s="39">
        <f>INFO!P47/1000</f>
        <v>0.11504910668223389</v>
      </c>
      <c r="D32" s="39">
        <f>INFO!Q47/1000</f>
        <v>0.11255928635629225</v>
      </c>
      <c r="E32" s="39">
        <f>INFO!R47/1000</f>
        <v>0.10007688499623112</v>
      </c>
      <c r="F32" s="39">
        <f>INFO!S47/1000</f>
        <v>9.4886489123280543E-2</v>
      </c>
      <c r="G32" s="39">
        <f>INFO!T47/1000</f>
        <v>9.3397225486506655E-2</v>
      </c>
      <c r="H32" s="39">
        <f>INFO!U47/1000</f>
        <v>8.9199764067633344E-2</v>
      </c>
      <c r="I32" s="39">
        <f t="shared" si="2"/>
        <v>9.7793258738493732E-2</v>
      </c>
      <c r="J32" s="24"/>
      <c r="K32" s="4"/>
    </row>
    <row r="33" spans="1:11">
      <c r="A33" s="3"/>
      <c r="B33" s="32" t="s">
        <v>10</v>
      </c>
      <c r="C33" s="39">
        <f>INFO!P48/1000</f>
        <v>0.11480130845214877</v>
      </c>
      <c r="D33" s="39">
        <f>INFO!Q48/1000</f>
        <v>0.1123100734835996</v>
      </c>
      <c r="E33" s="39">
        <f>INFO!R48/1000</f>
        <v>9.9830265634985621E-2</v>
      </c>
      <c r="F33" s="39">
        <f>INFO!S48/1000</f>
        <v>9.464010553580296E-2</v>
      </c>
      <c r="G33" s="39">
        <f>INFO!T48/1000</f>
        <v>9.3152492315404498E-2</v>
      </c>
      <c r="H33" s="39">
        <f>INFO!U48/1000</f>
        <v>8.8950079647404839E-2</v>
      </c>
      <c r="I33" s="39">
        <f t="shared" si="2"/>
        <v>0.10132646440701873</v>
      </c>
      <c r="J33" s="24"/>
      <c r="K33" s="4"/>
    </row>
    <row r="34" spans="1:11">
      <c r="B34" s="111" t="s">
        <v>79</v>
      </c>
      <c r="C34" s="24"/>
      <c r="D34" s="24"/>
      <c r="E34" s="24"/>
      <c r="F34" s="24"/>
      <c r="G34" s="24"/>
      <c r="H34" s="4"/>
      <c r="I34" s="48"/>
      <c r="K34" s="4"/>
    </row>
    <row r="35" spans="1:11" s="26" customFormat="1" ht="30" customHeight="1">
      <c r="A35" s="27"/>
      <c r="B35" s="45" t="s">
        <v>24</v>
      </c>
      <c r="C35" s="35" t="s">
        <v>0</v>
      </c>
      <c r="D35" s="35" t="s">
        <v>1</v>
      </c>
      <c r="E35" s="35" t="s">
        <v>2</v>
      </c>
      <c r="F35" s="35" t="s">
        <v>3</v>
      </c>
      <c r="G35" s="35" t="s">
        <v>4</v>
      </c>
      <c r="H35" s="35" t="s">
        <v>5</v>
      </c>
      <c r="I35" s="35" t="s">
        <v>8</v>
      </c>
      <c r="K35" s="28"/>
    </row>
    <row r="36" spans="1:11">
      <c r="A36" s="3"/>
      <c r="B36" s="32" t="s">
        <v>13</v>
      </c>
      <c r="C36" s="39">
        <f>INFO!C$23/1000</f>
        <v>1.9546000000000001E-2</v>
      </c>
      <c r="D36" s="39">
        <f>INFO!D$23/1000</f>
        <v>1.5216E-2</v>
      </c>
      <c r="E36" s="39">
        <f>INFO!E$23/1000</f>
        <v>8.379000000000001E-3</v>
      </c>
      <c r="F36" s="39">
        <f>INFO!F$23/1000</f>
        <v>5.0299999999999997E-3</v>
      </c>
      <c r="G36" s="39">
        <f>INFO!G$23/1000</f>
        <v>1.5049999999999998E-3</v>
      </c>
      <c r="H36" s="39">
        <f>INFO!H$23/1000</f>
        <v>1.0040000000000001E-3</v>
      </c>
      <c r="I36" s="39">
        <f>+SUMPRODUCT(C36:H36,C8:H8)/I8</f>
        <v>1.0160144388510593E-2</v>
      </c>
      <c r="K36" s="4"/>
    </row>
    <row r="37" spans="1:11">
      <c r="A37" s="3"/>
      <c r="B37" s="32" t="s">
        <v>14</v>
      </c>
      <c r="C37" s="39">
        <f>INFO!C$23/1000</f>
        <v>1.9546000000000001E-2</v>
      </c>
      <c r="D37" s="39">
        <f>INFO!D$23/1000</f>
        <v>1.5216E-2</v>
      </c>
      <c r="E37" s="39">
        <f>INFO!E$23/1000</f>
        <v>8.379000000000001E-3</v>
      </c>
      <c r="F37" s="39">
        <f>INFO!F$23/1000</f>
        <v>5.0299999999999997E-3</v>
      </c>
      <c r="G37" s="39">
        <f>INFO!G$23/1000</f>
        <v>1.5049999999999998E-3</v>
      </c>
      <c r="H37" s="39">
        <f>INFO!H$23/1000</f>
        <v>1.0040000000000001E-3</v>
      </c>
      <c r="I37" s="39">
        <f t="shared" ref="I37:I47" si="3">+SUMPRODUCT(C37:H37,C9:H9)/I9</f>
        <v>1.0356514029732325E-2</v>
      </c>
      <c r="K37" s="4"/>
    </row>
    <row r="38" spans="1:11">
      <c r="A38" s="3"/>
      <c r="B38" s="32" t="s">
        <v>15</v>
      </c>
      <c r="C38" s="39">
        <f>INFO!C$23/1000</f>
        <v>1.9546000000000001E-2</v>
      </c>
      <c r="D38" s="39">
        <f>INFO!D$23/1000</f>
        <v>1.5216E-2</v>
      </c>
      <c r="E38" s="39">
        <f>INFO!E$23/1000</f>
        <v>8.379000000000001E-3</v>
      </c>
      <c r="F38" s="39">
        <f>INFO!F$23/1000</f>
        <v>5.0299999999999997E-3</v>
      </c>
      <c r="G38" s="39">
        <f>INFO!G$23/1000</f>
        <v>1.5049999999999998E-3</v>
      </c>
      <c r="H38" s="39">
        <f>INFO!H$23/1000</f>
        <v>1.0040000000000001E-3</v>
      </c>
      <c r="I38" s="39">
        <f t="shared" si="3"/>
        <v>7.5693179282239793E-3</v>
      </c>
      <c r="K38" s="4"/>
    </row>
    <row r="39" spans="1:11">
      <c r="A39" s="3"/>
      <c r="B39" s="32" t="s">
        <v>16</v>
      </c>
      <c r="C39" s="39">
        <f>INFO!C$23/1000</f>
        <v>1.9546000000000001E-2</v>
      </c>
      <c r="D39" s="39">
        <f>INFO!D$23/1000</f>
        <v>1.5216E-2</v>
      </c>
      <c r="E39" s="39">
        <f>INFO!E$23/1000</f>
        <v>8.379000000000001E-3</v>
      </c>
      <c r="F39" s="39">
        <f>INFO!F$23/1000</f>
        <v>5.0299999999999997E-3</v>
      </c>
      <c r="G39" s="39">
        <f>INFO!G$23/1000</f>
        <v>1.5049999999999998E-3</v>
      </c>
      <c r="H39" s="39">
        <f>INFO!H$23/1000</f>
        <v>1.0040000000000001E-3</v>
      </c>
      <c r="I39" s="39">
        <f t="shared" si="3"/>
        <v>2.4475293084944695E-3</v>
      </c>
      <c r="K39" s="4"/>
    </row>
    <row r="40" spans="1:11">
      <c r="A40" s="3"/>
      <c r="B40" s="32" t="s">
        <v>17</v>
      </c>
      <c r="C40" s="39">
        <f>INFO!C$23/1000</f>
        <v>1.9546000000000001E-2</v>
      </c>
      <c r="D40" s="39">
        <f>INFO!D$23/1000</f>
        <v>1.5216E-2</v>
      </c>
      <c r="E40" s="39">
        <f>INFO!E$23/1000</f>
        <v>8.379000000000001E-3</v>
      </c>
      <c r="F40" s="39">
        <f>INFO!F$23/1000</f>
        <v>5.0299999999999997E-3</v>
      </c>
      <c r="G40" s="39">
        <f>INFO!G$23/1000</f>
        <v>1.5049999999999998E-3</v>
      </c>
      <c r="H40" s="39">
        <f>INFO!H$23/1000</f>
        <v>1.0040000000000001E-3</v>
      </c>
      <c r="I40" s="39">
        <f t="shared" si="3"/>
        <v>2.423740108390764E-3</v>
      </c>
      <c r="K40" s="4"/>
    </row>
    <row r="41" spans="1:11">
      <c r="A41" s="3"/>
      <c r="B41" s="32" t="s">
        <v>18</v>
      </c>
      <c r="C41" s="39">
        <f>INFO!C$23/1000</f>
        <v>1.9546000000000001E-2</v>
      </c>
      <c r="D41" s="39">
        <f>INFO!D$23/1000</f>
        <v>1.5216E-2</v>
      </c>
      <c r="E41" s="39">
        <f>INFO!E$23/1000</f>
        <v>8.379000000000001E-3</v>
      </c>
      <c r="F41" s="39">
        <f>INFO!F$23/1000</f>
        <v>5.0299999999999997E-3</v>
      </c>
      <c r="G41" s="39">
        <f>INFO!G$23/1000</f>
        <v>1.5049999999999998E-3</v>
      </c>
      <c r="H41" s="39">
        <f>INFO!H$23/1000</f>
        <v>1.0040000000000001E-3</v>
      </c>
      <c r="I41" s="39">
        <f t="shared" si="3"/>
        <v>4.4818561558347646E-3</v>
      </c>
      <c r="K41" s="4"/>
    </row>
    <row r="42" spans="1:11">
      <c r="A42" s="3"/>
      <c r="B42" s="32" t="s">
        <v>19</v>
      </c>
      <c r="C42" s="39">
        <f>INFO!C$23/1000</f>
        <v>1.9546000000000001E-2</v>
      </c>
      <c r="D42" s="39">
        <f>INFO!D$23/1000</f>
        <v>1.5216E-2</v>
      </c>
      <c r="E42" s="39">
        <f>INFO!E$23/1000</f>
        <v>8.379000000000001E-3</v>
      </c>
      <c r="F42" s="39">
        <f>INFO!F$23/1000</f>
        <v>5.0299999999999997E-3</v>
      </c>
      <c r="G42" s="39">
        <f>INFO!G$23/1000</f>
        <v>1.5049999999999998E-3</v>
      </c>
      <c r="H42" s="39">
        <f>INFO!H$23/1000</f>
        <v>1.0040000000000001E-3</v>
      </c>
      <c r="I42" s="39">
        <f t="shared" si="3"/>
        <v>1.0693415731810962E-2</v>
      </c>
      <c r="K42" s="4"/>
    </row>
    <row r="43" spans="1:11">
      <c r="A43" s="3"/>
      <c r="B43" s="32" t="s">
        <v>20</v>
      </c>
      <c r="C43" s="39">
        <f>INFO!C$23/1000</f>
        <v>1.9546000000000001E-2</v>
      </c>
      <c r="D43" s="39">
        <f>INFO!D$23/1000</f>
        <v>1.5216E-2</v>
      </c>
      <c r="E43" s="39">
        <f>INFO!E$23/1000</f>
        <v>8.379000000000001E-3</v>
      </c>
      <c r="F43" s="39">
        <f>INFO!F$23/1000</f>
        <v>5.0299999999999997E-3</v>
      </c>
      <c r="G43" s="39">
        <f>INFO!G$23/1000</f>
        <v>1.5049999999999998E-3</v>
      </c>
      <c r="H43" s="39">
        <f>INFO!H$23/1000</f>
        <v>1.0040000000000001E-3</v>
      </c>
      <c r="I43" s="39">
        <f t="shared" si="3"/>
        <v>4.4655114852530401E-3</v>
      </c>
      <c r="K43" s="4"/>
    </row>
    <row r="44" spans="1:11">
      <c r="A44" s="3"/>
      <c r="B44" s="32" t="s">
        <v>21</v>
      </c>
      <c r="C44" s="39">
        <f>INFO!C$23/1000</f>
        <v>1.9546000000000001E-2</v>
      </c>
      <c r="D44" s="39">
        <f>INFO!D$23/1000</f>
        <v>1.5216E-2</v>
      </c>
      <c r="E44" s="39">
        <f>INFO!E$23/1000</f>
        <v>8.379000000000001E-3</v>
      </c>
      <c r="F44" s="39">
        <f>INFO!F$23/1000</f>
        <v>5.0299999999999997E-3</v>
      </c>
      <c r="G44" s="39">
        <f>INFO!G$23/1000</f>
        <v>1.5049999999999998E-3</v>
      </c>
      <c r="H44" s="39">
        <f>INFO!H$23/1000</f>
        <v>1.0040000000000001E-3</v>
      </c>
      <c r="I44" s="39">
        <f t="shared" si="3"/>
        <v>4.2396283671020966E-3</v>
      </c>
      <c r="K44" s="4"/>
    </row>
    <row r="45" spans="1:11">
      <c r="A45" s="3"/>
      <c r="B45" s="32" t="s">
        <v>22</v>
      </c>
      <c r="C45" s="39">
        <f>INFO!C$23/1000</f>
        <v>1.9546000000000001E-2</v>
      </c>
      <c r="D45" s="39">
        <f>INFO!D$23/1000</f>
        <v>1.5216E-2</v>
      </c>
      <c r="E45" s="39">
        <f>INFO!E$23/1000</f>
        <v>8.379000000000001E-3</v>
      </c>
      <c r="F45" s="39">
        <f>INFO!F$23/1000</f>
        <v>5.0299999999999997E-3</v>
      </c>
      <c r="G45" s="39">
        <f>INFO!G$23/1000</f>
        <v>1.5049999999999998E-3</v>
      </c>
      <c r="H45" s="39">
        <f>INFO!H$23/1000</f>
        <v>1.0040000000000001E-3</v>
      </c>
      <c r="I45" s="39">
        <f t="shared" si="3"/>
        <v>2.3558623957043463E-3</v>
      </c>
      <c r="K45" s="4"/>
    </row>
    <row r="46" spans="1:11">
      <c r="A46" s="3"/>
      <c r="B46" s="32" t="s">
        <v>11</v>
      </c>
      <c r="C46" s="39">
        <f>INFO!C$23/1000</f>
        <v>1.9546000000000001E-2</v>
      </c>
      <c r="D46" s="39">
        <f>INFO!D$23/1000</f>
        <v>1.5216E-2</v>
      </c>
      <c r="E46" s="39">
        <f>INFO!E$23/1000</f>
        <v>8.379000000000001E-3</v>
      </c>
      <c r="F46" s="39">
        <f>INFO!F$23/1000</f>
        <v>5.0299999999999997E-3</v>
      </c>
      <c r="G46" s="39">
        <f>INFO!G$23/1000</f>
        <v>1.5049999999999998E-3</v>
      </c>
      <c r="H46" s="39">
        <f>INFO!H$23/1000</f>
        <v>1.0040000000000001E-3</v>
      </c>
      <c r="I46" s="39">
        <f t="shared" si="3"/>
        <v>6.5006986000005129E-3</v>
      </c>
      <c r="K46" s="4"/>
    </row>
    <row r="47" spans="1:11">
      <c r="A47" s="3"/>
      <c r="B47" s="32" t="s">
        <v>10</v>
      </c>
      <c r="C47" s="39">
        <f>INFO!C$23/1000</f>
        <v>1.9546000000000001E-2</v>
      </c>
      <c r="D47" s="39">
        <f>INFO!D$23/1000</f>
        <v>1.5216E-2</v>
      </c>
      <c r="E47" s="39">
        <f>INFO!E$23/1000</f>
        <v>8.379000000000001E-3</v>
      </c>
      <c r="F47" s="39">
        <f>INFO!F$23/1000</f>
        <v>5.0299999999999997E-3</v>
      </c>
      <c r="G47" s="39">
        <f>INFO!G$23/1000</f>
        <v>1.5049999999999998E-3</v>
      </c>
      <c r="H47" s="39">
        <f>INFO!H$23/1000</f>
        <v>1.0040000000000001E-3</v>
      </c>
      <c r="I47" s="39">
        <f t="shared" si="3"/>
        <v>9.0757362077582577E-3</v>
      </c>
      <c r="K47" s="4"/>
    </row>
    <row r="48" spans="1:11">
      <c r="A48" s="3"/>
      <c r="B48" s="112" t="s">
        <v>80</v>
      </c>
      <c r="C48" s="25"/>
      <c r="D48" s="25"/>
      <c r="E48" s="25"/>
      <c r="F48" s="25"/>
      <c r="G48" s="25"/>
      <c r="H48" s="25"/>
      <c r="I48" s="10"/>
      <c r="K48" s="4"/>
    </row>
    <row r="49" spans="1:11" s="26" customFormat="1" ht="30" customHeight="1">
      <c r="B49" s="45" t="s">
        <v>26</v>
      </c>
      <c r="C49" s="35" t="s">
        <v>0</v>
      </c>
      <c r="D49" s="35" t="s">
        <v>1</v>
      </c>
      <c r="E49" s="35" t="s">
        <v>2</v>
      </c>
      <c r="F49" s="35" t="s">
        <v>3</v>
      </c>
      <c r="G49" s="35" t="s">
        <v>4</v>
      </c>
      <c r="H49" s="35" t="s">
        <v>5</v>
      </c>
      <c r="I49" s="10"/>
      <c r="K49" s="28"/>
    </row>
    <row r="50" spans="1:11">
      <c r="B50" s="32" t="s">
        <v>13</v>
      </c>
      <c r="C50" s="44">
        <f>INFO!C$31</f>
        <v>17.357804000000002</v>
      </c>
      <c r="D50" s="44">
        <f>INFO!D$31</f>
        <v>15.477352</v>
      </c>
      <c r="E50" s="44">
        <f>INFO!E$31</f>
        <v>8.0180159999999994</v>
      </c>
      <c r="F50" s="44">
        <f>INFO!F$31</f>
        <v>7.4178310000000005</v>
      </c>
      <c r="G50" s="44">
        <f>INFO!G$31</f>
        <v>1.787506</v>
      </c>
      <c r="H50" s="44">
        <f>INFO!H$31</f>
        <v>1.0459320000000001</v>
      </c>
      <c r="I50" s="10"/>
      <c r="K50" s="4"/>
    </row>
    <row r="51" spans="1:11">
      <c r="B51" s="32" t="s">
        <v>14</v>
      </c>
      <c r="C51" s="44">
        <f>INFO!C$31</f>
        <v>17.357804000000002</v>
      </c>
      <c r="D51" s="44">
        <f>INFO!D$31</f>
        <v>15.477352</v>
      </c>
      <c r="E51" s="44">
        <f>INFO!E$31</f>
        <v>8.0180159999999994</v>
      </c>
      <c r="F51" s="44">
        <f>INFO!F$31</f>
        <v>7.4178310000000005</v>
      </c>
      <c r="G51" s="44">
        <f>INFO!G$31</f>
        <v>1.787506</v>
      </c>
      <c r="H51" s="44">
        <f>INFO!H$31</f>
        <v>1.0459320000000001</v>
      </c>
      <c r="I51" s="10"/>
      <c r="K51" s="4"/>
    </row>
    <row r="52" spans="1:11">
      <c r="B52" s="32" t="s">
        <v>15</v>
      </c>
      <c r="C52" s="44">
        <f>INFO!C$31</f>
        <v>17.357804000000002</v>
      </c>
      <c r="D52" s="44">
        <f>INFO!D$31</f>
        <v>15.477352</v>
      </c>
      <c r="E52" s="44">
        <f>INFO!E$31</f>
        <v>8.0180159999999994</v>
      </c>
      <c r="F52" s="44">
        <f>INFO!F$31</f>
        <v>7.4178310000000005</v>
      </c>
      <c r="G52" s="44">
        <f>INFO!G$31</f>
        <v>1.787506</v>
      </c>
      <c r="H52" s="44">
        <f>INFO!H$31</f>
        <v>1.0459320000000001</v>
      </c>
      <c r="I52" s="10"/>
      <c r="K52" s="4"/>
    </row>
    <row r="53" spans="1:11">
      <c r="B53" s="32" t="s">
        <v>16</v>
      </c>
      <c r="C53" s="44">
        <f>INFO!C$31</f>
        <v>17.357804000000002</v>
      </c>
      <c r="D53" s="44">
        <f>INFO!D$31</f>
        <v>15.477352</v>
      </c>
      <c r="E53" s="44">
        <f>INFO!E$31</f>
        <v>8.0180159999999994</v>
      </c>
      <c r="F53" s="44">
        <f>INFO!F$31</f>
        <v>7.4178310000000005</v>
      </c>
      <c r="G53" s="44">
        <f>INFO!G$31</f>
        <v>1.787506</v>
      </c>
      <c r="H53" s="44">
        <f>INFO!H$31</f>
        <v>1.0459320000000001</v>
      </c>
      <c r="I53" s="10"/>
      <c r="K53" s="4"/>
    </row>
    <row r="54" spans="1:11">
      <c r="B54" s="32" t="s">
        <v>17</v>
      </c>
      <c r="C54" s="44">
        <f>INFO!C$31</f>
        <v>17.357804000000002</v>
      </c>
      <c r="D54" s="44">
        <f>INFO!D$31</f>
        <v>15.477352</v>
      </c>
      <c r="E54" s="44">
        <f>INFO!E$31</f>
        <v>8.0180159999999994</v>
      </c>
      <c r="F54" s="44">
        <f>INFO!F$31</f>
        <v>7.4178310000000005</v>
      </c>
      <c r="G54" s="44">
        <f>INFO!G$31</f>
        <v>1.787506</v>
      </c>
      <c r="H54" s="44">
        <f>INFO!H$31</f>
        <v>1.0459320000000001</v>
      </c>
      <c r="I54" s="10"/>
      <c r="K54" s="4"/>
    </row>
    <row r="55" spans="1:11">
      <c r="B55" s="32" t="s">
        <v>18</v>
      </c>
      <c r="C55" s="44">
        <f>INFO!C$31</f>
        <v>17.357804000000002</v>
      </c>
      <c r="D55" s="44">
        <f>INFO!D$31</f>
        <v>15.477352</v>
      </c>
      <c r="E55" s="44">
        <f>INFO!E$31</f>
        <v>8.0180159999999994</v>
      </c>
      <c r="F55" s="44">
        <f>INFO!F$31</f>
        <v>7.4178310000000005</v>
      </c>
      <c r="G55" s="44">
        <f>INFO!G$31</f>
        <v>1.787506</v>
      </c>
      <c r="H55" s="44">
        <f>INFO!H$31</f>
        <v>1.0459320000000001</v>
      </c>
      <c r="I55" s="10"/>
      <c r="K55" s="4"/>
    </row>
    <row r="56" spans="1:11">
      <c r="B56" s="32" t="s">
        <v>19</v>
      </c>
      <c r="C56" s="44">
        <f>INFO!C$31</f>
        <v>17.357804000000002</v>
      </c>
      <c r="D56" s="44">
        <f>INFO!D$31</f>
        <v>15.477352</v>
      </c>
      <c r="E56" s="44">
        <f>INFO!E$31</f>
        <v>8.0180159999999994</v>
      </c>
      <c r="F56" s="44">
        <f>INFO!F$31</f>
        <v>7.4178310000000005</v>
      </c>
      <c r="G56" s="44">
        <f>INFO!G$31</f>
        <v>1.787506</v>
      </c>
      <c r="H56" s="44">
        <f>INFO!H$31</f>
        <v>1.0459320000000001</v>
      </c>
      <c r="I56" s="10"/>
    </row>
    <row r="57" spans="1:11" ht="15" customHeight="1">
      <c r="A57" s="3"/>
      <c r="B57" s="32" t="s">
        <v>20</v>
      </c>
      <c r="C57" s="44">
        <f>INFO!C$31</f>
        <v>17.357804000000002</v>
      </c>
      <c r="D57" s="44">
        <f>INFO!D$31</f>
        <v>15.477352</v>
      </c>
      <c r="E57" s="44">
        <f>INFO!E$31</f>
        <v>8.0180159999999994</v>
      </c>
      <c r="F57" s="44">
        <f>INFO!F$31</f>
        <v>7.4178310000000005</v>
      </c>
      <c r="G57" s="44">
        <f>INFO!G$31</f>
        <v>1.787506</v>
      </c>
      <c r="H57" s="44">
        <f>INFO!H$31</f>
        <v>1.0459320000000001</v>
      </c>
      <c r="I57" s="10"/>
    </row>
    <row r="58" spans="1:11" ht="15" customHeight="1">
      <c r="B58" s="32" t="s">
        <v>21</v>
      </c>
      <c r="C58" s="44">
        <f>INFO!C$31</f>
        <v>17.357804000000002</v>
      </c>
      <c r="D58" s="44">
        <f>INFO!D$31</f>
        <v>15.477352</v>
      </c>
      <c r="E58" s="44">
        <f>INFO!E$31</f>
        <v>8.0180159999999994</v>
      </c>
      <c r="F58" s="44">
        <f>INFO!F$31</f>
        <v>7.4178310000000005</v>
      </c>
      <c r="G58" s="44">
        <f>INFO!G$31</f>
        <v>1.787506</v>
      </c>
      <c r="H58" s="44">
        <f>INFO!H$31</f>
        <v>1.0459320000000001</v>
      </c>
      <c r="I58" s="10"/>
    </row>
    <row r="59" spans="1:11" ht="15" customHeight="1">
      <c r="B59" s="32" t="s">
        <v>22</v>
      </c>
      <c r="C59" s="44">
        <f>INFO!C$31</f>
        <v>17.357804000000002</v>
      </c>
      <c r="D59" s="44">
        <f>INFO!D$31</f>
        <v>15.477352</v>
      </c>
      <c r="E59" s="44">
        <f>INFO!E$31</f>
        <v>8.0180159999999994</v>
      </c>
      <c r="F59" s="44">
        <f>INFO!F$31</f>
        <v>7.4178310000000005</v>
      </c>
      <c r="G59" s="44">
        <f>INFO!G$31</f>
        <v>1.787506</v>
      </c>
      <c r="H59" s="44">
        <f>INFO!H$31</f>
        <v>1.0459320000000001</v>
      </c>
      <c r="I59" s="10"/>
    </row>
    <row r="60" spans="1:11" ht="15" customHeight="1">
      <c r="B60" s="32" t="s">
        <v>11</v>
      </c>
      <c r="C60" s="44">
        <f>INFO!C$31</f>
        <v>17.357804000000002</v>
      </c>
      <c r="D60" s="44">
        <f>INFO!D$31</f>
        <v>15.477352</v>
      </c>
      <c r="E60" s="44">
        <f>INFO!E$31</f>
        <v>8.0180159999999994</v>
      </c>
      <c r="F60" s="44">
        <f>INFO!F$31</f>
        <v>7.4178310000000005</v>
      </c>
      <c r="G60" s="44">
        <f>INFO!G$31</f>
        <v>1.787506</v>
      </c>
      <c r="H60" s="44">
        <f>INFO!H$31</f>
        <v>1.0459320000000001</v>
      </c>
      <c r="I60" s="10"/>
    </row>
    <row r="61" spans="1:11" ht="15" customHeight="1">
      <c r="B61" s="32" t="s">
        <v>10</v>
      </c>
      <c r="C61" s="44">
        <f>INFO!C$31</f>
        <v>17.357804000000002</v>
      </c>
      <c r="D61" s="44">
        <f>INFO!D$31</f>
        <v>15.477352</v>
      </c>
      <c r="E61" s="44">
        <f>INFO!E$31</f>
        <v>8.0180159999999994</v>
      </c>
      <c r="F61" s="44">
        <f>INFO!F$31</f>
        <v>7.4178310000000005</v>
      </c>
      <c r="G61" s="44">
        <f>INFO!G$31</f>
        <v>1.787506</v>
      </c>
      <c r="H61" s="44">
        <f>INFO!H$31</f>
        <v>1.0459320000000001</v>
      </c>
      <c r="I61" s="10"/>
    </row>
    <row r="62" spans="1:11" ht="15" customHeight="1">
      <c r="B62" s="112" t="s">
        <v>80</v>
      </c>
      <c r="C62" s="11"/>
      <c r="D62" s="11"/>
      <c r="E62" s="11"/>
      <c r="F62" s="11"/>
      <c r="G62" s="11"/>
      <c r="H62" s="11"/>
      <c r="I62" s="10"/>
    </row>
    <row r="63" spans="1:11" s="26" customFormat="1" ht="30" customHeight="1">
      <c r="B63" s="45" t="s">
        <v>34</v>
      </c>
      <c r="C63" s="35" t="s">
        <v>27</v>
      </c>
      <c r="D63" s="35" t="s">
        <v>35</v>
      </c>
      <c r="E63" s="35" t="s">
        <v>31</v>
      </c>
      <c r="F63" s="35" t="s">
        <v>28</v>
      </c>
      <c r="G63" s="35" t="s">
        <v>32</v>
      </c>
      <c r="H63" s="35" t="s">
        <v>29</v>
      </c>
      <c r="I63" s="35" t="s">
        <v>9</v>
      </c>
    </row>
    <row r="64" spans="1:11" ht="15" customHeight="1">
      <c r="B64" s="32" t="s">
        <v>13</v>
      </c>
      <c r="C64" s="17">
        <f>+SUMPRODUCT(C22:H22,C8:H8)</f>
        <v>352293.52454086626</v>
      </c>
      <c r="D64" s="17">
        <f>+SUMPRODUCT(C36:H36,C8:H8)</f>
        <v>18882.205448167671</v>
      </c>
      <c r="E64" s="17">
        <f>+D64+C64</f>
        <v>371175.72998903395</v>
      </c>
      <c r="F64" s="17">
        <f>+SUMPRODUCT(C50:H50,$C$4:$H$4)/12</f>
        <v>16330.363901833332</v>
      </c>
      <c r="G64" s="17">
        <v>65</v>
      </c>
      <c r="H64" s="17">
        <f>+SUM(E64:F64)*1.051127*0.5%</f>
        <v>2036.5905897661282</v>
      </c>
      <c r="I64" s="18">
        <f>+SUM(E64:H64)</f>
        <v>389607.68448063335</v>
      </c>
      <c r="J64" s="47">
        <f>+I64/(I8)</f>
        <v>0.20964025309769321</v>
      </c>
    </row>
    <row r="65" spans="1:13" ht="15" customHeight="1">
      <c r="B65" s="32" t="s">
        <v>14</v>
      </c>
      <c r="C65" s="17">
        <f t="shared" ref="C65:C75" si="4">+SUMPRODUCT(C23:H23,C9:H9)</f>
        <v>336586.55081027141</v>
      </c>
      <c r="D65" s="17">
        <f t="shared" ref="D65:D75" si="5">+SUMPRODUCT(C37:H37,C9:H9)</f>
        <v>18299.438541990716</v>
      </c>
      <c r="E65" s="17">
        <f t="shared" ref="E65:E75" si="6">+D65+C65</f>
        <v>354885.98935226211</v>
      </c>
      <c r="F65" s="17">
        <f t="shared" ref="F65:F75" si="7">+SUMPRODUCT(C51:H51,$C$4:$H$4)/12</f>
        <v>16330.363901833332</v>
      </c>
      <c r="G65" s="17">
        <v>65</v>
      </c>
      <c r="H65" s="17">
        <f t="shared" ref="H65:H67" si="8">+SUM(E65:F65)*1.051127*0.5%</f>
        <v>1950.9776587345877</v>
      </c>
      <c r="I65" s="18">
        <f t="shared" ref="I65:I75" si="9">+SUM(E65:H65)</f>
        <v>373232.33091283002</v>
      </c>
      <c r="J65" s="47">
        <f t="shared" ref="J65:J75" si="10">+I65/(I9)</f>
        <v>0.21122975235435409</v>
      </c>
    </row>
    <row r="66" spans="1:13" ht="15" customHeight="1">
      <c r="A66" s="3"/>
      <c r="B66" s="32" t="s">
        <v>15</v>
      </c>
      <c r="C66" s="17">
        <f t="shared" si="4"/>
        <v>599088.65593220759</v>
      </c>
      <c r="D66" s="17">
        <f t="shared" si="5"/>
        <v>24727.266732239277</v>
      </c>
      <c r="E66" s="17">
        <f t="shared" si="6"/>
        <v>623815.92266444687</v>
      </c>
      <c r="F66" s="17">
        <f t="shared" si="7"/>
        <v>16330.363901833332</v>
      </c>
      <c r="G66" s="17">
        <v>65</v>
      </c>
      <c r="H66" s="17">
        <f t="shared" si="8"/>
        <v>3364.3752287977718</v>
      </c>
      <c r="I66" s="18">
        <f t="shared" si="9"/>
        <v>643575.66179507796</v>
      </c>
      <c r="J66" s="47">
        <f t="shared" si="10"/>
        <v>0.19700635932570554</v>
      </c>
      <c r="K66" s="3"/>
      <c r="L66" s="47">
        <f>+AVERAGE(J64:J66)</f>
        <v>0.20595878825925096</v>
      </c>
    </row>
    <row r="67" spans="1:13" ht="15" customHeight="1">
      <c r="B67" s="32" t="s">
        <v>16</v>
      </c>
      <c r="C67" s="17">
        <f t="shared" si="4"/>
        <v>142489.61875384368</v>
      </c>
      <c r="D67" s="17">
        <f t="shared" si="5"/>
        <v>3894.6128267201066</v>
      </c>
      <c r="E67" s="17">
        <f t="shared" si="6"/>
        <v>146384.23158056379</v>
      </c>
      <c r="F67" s="17">
        <f t="shared" si="7"/>
        <v>16330.363901833332</v>
      </c>
      <c r="G67" s="17">
        <v>65</v>
      </c>
      <c r="H67" s="17">
        <f t="shared" si="8"/>
        <v>855.16852302812811</v>
      </c>
      <c r="I67" s="18">
        <f t="shared" si="9"/>
        <v>163634.76400542524</v>
      </c>
      <c r="J67" s="47">
        <f t="shared" si="10"/>
        <v>0.10283458166729775</v>
      </c>
    </row>
    <row r="68" spans="1:13" ht="15" customHeight="1">
      <c r="B68" s="32" t="s">
        <v>17</v>
      </c>
      <c r="C68" s="17">
        <f t="shared" si="4"/>
        <v>223406.92517868237</v>
      </c>
      <c r="D68" s="17">
        <f t="shared" si="5"/>
        <v>5987.9549002829699</v>
      </c>
      <c r="E68" s="17">
        <f t="shared" si="6"/>
        <v>229394.88007896533</v>
      </c>
      <c r="F68" s="17">
        <f t="shared" si="7"/>
        <v>16330.363901833332</v>
      </c>
      <c r="G68" s="17">
        <v>65</v>
      </c>
      <c r="H68" s="17">
        <f t="shared" ref="H68:H75" si="11">+SUM(E68:F68)*1.051127*4.864%</f>
        <v>12563.14965008971</v>
      </c>
      <c r="I68" s="18">
        <f t="shared" si="9"/>
        <v>258353.39363088837</v>
      </c>
      <c r="J68" s="47">
        <f t="shared" si="10"/>
        <v>0.10457351344654583</v>
      </c>
    </row>
    <row r="69" spans="1:13" ht="15" customHeight="1">
      <c r="B69" s="32" t="s">
        <v>18</v>
      </c>
      <c r="C69" s="17">
        <f t="shared" si="4"/>
        <v>196318.02598368665</v>
      </c>
      <c r="D69" s="17">
        <f t="shared" si="5"/>
        <v>9611.5780842135082</v>
      </c>
      <c r="E69" s="17">
        <f t="shared" si="6"/>
        <v>205929.60406790016</v>
      </c>
      <c r="F69" s="17">
        <f t="shared" si="7"/>
        <v>16330.363901833332</v>
      </c>
      <c r="G69" s="17">
        <v>65</v>
      </c>
      <c r="H69" s="17">
        <f t="shared" si="11"/>
        <v>11363.444771047216</v>
      </c>
      <c r="I69" s="18">
        <f t="shared" si="9"/>
        <v>233688.41274078071</v>
      </c>
      <c r="J69" s="47">
        <f t="shared" si="10"/>
        <v>0.10896835483340153</v>
      </c>
    </row>
    <row r="70" spans="1:13" ht="15" customHeight="1">
      <c r="B70" s="32" t="s">
        <v>19</v>
      </c>
      <c r="C70" s="17">
        <f t="shared" si="4"/>
        <v>224547.46983327519</v>
      </c>
      <c r="D70" s="17">
        <f t="shared" si="5"/>
        <v>22877.321148602634</v>
      </c>
      <c r="E70" s="17">
        <f t="shared" si="6"/>
        <v>247424.79098187783</v>
      </c>
      <c r="F70" s="17">
        <f t="shared" si="7"/>
        <v>16330.363901833332</v>
      </c>
      <c r="G70" s="17">
        <v>65</v>
      </c>
      <c r="H70" s="17">
        <f t="shared" si="11"/>
        <v>13484.961610397597</v>
      </c>
      <c r="I70" s="18">
        <f t="shared" si="9"/>
        <v>277305.11649410875</v>
      </c>
      <c r="J70" s="47">
        <f t="shared" si="10"/>
        <v>0.12961914884911685</v>
      </c>
    </row>
    <row r="71" spans="1:13" ht="15" customHeight="1">
      <c r="B71" s="32" t="s">
        <v>20</v>
      </c>
      <c r="C71" s="17">
        <f t="shared" si="4"/>
        <v>178367.7162031511</v>
      </c>
      <c r="D71" s="17">
        <f t="shared" si="5"/>
        <v>8195.9926262297067</v>
      </c>
      <c r="E71" s="17">
        <f t="shared" si="6"/>
        <v>186563.7088293808</v>
      </c>
      <c r="F71" s="17">
        <f t="shared" si="7"/>
        <v>16330.363901833332</v>
      </c>
      <c r="G71" s="17">
        <v>65</v>
      </c>
      <c r="H71" s="17">
        <f t="shared" si="11"/>
        <v>10373.328183723814</v>
      </c>
      <c r="I71" s="18">
        <f t="shared" si="9"/>
        <v>213332.40091493796</v>
      </c>
      <c r="J71" s="47">
        <f t="shared" si="10"/>
        <v>0.11623220394483091</v>
      </c>
    </row>
    <row r="72" spans="1:13" ht="15" customHeight="1">
      <c r="B72" s="32" t="s">
        <v>21</v>
      </c>
      <c r="C72" s="17">
        <f t="shared" si="4"/>
        <v>118954.46983851118</v>
      </c>
      <c r="D72" s="17">
        <f t="shared" si="5"/>
        <v>5251.4425725136889</v>
      </c>
      <c r="E72" s="17">
        <f t="shared" si="6"/>
        <v>124205.91241102487</v>
      </c>
      <c r="F72" s="17">
        <f t="shared" si="7"/>
        <v>16330.363901833332</v>
      </c>
      <c r="G72" s="17">
        <v>65</v>
      </c>
      <c r="H72" s="17">
        <f t="shared" si="11"/>
        <v>7185.1725202590924</v>
      </c>
      <c r="I72" s="18">
        <f t="shared" si="9"/>
        <v>147786.44883311729</v>
      </c>
      <c r="J72" s="47">
        <f t="shared" si="10"/>
        <v>0.11931190565152722</v>
      </c>
    </row>
    <row r="73" spans="1:13" ht="15" customHeight="1">
      <c r="B73" s="32" t="s">
        <v>22</v>
      </c>
      <c r="C73" s="17">
        <f t="shared" si="4"/>
        <v>162345.41442296369</v>
      </c>
      <c r="D73" s="17">
        <f t="shared" si="5"/>
        <v>4158.1241543850811</v>
      </c>
      <c r="E73" s="17">
        <f t="shared" si="6"/>
        <v>166503.53857734878</v>
      </c>
      <c r="F73" s="17">
        <f t="shared" si="7"/>
        <v>16330.363901833332</v>
      </c>
      <c r="G73" s="17">
        <v>65</v>
      </c>
      <c r="H73" s="17">
        <f t="shared" si="11"/>
        <v>9347.7155246424809</v>
      </c>
      <c r="I73" s="18">
        <f t="shared" si="9"/>
        <v>192246.61800382461</v>
      </c>
      <c r="J73" s="47">
        <f t="shared" si="10"/>
        <v>0.10892088866055662</v>
      </c>
    </row>
    <row r="74" spans="1:13" ht="15" customHeight="1">
      <c r="B74" s="32" t="s">
        <v>11</v>
      </c>
      <c r="C74" s="17">
        <f t="shared" si="4"/>
        <v>169219.76277406138</v>
      </c>
      <c r="D74" s="17">
        <f t="shared" si="5"/>
        <v>11248.696373840699</v>
      </c>
      <c r="E74" s="17">
        <f t="shared" si="6"/>
        <v>180468.45914790209</v>
      </c>
      <c r="F74" s="17">
        <f t="shared" si="7"/>
        <v>16330.363901833332</v>
      </c>
      <c r="G74" s="17">
        <v>65</v>
      </c>
      <c r="H74" s="17">
        <f t="shared" si="11"/>
        <v>10061.697466982874</v>
      </c>
      <c r="I74" s="18">
        <f t="shared" si="9"/>
        <v>206925.5205167183</v>
      </c>
      <c r="J74" s="47">
        <f t="shared" si="10"/>
        <v>0.11958367412739786</v>
      </c>
    </row>
    <row r="75" spans="1:13" ht="15" customHeight="1" thickBot="1">
      <c r="B75" s="33" t="s">
        <v>10</v>
      </c>
      <c r="C75" s="19">
        <f t="shared" si="4"/>
        <v>112866.75005324084</v>
      </c>
      <c r="D75" s="19">
        <f t="shared" si="5"/>
        <v>10109.391027357746</v>
      </c>
      <c r="E75" s="19">
        <f t="shared" si="6"/>
        <v>122976.14108059859</v>
      </c>
      <c r="F75" s="19">
        <f t="shared" si="7"/>
        <v>16330.363901833332</v>
      </c>
      <c r="G75" s="19">
        <v>65</v>
      </c>
      <c r="H75" s="19">
        <f t="shared" si="11"/>
        <v>7122.2982261522047</v>
      </c>
      <c r="I75" s="20">
        <f t="shared" si="9"/>
        <v>146493.80320858411</v>
      </c>
      <c r="J75" s="47">
        <f t="shared" si="10"/>
        <v>0.13151525254037547</v>
      </c>
      <c r="L75" s="47">
        <f>+AVERAGE(J67:J75)</f>
        <v>0.11572883596900557</v>
      </c>
    </row>
    <row r="76" spans="1:13" ht="15" customHeight="1">
      <c r="A76" s="3"/>
      <c r="B76" s="34" t="s">
        <v>30</v>
      </c>
      <c r="C76" s="21">
        <f t="shared" ref="C76:I76" si="12">+SUM(C64:C75)</f>
        <v>2816484.8843247616</v>
      </c>
      <c r="D76" s="21">
        <f t="shared" si="12"/>
        <v>143244.02443654381</v>
      </c>
      <c r="E76" s="117">
        <f t="shared" si="12"/>
        <v>2959728.9087613053</v>
      </c>
      <c r="F76" s="21">
        <f t="shared" si="12"/>
        <v>195964.36682199998</v>
      </c>
      <c r="G76" s="21">
        <f t="shared" si="12"/>
        <v>780</v>
      </c>
      <c r="H76" s="21">
        <f t="shared" si="12"/>
        <v>89708.879953621596</v>
      </c>
      <c r="I76" s="22">
        <f t="shared" si="12"/>
        <v>3246182.1555369268</v>
      </c>
      <c r="J76" s="115">
        <f>+I76/(I5)</f>
        <v>0.14162327356450383</v>
      </c>
      <c r="L76" s="1">
        <v>2762015.5689862329</v>
      </c>
      <c r="M76" s="119">
        <f>+L76-I76</f>
        <v>-484166.58655069396</v>
      </c>
    </row>
    <row r="77" spans="1:13" ht="15" customHeight="1">
      <c r="B77" s="113" t="s">
        <v>33</v>
      </c>
      <c r="C77" s="36"/>
      <c r="D77" s="36"/>
      <c r="E77" s="36"/>
      <c r="F77" s="36"/>
      <c r="G77" s="36"/>
      <c r="H77" s="36"/>
      <c r="I77" s="37"/>
      <c r="J77" s="116">
        <f>+C76/I76</f>
        <v>0.86762995709306023</v>
      </c>
      <c r="K77" s="38"/>
      <c r="L77" s="116">
        <f>+INFO!L27/'ELECTRICIDAD 2023'!J76</f>
        <v>1.2174620063801986</v>
      </c>
    </row>
    <row r="78" spans="1:13" ht="15" customHeight="1">
      <c r="E78" s="115">
        <f>+E77/I5</f>
        <v>0</v>
      </c>
    </row>
    <row r="79" spans="1:13" ht="15" customHeight="1">
      <c r="B79" s="94"/>
      <c r="C79" s="93" t="s">
        <v>70</v>
      </c>
      <c r="D79" s="53">
        <v>136</v>
      </c>
      <c r="E79" s="53">
        <v>135</v>
      </c>
      <c r="F79" s="53">
        <v>128</v>
      </c>
      <c r="G79" s="53">
        <v>87</v>
      </c>
      <c r="H79" s="53">
        <v>87</v>
      </c>
      <c r="I79" s="53">
        <v>87</v>
      </c>
      <c r="J79" s="105" t="s">
        <v>37</v>
      </c>
      <c r="K79" s="94"/>
    </row>
    <row r="80" spans="1:13" ht="15" customHeight="1">
      <c r="B80" s="51"/>
      <c r="C80" s="51"/>
      <c r="D80" s="91">
        <v>44562</v>
      </c>
      <c r="E80" s="91">
        <v>44593</v>
      </c>
      <c r="F80" s="91">
        <v>44621</v>
      </c>
      <c r="G80" s="54" t="s">
        <v>67</v>
      </c>
      <c r="H80" s="54" t="s">
        <v>68</v>
      </c>
      <c r="I80" s="54" t="s">
        <v>69</v>
      </c>
      <c r="J80" s="55"/>
      <c r="K80" s="52"/>
    </row>
    <row r="81" spans="3:9" ht="15" customHeight="1">
      <c r="D81" s="118">
        <f>74+D79</f>
        <v>210</v>
      </c>
      <c r="E81" s="118">
        <f t="shared" ref="E81:I81" si="13">74+E79</f>
        <v>209</v>
      </c>
      <c r="F81" s="118">
        <f t="shared" si="13"/>
        <v>202</v>
      </c>
      <c r="G81" s="118">
        <f t="shared" si="13"/>
        <v>161</v>
      </c>
      <c r="H81" s="118">
        <f t="shared" si="13"/>
        <v>161</v>
      </c>
      <c r="I81" s="118">
        <f t="shared" si="13"/>
        <v>161</v>
      </c>
    </row>
    <row r="82" spans="3:9" ht="15" customHeight="1">
      <c r="D82" s="1">
        <f>+D81/2</f>
        <v>105</v>
      </c>
      <c r="E82" s="1">
        <f t="shared" ref="E82:I82" si="14">+E81/2</f>
        <v>104.5</v>
      </c>
      <c r="F82" s="1">
        <f t="shared" si="14"/>
        <v>101</v>
      </c>
      <c r="G82" s="1">
        <f t="shared" si="14"/>
        <v>80.5</v>
      </c>
      <c r="H82" s="1">
        <f t="shared" si="14"/>
        <v>80.5</v>
      </c>
      <c r="I82" s="1">
        <f t="shared" si="14"/>
        <v>80.5</v>
      </c>
    </row>
    <row r="86" spans="3:9" ht="15" customHeight="1">
      <c r="C86" s="47"/>
      <c r="D86" s="47"/>
      <c r="E86" s="47"/>
      <c r="F86" s="47"/>
      <c r="G86" s="47"/>
      <c r="H86" s="47"/>
    </row>
    <row r="87" spans="3:9" ht="15" customHeight="1">
      <c r="C87" s="47"/>
      <c r="D87" s="47"/>
      <c r="E87" s="47"/>
      <c r="F87" s="47"/>
      <c r="G87" s="47"/>
      <c r="H87" s="47"/>
    </row>
    <row r="88" spans="3:9" ht="15" customHeight="1">
      <c r="C88" s="47"/>
      <c r="D88" s="47"/>
      <c r="E88" s="47"/>
      <c r="F88" s="47"/>
      <c r="G88" s="47"/>
      <c r="H88" s="47"/>
    </row>
    <row r="89" spans="3:9" ht="15" customHeight="1">
      <c r="C89" s="47"/>
      <c r="D89" s="47"/>
      <c r="E89" s="47"/>
      <c r="F89" s="47"/>
      <c r="G89" s="47"/>
      <c r="H89" s="47"/>
    </row>
    <row r="90" spans="3:9" ht="15" customHeight="1">
      <c r="C90" s="47"/>
      <c r="D90" s="47"/>
      <c r="E90" s="47"/>
      <c r="F90" s="47"/>
      <c r="G90" s="47"/>
      <c r="H90" s="47"/>
    </row>
  </sheetData>
  <mergeCells count="1">
    <mergeCell ref="B2:H2"/>
  </mergeCells>
  <pageMargins left="0.25" right="0.25" top="0.75" bottom="0.75" header="0.3" footer="0.3"/>
  <pageSetup paperSize="9" scale="27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439B-2415-4895-A7E4-CA81C7AD3437}">
  <sheetPr codeName="Hoja2"/>
  <dimension ref="A1:U32"/>
  <sheetViews>
    <sheetView zoomScaleNormal="100" workbookViewId="0"/>
  </sheetViews>
  <sheetFormatPr baseColWidth="10" defaultColWidth="11.42578125" defaultRowHeight="12.75"/>
  <cols>
    <col min="1" max="1" width="2.85546875" style="224" customWidth="1"/>
    <col min="2" max="2" width="13.5703125" style="56" customWidth="1"/>
    <col min="3" max="3" width="9.7109375" style="56" hidden="1" customWidth="1"/>
    <col min="4" max="4" width="9.7109375" style="56" customWidth="1"/>
    <col min="5" max="7" width="9.7109375" style="56" hidden="1" customWidth="1"/>
    <col min="8" max="8" width="10.140625" style="56" hidden="1" customWidth="1"/>
    <col min="9" max="9" width="12.28515625" style="56" customWidth="1"/>
    <col min="10" max="10" width="11.140625" style="56" hidden="1" customWidth="1"/>
    <col min="11" max="15" width="9.7109375" style="56" hidden="1" customWidth="1"/>
    <col min="16" max="16" width="11.140625" style="56" customWidth="1"/>
    <col min="17" max="17" width="11.28515625" style="56" customWidth="1"/>
    <col min="18" max="18" width="11.42578125" style="56"/>
    <col min="19" max="19" width="13.140625" style="56" customWidth="1"/>
    <col min="20" max="20" width="13.28515625" style="56" customWidth="1"/>
    <col min="21" max="21" width="15.42578125" style="56" customWidth="1"/>
    <col min="22" max="16384" width="11.42578125" style="56"/>
  </cols>
  <sheetData>
    <row r="1" spans="1:21">
      <c r="A1" s="224" t="s">
        <v>38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21" ht="33.75" customHeight="1">
      <c r="A2" s="225"/>
      <c r="B2" s="222" t="s">
        <v>82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58"/>
    </row>
    <row r="3" spans="1:21" ht="26.25" customHeight="1" thickBot="1">
      <c r="B3" s="59"/>
      <c r="C3" s="59"/>
      <c r="D3" s="59"/>
      <c r="E3" s="59"/>
      <c r="F3" s="59"/>
      <c r="G3" s="59"/>
      <c r="H3" s="59"/>
      <c r="I3" s="59"/>
      <c r="J3" s="60"/>
      <c r="K3" s="60"/>
      <c r="L3" s="60"/>
      <c r="M3" s="60"/>
      <c r="N3" s="60"/>
      <c r="O3" s="60"/>
      <c r="P3" s="60"/>
      <c r="Q3" s="60"/>
      <c r="R3" s="207" t="s">
        <v>110</v>
      </c>
      <c r="S3" s="208"/>
      <c r="T3" s="208"/>
      <c r="U3" s="209"/>
    </row>
    <row r="4" spans="1:21" ht="30" hidden="1" customHeight="1" thickBot="1">
      <c r="A4" s="225"/>
      <c r="B4" s="61" t="s">
        <v>100</v>
      </c>
      <c r="C4" s="62" t="s">
        <v>39</v>
      </c>
      <c r="D4" s="63" t="s">
        <v>83</v>
      </c>
      <c r="E4" s="103" t="s">
        <v>74</v>
      </c>
      <c r="F4" s="92">
        <v>0.1019</v>
      </c>
      <c r="G4" s="103" t="s">
        <v>75</v>
      </c>
      <c r="H4" s="92">
        <v>0.34689999999999999</v>
      </c>
      <c r="I4" s="103" t="s">
        <v>50</v>
      </c>
      <c r="J4" s="92">
        <v>46500</v>
      </c>
      <c r="K4" s="102"/>
      <c r="L4" s="102"/>
      <c r="M4" s="102"/>
      <c r="N4" s="102"/>
      <c r="O4" s="102"/>
      <c r="P4" s="103" t="s">
        <v>73</v>
      </c>
      <c r="Q4" s="92">
        <v>49.280999999999999</v>
      </c>
      <c r="R4" s="58"/>
      <c r="S4" s="58"/>
      <c r="T4" s="58"/>
      <c r="U4" s="58"/>
    </row>
    <row r="5" spans="1:21" ht="45" customHeight="1">
      <c r="A5" s="225"/>
      <c r="B5" s="64" t="s">
        <v>40</v>
      </c>
      <c r="C5" s="65"/>
      <c r="D5" s="66" t="s">
        <v>72</v>
      </c>
      <c r="E5" s="65" t="s">
        <v>41</v>
      </c>
      <c r="F5" s="65"/>
      <c r="G5" s="65" t="s">
        <v>42</v>
      </c>
      <c r="H5" s="65" t="s">
        <v>76</v>
      </c>
      <c r="I5" s="65" t="str">
        <f ca="1">"Consumo "&amp;YEAR(B6)&amp;" kWh"</f>
        <v>Consumo 2022 kWh</v>
      </c>
      <c r="J5" s="65" t="s">
        <v>43</v>
      </c>
      <c r="K5" s="65" t="s">
        <v>44</v>
      </c>
      <c r="L5" s="65" t="s">
        <v>45</v>
      </c>
      <c r="M5" s="65" t="s">
        <v>46</v>
      </c>
      <c r="N5" s="67" t="s">
        <v>47</v>
      </c>
      <c r="O5" s="67" t="s">
        <v>48</v>
      </c>
      <c r="P5" s="65" t="s">
        <v>49</v>
      </c>
      <c r="Q5" s="68" t="s">
        <v>101</v>
      </c>
      <c r="R5" s="122" t="s">
        <v>107</v>
      </c>
      <c r="S5" s="122" t="s">
        <v>106</v>
      </c>
      <c r="T5" s="122" t="s">
        <v>105</v>
      </c>
      <c r="U5" s="121" t="s">
        <v>104</v>
      </c>
    </row>
    <row r="6" spans="1:21">
      <c r="A6" s="225">
        <v>1</v>
      </c>
      <c r="B6" s="175">
        <f ca="1">DATE(YEAR(RESUMEN!$A$4),A6,1)</f>
        <v>44562</v>
      </c>
      <c r="C6" s="176"/>
      <c r="D6" s="177">
        <v>81.758157894736826</v>
      </c>
      <c r="E6" s="178">
        <f>$F$4</f>
        <v>0.1019</v>
      </c>
      <c r="F6" s="178"/>
      <c r="G6" s="178">
        <f>(D6*$F$4+$H$4)*10</f>
        <v>86.780562894736818</v>
      </c>
      <c r="H6" s="179">
        <v>898919</v>
      </c>
      <c r="I6" s="180">
        <v>987082.11452181975</v>
      </c>
      <c r="J6" s="180">
        <f t="shared" ref="J6:J17" si="0">(G6)*I6/1000</f>
        <v>85659.541521530584</v>
      </c>
      <c r="K6" s="180">
        <f>$J$4</f>
        <v>46500</v>
      </c>
      <c r="L6" s="180">
        <f>+$Q$4*K6/1000</f>
        <v>2291.5664999999999</v>
      </c>
      <c r="M6" s="181">
        <f>L6*1000/I6</f>
        <v>2.321556095776411</v>
      </c>
      <c r="N6" s="181">
        <v>0.54</v>
      </c>
      <c r="O6" s="180">
        <f>N6*I6/1000</f>
        <v>533.02434184178264</v>
      </c>
      <c r="P6" s="188">
        <f>+L6+J6+O6</f>
        <v>88484.132363372366</v>
      </c>
      <c r="Q6" s="165">
        <f>+P6/I6*1000</f>
        <v>89.642118990513225</v>
      </c>
      <c r="R6" s="162">
        <v>30</v>
      </c>
      <c r="S6" s="194">
        <v>36.900556095776409</v>
      </c>
      <c r="T6" s="188">
        <v>36423.878938050002</v>
      </c>
      <c r="U6" s="191">
        <f>P6-T6</f>
        <v>52060.253425322364</v>
      </c>
    </row>
    <row r="7" spans="1:21">
      <c r="A7" s="225">
        <v>2</v>
      </c>
      <c r="B7" s="69">
        <f ca="1">DATE(YEAR(RESUMEN!$A$4),A7,1)</f>
        <v>44593</v>
      </c>
      <c r="C7" s="70"/>
      <c r="D7" s="172">
        <v>78.334000000000003</v>
      </c>
      <c r="E7" s="71">
        <f t="shared" ref="E7:E17" si="1">$F$4</f>
        <v>0.1019</v>
      </c>
      <c r="F7" s="71"/>
      <c r="G7" s="71">
        <f t="shared" ref="G7:G17" si="2">(D7*$F$4+$H$4)*10</f>
        <v>83.291346000000019</v>
      </c>
      <c r="H7" s="106">
        <v>834132</v>
      </c>
      <c r="I7" s="72">
        <v>871324.8787470886</v>
      </c>
      <c r="J7" s="72">
        <f t="shared" si="0"/>
        <v>72573.821954131825</v>
      </c>
      <c r="K7" s="72">
        <f t="shared" ref="K7:K17" si="3">$J$4</f>
        <v>46500</v>
      </c>
      <c r="L7" s="73">
        <f t="shared" ref="L7:L17" si="4">+$Q$4*K7/1000</f>
        <v>2291.5664999999999</v>
      </c>
      <c r="M7" s="74">
        <f t="shared" ref="M7:M14" si="5">L7*1000/I7</f>
        <v>2.6299794208735681</v>
      </c>
      <c r="N7" s="74">
        <v>0.54</v>
      </c>
      <c r="O7" s="73">
        <f t="shared" ref="O7:O14" si="6">N7*I7/1000</f>
        <v>470.51543452342787</v>
      </c>
      <c r="P7" s="188">
        <f t="shared" ref="P7:P14" si="7">+L7+J7+O7</f>
        <v>75335.903888655259</v>
      </c>
      <c r="Q7" s="165">
        <f t="shared" ref="Q7:Q14" si="8">+P7/I7*1000</f>
        <v>86.461325420873607</v>
      </c>
      <c r="R7" s="162">
        <v>29.5</v>
      </c>
      <c r="S7" s="194">
        <v>36.699479420873573</v>
      </c>
      <c r="T7" s="188">
        <v>31977.169456473937</v>
      </c>
      <c r="U7" s="191">
        <f t="shared" ref="U7:U17" si="9">P7-T7</f>
        <v>43358.734432181322</v>
      </c>
    </row>
    <row r="8" spans="1:21">
      <c r="A8" s="225">
        <v>3</v>
      </c>
      <c r="B8" s="75">
        <f ca="1">DATE(YEAR(RESUMEN!$A$4),A8,1)</f>
        <v>44621</v>
      </c>
      <c r="C8" s="76"/>
      <c r="D8" s="134">
        <v>76.863</v>
      </c>
      <c r="E8" s="71">
        <f t="shared" si="1"/>
        <v>0.1019</v>
      </c>
      <c r="F8" s="77"/>
      <c r="G8" s="71">
        <f t="shared" si="2"/>
        <v>81.792396999999994</v>
      </c>
      <c r="H8" s="107">
        <v>975333</v>
      </c>
      <c r="I8" s="72">
        <v>1547051.1191340128</v>
      </c>
      <c r="J8" s="72">
        <f t="shared" si="0"/>
        <v>126537.01931550346</v>
      </c>
      <c r="K8" s="79">
        <f t="shared" si="3"/>
        <v>46500</v>
      </c>
      <c r="L8" s="79">
        <f t="shared" si="4"/>
        <v>2291.5664999999999</v>
      </c>
      <c r="M8" s="80">
        <f t="shared" si="5"/>
        <v>1.4812480800781436</v>
      </c>
      <c r="N8" s="80">
        <v>0.54</v>
      </c>
      <c r="O8" s="79">
        <f t="shared" si="6"/>
        <v>835.40760433236699</v>
      </c>
      <c r="P8" s="188">
        <f t="shared" si="7"/>
        <v>129663.99341983584</v>
      </c>
      <c r="Q8" s="165">
        <f t="shared" si="8"/>
        <v>83.813645080078146</v>
      </c>
      <c r="R8" s="162">
        <v>31</v>
      </c>
      <c r="S8" s="194">
        <v>37.079248080078138</v>
      </c>
      <c r="T8" s="188">
        <v>57363.492238932587</v>
      </c>
      <c r="U8" s="191">
        <f t="shared" si="9"/>
        <v>72300.501180903259</v>
      </c>
    </row>
    <row r="9" spans="1:21">
      <c r="A9" s="225">
        <v>4</v>
      </c>
      <c r="B9" s="69">
        <f ca="1">DATE(YEAR(RESUMEN!$A$4),A9,1)</f>
        <v>44652</v>
      </c>
      <c r="C9" s="70"/>
      <c r="D9" s="134">
        <v>64.983000000000004</v>
      </c>
      <c r="E9" s="71">
        <f t="shared" si="1"/>
        <v>0.1019</v>
      </c>
      <c r="F9" s="71"/>
      <c r="G9" s="71">
        <f t="shared" si="2"/>
        <v>69.686677000000003</v>
      </c>
      <c r="H9" s="106">
        <v>829906</v>
      </c>
      <c r="I9" s="72">
        <v>694583.28214370389</v>
      </c>
      <c r="J9" s="72">
        <f t="shared" si="0"/>
        <v>48403.200832348157</v>
      </c>
      <c r="K9" s="72">
        <f t="shared" si="3"/>
        <v>46500</v>
      </c>
      <c r="L9" s="73">
        <f t="shared" si="4"/>
        <v>2291.5664999999999</v>
      </c>
      <c r="M9" s="74">
        <f t="shared" si="5"/>
        <v>3.2991961639610738</v>
      </c>
      <c r="N9" s="74">
        <v>0.54</v>
      </c>
      <c r="O9" s="73">
        <f t="shared" si="6"/>
        <v>375.07497235760013</v>
      </c>
      <c r="P9" s="188">
        <f t="shared" si="7"/>
        <v>51069.842304705759</v>
      </c>
      <c r="Q9" s="165">
        <f t="shared" si="8"/>
        <v>73.525873163961066</v>
      </c>
      <c r="R9" s="162">
        <v>17</v>
      </c>
      <c r="S9" s="194">
        <v>24.631196163961075</v>
      </c>
      <c r="T9" s="188">
        <v>17108.417074689492</v>
      </c>
      <c r="U9" s="191">
        <f t="shared" si="9"/>
        <v>33961.425230016263</v>
      </c>
    </row>
    <row r="10" spans="1:21">
      <c r="A10" s="225">
        <v>5</v>
      </c>
      <c r="B10" s="69">
        <f ca="1">DATE(YEAR(RESUMEN!$A$4),A10,1)</f>
        <v>44682</v>
      </c>
      <c r="C10" s="70"/>
      <c r="D10" s="134">
        <v>63.604999999999997</v>
      </c>
      <c r="E10" s="71">
        <f t="shared" si="1"/>
        <v>0.1019</v>
      </c>
      <c r="F10" s="71"/>
      <c r="G10" s="71">
        <f t="shared" si="2"/>
        <v>68.282494999999997</v>
      </c>
      <c r="H10" s="106">
        <v>955156</v>
      </c>
      <c r="I10" s="72">
        <v>959282.47543605347</v>
      </c>
      <c r="J10" s="72">
        <f t="shared" si="0"/>
        <v>65502.200832549941</v>
      </c>
      <c r="K10" s="72">
        <f t="shared" si="3"/>
        <v>46500</v>
      </c>
      <c r="L10" s="73">
        <f t="shared" si="4"/>
        <v>2291.5664999999999</v>
      </c>
      <c r="M10" s="74">
        <f t="shared" si="5"/>
        <v>2.3888339031298793</v>
      </c>
      <c r="N10" s="74">
        <v>0.54</v>
      </c>
      <c r="O10" s="73">
        <f t="shared" si="6"/>
        <v>518.01253673546887</v>
      </c>
      <c r="P10" s="188">
        <f t="shared" si="7"/>
        <v>68311.779869285398</v>
      </c>
      <c r="Q10" s="165">
        <f t="shared" si="8"/>
        <v>71.211328903129868</v>
      </c>
      <c r="R10" s="162">
        <v>17</v>
      </c>
      <c r="S10" s="194">
        <v>23.720833903129879</v>
      </c>
      <c r="T10" s="188">
        <v>22754.980266001894</v>
      </c>
      <c r="U10" s="191">
        <f t="shared" si="9"/>
        <v>45556.799603283507</v>
      </c>
    </row>
    <row r="11" spans="1:21">
      <c r="A11" s="225">
        <v>6</v>
      </c>
      <c r="B11" s="75">
        <f ca="1">DATE(YEAR(RESUMEN!$A$4),A11,1)</f>
        <v>44713</v>
      </c>
      <c r="C11" s="76"/>
      <c r="D11" s="134">
        <v>63.23</v>
      </c>
      <c r="E11" s="71">
        <f t="shared" si="1"/>
        <v>0.1019</v>
      </c>
      <c r="F11" s="77"/>
      <c r="G11" s="71">
        <f t="shared" si="2"/>
        <v>67.900369999999995</v>
      </c>
      <c r="H11" s="107">
        <v>856309</v>
      </c>
      <c r="I11" s="72">
        <v>749019.11370419827</v>
      </c>
      <c r="J11" s="72">
        <f t="shared" si="0"/>
        <v>50858.674957587129</v>
      </c>
      <c r="K11" s="79">
        <f t="shared" si="3"/>
        <v>46500</v>
      </c>
      <c r="L11" s="78">
        <f t="shared" si="4"/>
        <v>2291.5664999999999</v>
      </c>
      <c r="M11" s="81">
        <f t="shared" si="5"/>
        <v>3.0594232618007431</v>
      </c>
      <c r="N11" s="81">
        <v>0.54</v>
      </c>
      <c r="O11" s="78">
        <f t="shared" si="6"/>
        <v>404.4703214002671</v>
      </c>
      <c r="P11" s="188">
        <f t="shared" si="7"/>
        <v>53554.711778987396</v>
      </c>
      <c r="Q11" s="165">
        <f t="shared" si="8"/>
        <v>71.499793261800747</v>
      </c>
      <c r="R11" s="162">
        <v>17</v>
      </c>
      <c r="S11" s="194">
        <v>24.391423261800742</v>
      </c>
      <c r="T11" s="188">
        <v>18269.642233537958</v>
      </c>
      <c r="U11" s="191">
        <f t="shared" si="9"/>
        <v>35285.069545449442</v>
      </c>
    </row>
    <row r="12" spans="1:21">
      <c r="A12" s="225">
        <v>7</v>
      </c>
      <c r="B12" s="69">
        <f ca="1">DATE(YEAR(RESUMEN!$A$4),A12,1)</f>
        <v>44743</v>
      </c>
      <c r="C12" s="70"/>
      <c r="D12" s="134">
        <v>63.21</v>
      </c>
      <c r="E12" s="71">
        <f t="shared" si="1"/>
        <v>0.1019</v>
      </c>
      <c r="F12" s="71"/>
      <c r="G12" s="71">
        <f t="shared" si="2"/>
        <v>67.879990000000006</v>
      </c>
      <c r="H12" s="106">
        <v>805408</v>
      </c>
      <c r="I12" s="72">
        <v>719460.11588964763</v>
      </c>
      <c r="J12" s="72">
        <f t="shared" si="0"/>
        <v>48836.945471988125</v>
      </c>
      <c r="K12" s="72">
        <f t="shared" si="3"/>
        <v>46500</v>
      </c>
      <c r="L12" s="73">
        <f t="shared" si="4"/>
        <v>2291.5664999999999</v>
      </c>
      <c r="M12" s="74">
        <f t="shared" si="5"/>
        <v>3.18511957701278</v>
      </c>
      <c r="N12" s="74">
        <v>0.54</v>
      </c>
      <c r="O12" s="73">
        <f t="shared" si="6"/>
        <v>388.50846258040974</v>
      </c>
      <c r="P12" s="188">
        <f t="shared" si="7"/>
        <v>51517.020434568534</v>
      </c>
      <c r="Q12" s="165">
        <f t="shared" si="8"/>
        <v>71.605109577012783</v>
      </c>
      <c r="R12" s="162">
        <v>17</v>
      </c>
      <c r="S12" s="194">
        <v>24.517119577012778</v>
      </c>
      <c r="T12" s="188">
        <v>17639.089692157962</v>
      </c>
      <c r="U12" s="191">
        <f t="shared" si="9"/>
        <v>33877.930742410572</v>
      </c>
    </row>
    <row r="13" spans="1:21">
      <c r="A13" s="225">
        <v>8</v>
      </c>
      <c r="B13" s="69">
        <f ca="1">DATE(YEAR(RESUMEN!$A$4),A13,1)</f>
        <v>44774</v>
      </c>
      <c r="C13" s="70"/>
      <c r="D13" s="134">
        <v>63.08</v>
      </c>
      <c r="E13" s="71">
        <f t="shared" si="1"/>
        <v>0.1019</v>
      </c>
      <c r="F13" s="71"/>
      <c r="G13" s="71">
        <f t="shared" si="2"/>
        <v>67.747519999999994</v>
      </c>
      <c r="H13" s="106">
        <v>632081</v>
      </c>
      <c r="I13" s="72">
        <v>615297.63914921461</v>
      </c>
      <c r="J13" s="72">
        <f t="shared" si="0"/>
        <v>41684.889114214195</v>
      </c>
      <c r="K13" s="72">
        <f t="shared" si="3"/>
        <v>46500</v>
      </c>
      <c r="L13" s="73">
        <f t="shared" si="4"/>
        <v>2291.5664999999999</v>
      </c>
      <c r="M13" s="74">
        <f t="shared" si="5"/>
        <v>3.7243219446910256</v>
      </c>
      <c r="N13" s="74">
        <v>0.54</v>
      </c>
      <c r="O13" s="73">
        <f t="shared" si="6"/>
        <v>332.26072514057591</v>
      </c>
      <c r="P13" s="188">
        <f t="shared" si="7"/>
        <v>44308.716339354774</v>
      </c>
      <c r="Q13" s="165">
        <f t="shared" si="8"/>
        <v>72.011841944691028</v>
      </c>
      <c r="R13" s="162">
        <v>17</v>
      </c>
      <c r="S13" s="194">
        <v>25.056321944691021</v>
      </c>
      <c r="T13" s="188">
        <v>15417.095738331045</v>
      </c>
      <c r="U13" s="191">
        <f t="shared" si="9"/>
        <v>28891.620601023729</v>
      </c>
    </row>
    <row r="14" spans="1:21">
      <c r="A14" s="225">
        <v>9</v>
      </c>
      <c r="B14" s="75">
        <f ca="1">DATE(YEAR(RESUMEN!$A$4),A14,1)</f>
        <v>44805</v>
      </c>
      <c r="C14" s="76"/>
      <c r="D14" s="134">
        <v>63.234999999999999</v>
      </c>
      <c r="E14" s="71">
        <f t="shared" si="1"/>
        <v>0.1019</v>
      </c>
      <c r="F14" s="77"/>
      <c r="G14" s="71">
        <f t="shared" si="2"/>
        <v>67.905464999999992</v>
      </c>
      <c r="H14" s="107">
        <v>406516</v>
      </c>
      <c r="I14" s="72">
        <v>415246.26202622231</v>
      </c>
      <c r="J14" s="72">
        <f t="shared" si="0"/>
        <v>28197.490512402463</v>
      </c>
      <c r="K14" s="79">
        <f t="shared" si="3"/>
        <v>46500</v>
      </c>
      <c r="L14" s="78">
        <f t="shared" si="4"/>
        <v>2291.5664999999999</v>
      </c>
      <c r="M14" s="81">
        <f t="shared" si="5"/>
        <v>5.5185722535300998</v>
      </c>
      <c r="N14" s="81">
        <v>0.54</v>
      </c>
      <c r="O14" s="78">
        <f t="shared" si="6"/>
        <v>224.23298149416004</v>
      </c>
      <c r="P14" s="188">
        <f t="shared" si="7"/>
        <v>30713.289993896622</v>
      </c>
      <c r="Q14" s="165">
        <f t="shared" si="8"/>
        <v>73.96403725353008</v>
      </c>
      <c r="R14" s="162">
        <v>17</v>
      </c>
      <c r="S14" s="194">
        <v>26.850572253530103</v>
      </c>
      <c r="T14" s="188">
        <v>11149.599761543375</v>
      </c>
      <c r="U14" s="191">
        <f t="shared" si="9"/>
        <v>19563.690232353249</v>
      </c>
    </row>
    <row r="15" spans="1:21">
      <c r="A15" s="225">
        <v>10</v>
      </c>
      <c r="B15" s="69">
        <f ca="1">DATE(YEAR(RESUMEN!$A$4),A15,1)</f>
        <v>44835</v>
      </c>
      <c r="C15" s="70"/>
      <c r="D15" s="134">
        <v>63.613999999999997</v>
      </c>
      <c r="E15" s="71">
        <f t="shared" si="1"/>
        <v>0.1019</v>
      </c>
      <c r="F15" s="71"/>
      <c r="G15" s="71">
        <f t="shared" si="2"/>
        <v>68.291665999999992</v>
      </c>
      <c r="H15" s="106">
        <v>507912</v>
      </c>
      <c r="I15" s="72">
        <v>923741.86691215157</v>
      </c>
      <c r="J15" s="72">
        <f t="shared" si="0"/>
        <v>63083.8710453811</v>
      </c>
      <c r="K15" s="72">
        <f t="shared" si="3"/>
        <v>46500</v>
      </c>
      <c r="L15" s="73">
        <f t="shared" si="4"/>
        <v>2291.5664999999999</v>
      </c>
      <c r="M15" s="74">
        <f>L15*1000/I15</f>
        <v>2.4807433570810855</v>
      </c>
      <c r="N15" s="74">
        <v>0.54</v>
      </c>
      <c r="O15" s="73">
        <f>N15*I15/1000</f>
        <v>498.82060813256192</v>
      </c>
      <c r="P15" s="188">
        <f>+L15+J15+O15</f>
        <v>65874.258153513656</v>
      </c>
      <c r="Q15" s="165">
        <f>+P15/I15*1000</f>
        <v>71.312409357081066</v>
      </c>
      <c r="R15" s="162">
        <v>17</v>
      </c>
      <c r="S15" s="194">
        <v>23.812743357081093</v>
      </c>
      <c r="T15" s="188">
        <v>21996.828004970022</v>
      </c>
      <c r="U15" s="191">
        <f t="shared" si="9"/>
        <v>43877.43014854363</v>
      </c>
    </row>
    <row r="16" spans="1:21">
      <c r="A16" s="225">
        <v>11</v>
      </c>
      <c r="B16" s="69">
        <f ca="1">DATE(YEAR(RESUMEN!$A$4),A16,1)</f>
        <v>44866</v>
      </c>
      <c r="C16" s="70"/>
      <c r="D16" s="134">
        <v>64.673000000000002</v>
      </c>
      <c r="E16" s="71">
        <f t="shared" si="1"/>
        <v>0.1019</v>
      </c>
      <c r="F16" s="71"/>
      <c r="G16" s="71">
        <f t="shared" si="2"/>
        <v>69.370786999999993</v>
      </c>
      <c r="H16" s="106">
        <v>600865</v>
      </c>
      <c r="I16" s="72">
        <v>906896.89410151739</v>
      </c>
      <c r="J16" s="72">
        <f t="shared" si="0"/>
        <v>62912.151271677911</v>
      </c>
      <c r="K16" s="72">
        <f t="shared" si="3"/>
        <v>46500</v>
      </c>
      <c r="L16" s="73">
        <f t="shared" si="4"/>
        <v>2291.5664999999999</v>
      </c>
      <c r="M16" s="74">
        <f>L16*1000/I16</f>
        <v>2.5268214224840908</v>
      </c>
      <c r="N16" s="74">
        <v>0.54</v>
      </c>
      <c r="O16" s="73">
        <f>N16*I16/1000</f>
        <v>489.7243228148194</v>
      </c>
      <c r="P16" s="188">
        <f>+L16+J16+O16</f>
        <v>65693.442094492726</v>
      </c>
      <c r="Q16" s="165">
        <f>+P16/I16*1000</f>
        <v>72.437608422484075</v>
      </c>
      <c r="R16" s="162">
        <v>17</v>
      </c>
      <c r="S16" s="194">
        <v>23.858821422484095</v>
      </c>
      <c r="T16" s="188">
        <v>21637.491044973573</v>
      </c>
      <c r="U16" s="191">
        <f t="shared" si="9"/>
        <v>44055.95104951915</v>
      </c>
    </row>
    <row r="17" spans="1:21" ht="13.5" thickBot="1">
      <c r="A17" s="225">
        <v>12</v>
      </c>
      <c r="B17" s="69">
        <f ca="1">DATE(YEAR(RESUMEN!$A$4),A17,1)</f>
        <v>44896</v>
      </c>
      <c r="C17" s="70"/>
      <c r="D17" s="154">
        <v>65.132999999999996</v>
      </c>
      <c r="E17" s="71">
        <f t="shared" si="1"/>
        <v>0.1019</v>
      </c>
      <c r="F17" s="71"/>
      <c r="G17" s="71">
        <f t="shared" si="2"/>
        <v>69.839527000000004</v>
      </c>
      <c r="H17" s="106">
        <v>562293</v>
      </c>
      <c r="I17" s="72">
        <v>598029.7387472383</v>
      </c>
      <c r="J17" s="72">
        <f t="shared" si="0"/>
        <v>41766.114086040696</v>
      </c>
      <c r="K17" s="72">
        <f t="shared" si="3"/>
        <v>46500</v>
      </c>
      <c r="L17" s="73">
        <f t="shared" si="4"/>
        <v>2291.5664999999999</v>
      </c>
      <c r="M17" s="74">
        <f>L17*1000/I17</f>
        <v>3.8318604435966814</v>
      </c>
      <c r="N17" s="74">
        <v>0.54</v>
      </c>
      <c r="O17" s="73">
        <f>N17*I17/1000</f>
        <v>322.93605892350865</v>
      </c>
      <c r="P17" s="189">
        <f>+L17+J17+O17</f>
        <v>44380.616644964204</v>
      </c>
      <c r="Q17" s="166">
        <f>+P17/I17*1000</f>
        <v>74.211387443596678</v>
      </c>
      <c r="R17" s="162">
        <v>17</v>
      </c>
      <c r="S17" s="195">
        <v>25.163860443596679</v>
      </c>
      <c r="T17" s="189">
        <v>15048.736886956087</v>
      </c>
      <c r="U17" s="191">
        <f t="shared" si="9"/>
        <v>29331.879758008115</v>
      </c>
    </row>
    <row r="18" spans="1:21" s="90" customFormat="1" ht="15.75" thickBot="1">
      <c r="A18" s="226"/>
      <c r="B18" s="82"/>
      <c r="C18" s="83"/>
      <c r="D18" s="85" t="str">
        <f ca="1">"Total "&amp;YEAR(B6)</f>
        <v>Total 2022</v>
      </c>
      <c r="E18" s="84"/>
      <c r="F18" s="170"/>
      <c r="G18" s="86">
        <f>J18*1000/I18</f>
        <v>73.697284326589724</v>
      </c>
      <c r="H18" s="87">
        <f>SUM(H6:H17)</f>
        <v>8864830</v>
      </c>
      <c r="I18" s="87">
        <f>SUM(I6:I17)</f>
        <v>9987015.5005128682</v>
      </c>
      <c r="J18" s="88">
        <f>SUM(J6:J17)</f>
        <v>736015.92091535556</v>
      </c>
      <c r="K18" s="88">
        <f>SUM(K6:K17)/12</f>
        <v>46500</v>
      </c>
      <c r="L18" s="88">
        <f>SUM(L6:L17)</f>
        <v>27498.798000000006</v>
      </c>
      <c r="M18" s="89">
        <f>L18*1000/I18</f>
        <v>2.7534550235340927</v>
      </c>
      <c r="N18" s="89">
        <f>O18*1000/I18</f>
        <v>0.53999999999999992</v>
      </c>
      <c r="O18" s="88">
        <f>SUM(O6:O17)</f>
        <v>5392.9883702769484</v>
      </c>
      <c r="P18" s="190">
        <f>SUM(P6:P17)</f>
        <v>768907.7072856325</v>
      </c>
      <c r="Q18" s="158">
        <f>+P18/I18*1000</f>
        <v>76.990739350123803</v>
      </c>
      <c r="R18" s="164">
        <f>SUMPRODUCT(R6:R17,I6:I17)/I18</f>
        <v>21.544134745627254</v>
      </c>
      <c r="S18" s="193">
        <f>SUMPRODUCT(S6:S17,I6:I17)/I18</f>
        <v>28.715928329328264</v>
      </c>
      <c r="T18" s="190">
        <f t="shared" ref="T18:U18" si="10">+SUM(T6:T17)</f>
        <v>286786.4213366179</v>
      </c>
      <c r="U18" s="192">
        <f t="shared" si="10"/>
        <v>482121.28594901453</v>
      </c>
    </row>
    <row r="19" spans="1:21">
      <c r="A19" s="225"/>
      <c r="B19" s="168" t="str">
        <f ca="1">"TTF A "&amp;TEXT(TODAY(), "dd/mm/aaaa")</f>
        <v>TTF A 16/02/2022</v>
      </c>
      <c r="C19" s="60"/>
      <c r="D19" s="60"/>
      <c r="E19" s="169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21">
      <c r="B20" s="60"/>
      <c r="C20" s="60"/>
      <c r="D20" s="60"/>
    </row>
    <row r="21" spans="1:21">
      <c r="R21" s="187"/>
    </row>
    <row r="22" spans="1:21">
      <c r="R22" s="187"/>
    </row>
    <row r="23" spans="1:21">
      <c r="R23" s="187"/>
    </row>
    <row r="24" spans="1:21">
      <c r="R24" s="187"/>
    </row>
    <row r="25" spans="1:21">
      <c r="R25" s="187"/>
    </row>
    <row r="26" spans="1:21">
      <c r="R26" s="187"/>
    </row>
    <row r="27" spans="1:21">
      <c r="R27" s="187"/>
    </row>
    <row r="28" spans="1:21">
      <c r="R28" s="187"/>
    </row>
    <row r="29" spans="1:21">
      <c r="R29" s="187"/>
    </row>
    <row r="30" spans="1:21">
      <c r="R30" s="187"/>
    </row>
    <row r="31" spans="1:21">
      <c r="R31" s="187"/>
    </row>
    <row r="32" spans="1:21">
      <c r="R32" s="187"/>
    </row>
  </sheetData>
  <mergeCells count="2">
    <mergeCell ref="B2:Q2"/>
    <mergeCell ref="R3:U3"/>
  </mergeCells>
  <conditionalFormatting sqref="D6:D17">
    <cfRule type="expression" dxfId="0" priority="1">
      <formula>B6&lt;=TODAY()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263A-E4F3-4F3B-BFF3-886E6EECB26C}">
  <sheetPr codeName="Hoja5"/>
  <dimension ref="B3:U48"/>
  <sheetViews>
    <sheetView topLeftCell="A13" zoomScaleNormal="100" workbookViewId="0">
      <selection activeCell="G43" sqref="G43"/>
    </sheetView>
  </sheetViews>
  <sheetFormatPr baseColWidth="10" defaultColWidth="11.42578125" defaultRowHeight="15"/>
  <cols>
    <col min="1" max="1" width="11.42578125" style="49"/>
    <col min="2" max="2" width="20.42578125" style="49" bestFit="1" customWidth="1"/>
    <col min="3" max="10" width="11.42578125" style="49"/>
    <col min="11" max="11" width="14.28515625" style="49" customWidth="1"/>
    <col min="12" max="16384" width="11.42578125" style="49"/>
  </cols>
  <sheetData>
    <row r="3" spans="2:21">
      <c r="B3" s="95" t="s">
        <v>52</v>
      </c>
      <c r="J3" s="49" t="s">
        <v>66</v>
      </c>
      <c r="K3" s="49">
        <v>1</v>
      </c>
    </row>
    <row r="4" spans="2:21">
      <c r="B4" s="96" t="s">
        <v>53</v>
      </c>
      <c r="C4" s="97">
        <v>1.444</v>
      </c>
      <c r="D4" s="97">
        <v>0.24099999999999999</v>
      </c>
      <c r="E4" s="97">
        <v>0</v>
      </c>
      <c r="F4" s="97">
        <v>0</v>
      </c>
      <c r="G4" s="97">
        <v>0</v>
      </c>
      <c r="H4" s="97">
        <v>0</v>
      </c>
    </row>
    <row r="5" spans="2:21">
      <c r="B5" s="96" t="s">
        <v>54</v>
      </c>
      <c r="C5" s="97">
        <v>1.952</v>
      </c>
      <c r="D5" s="97">
        <v>0.90200000000000002</v>
      </c>
      <c r="E5" s="97">
        <v>0.60099999999999998</v>
      </c>
      <c r="F5" s="97">
        <v>0.45</v>
      </c>
      <c r="G5" s="97">
        <v>0.45</v>
      </c>
      <c r="H5" s="97">
        <v>0</v>
      </c>
      <c r="K5" s="109" t="s">
        <v>77</v>
      </c>
      <c r="L5" s="109"/>
    </row>
    <row r="6" spans="2:21">
      <c r="B6" s="96" t="s">
        <v>55</v>
      </c>
      <c r="C6" s="97">
        <v>0.83699999999999997</v>
      </c>
      <c r="D6" s="97">
        <v>0.38600000000000001</v>
      </c>
      <c r="E6" s="97">
        <v>0.25700000000000001</v>
      </c>
      <c r="F6" s="97">
        <v>0.193</v>
      </c>
      <c r="G6" s="97">
        <v>0.193</v>
      </c>
      <c r="H6" s="97">
        <v>0</v>
      </c>
      <c r="K6" s="49">
        <v>1.2063666666666668</v>
      </c>
      <c r="L6" s="49">
        <v>1.1772666666666669</v>
      </c>
      <c r="M6" s="49">
        <v>1.0538666666666667</v>
      </c>
      <c r="N6" s="49">
        <v>0.99829999999999997</v>
      </c>
      <c r="O6" s="49">
        <v>0.9887999999999999</v>
      </c>
      <c r="P6" s="49">
        <v>0.92466666666666664</v>
      </c>
      <c r="Q6" s="109">
        <f>SUMPRODUCT(K6:P6,'ELECTRICIDAD 2022'!C5:H5)/'ELECTRICIDAD 2022'!I5</f>
        <v>1.01706723432805</v>
      </c>
    </row>
    <row r="7" spans="2:21">
      <c r="B7" s="96" t="s">
        <v>56</v>
      </c>
      <c r="C7" s="97">
        <v>0.83699999999999997</v>
      </c>
      <c r="D7" s="97">
        <v>0.38600000000000001</v>
      </c>
      <c r="E7" s="97">
        <v>0.25700000000000001</v>
      </c>
      <c r="F7" s="97">
        <v>0.193</v>
      </c>
      <c r="G7" s="97">
        <v>0.193</v>
      </c>
      <c r="H7" s="97">
        <v>0</v>
      </c>
    </row>
    <row r="8" spans="2:21">
      <c r="B8" s="96" t="s">
        <v>57</v>
      </c>
      <c r="C8" s="97">
        <v>0.83699999999999997</v>
      </c>
      <c r="D8" s="97">
        <v>0.38600000000000001</v>
      </c>
      <c r="E8" s="97">
        <v>0.25700000000000001</v>
      </c>
      <c r="F8" s="97">
        <v>0.193</v>
      </c>
      <c r="G8" s="97">
        <v>0.193</v>
      </c>
      <c r="H8" s="97">
        <v>0</v>
      </c>
    </row>
    <row r="9" spans="2:21">
      <c r="B9" s="96" t="s">
        <v>58</v>
      </c>
      <c r="C9" s="97">
        <v>0.83699999999999997</v>
      </c>
      <c r="D9" s="97">
        <v>0.38600000000000001</v>
      </c>
      <c r="E9" s="97">
        <v>0.25700000000000001</v>
      </c>
      <c r="F9" s="97">
        <v>0.193</v>
      </c>
      <c r="G9" s="97">
        <v>0.193</v>
      </c>
      <c r="H9" s="97">
        <v>0</v>
      </c>
      <c r="K9" s="185" t="s">
        <v>102</v>
      </c>
      <c r="L9" s="185"/>
      <c r="M9" s="185"/>
      <c r="N9" s="185"/>
      <c r="O9" s="184"/>
      <c r="P9" s="184"/>
      <c r="Q9" s="184"/>
      <c r="R9" s="184"/>
      <c r="S9" s="184"/>
      <c r="T9" s="184"/>
      <c r="U9" s="184"/>
    </row>
    <row r="11" spans="2:21">
      <c r="B11" s="98" t="s">
        <v>59</v>
      </c>
      <c r="L11" s="108"/>
      <c r="M11" s="108"/>
      <c r="N11" s="108" t="s">
        <v>36</v>
      </c>
      <c r="O11" s="108"/>
      <c r="P11" s="108" t="s">
        <v>0</v>
      </c>
      <c r="Q11" s="108" t="s">
        <v>1</v>
      </c>
      <c r="R11" s="108" t="s">
        <v>2</v>
      </c>
      <c r="S11" s="108" t="s">
        <v>3</v>
      </c>
      <c r="T11" s="108" t="s">
        <v>4</v>
      </c>
      <c r="U11" s="108" t="s">
        <v>5</v>
      </c>
    </row>
    <row r="12" spans="2:21">
      <c r="B12" s="96" t="s">
        <v>53</v>
      </c>
      <c r="C12" s="99">
        <v>0.156</v>
      </c>
      <c r="D12" s="99">
        <v>0.16600000000000001</v>
      </c>
      <c r="E12" s="99">
        <v>0.19500000000000001</v>
      </c>
      <c r="F12" s="99">
        <v>0</v>
      </c>
      <c r="G12" s="99">
        <v>0</v>
      </c>
      <c r="H12" s="99">
        <v>0</v>
      </c>
      <c r="K12" s="50">
        <v>44562</v>
      </c>
      <c r="L12" s="114">
        <f>Resumen_ELEC!Q6</f>
        <v>193.21105263157892</v>
      </c>
      <c r="N12" s="49">
        <v>3.77270161290323</v>
      </c>
      <c r="P12" s="49">
        <f>($L12*K$6+$N12+C$7+$C$35+$C$36+$C$37+$K$3+$C$39)*(1+C$15)*1.015</f>
        <v>254.81168576878895</v>
      </c>
      <c r="Q12" s="49">
        <f t="shared" ref="Q12:U12" si="0">($L12*L$6+$N12+D$7+$C$35+$C$36+$C$37+$K$3+$C$39)*(1+D$15)*1.015</f>
        <v>249.75044491213919</v>
      </c>
      <c r="R12" s="49">
        <f t="shared" si="0"/>
        <v>221.70130912152322</v>
      </c>
      <c r="S12" s="49">
        <f t="shared" si="0"/>
        <v>210.03396771224106</v>
      </c>
      <c r="T12" s="49">
        <f t="shared" si="0"/>
        <v>206.69320860988324</v>
      </c>
      <c r="U12" s="49">
        <f t="shared" si="0"/>
        <v>197.34822130498546</v>
      </c>
    </row>
    <row r="13" spans="2:21">
      <c r="B13" s="96" t="s">
        <v>54</v>
      </c>
      <c r="C13" s="99">
        <v>0.16200000000000001</v>
      </c>
      <c r="D13" s="99">
        <v>0.184</v>
      </c>
      <c r="E13" s="99">
        <v>0.154</v>
      </c>
      <c r="F13" s="99">
        <v>0.15</v>
      </c>
      <c r="G13" s="99">
        <v>0.151</v>
      </c>
      <c r="H13" s="99">
        <v>0.19500000000000001</v>
      </c>
      <c r="K13" s="50">
        <v>44593</v>
      </c>
      <c r="L13" s="114">
        <f>Resumen_ELEC!Q7</f>
        <v>191.5</v>
      </c>
      <c r="N13" s="49">
        <v>4.1507886904761904</v>
      </c>
      <c r="P13" s="49">
        <f t="shared" ref="P13:P23" si="1">($L13*K$6+$N13+C$7+$C$35+$C$36+$C$37+$K$3+$C$39)*(1+C$15)*1.015</f>
        <v>253.01304553771249</v>
      </c>
      <c r="Q13" s="49">
        <f t="shared" ref="Q13:Q23" si="2">($L13*L$6+$N13+D$7+$C$35+$C$36+$C$37+$K$3+$C$39)*(1+D$15)*1.015</f>
        <v>247.99495571698753</v>
      </c>
      <c r="R13" s="49">
        <f t="shared" ref="R13:R23" si="3">($L13*M$6+$N13+E$7+$C$35+$C$36+$C$37+$K$3+$C$39)*(1+E$15)*1.015</f>
        <v>220.188258333525</v>
      </c>
      <c r="S13" s="49">
        <f t="shared" ref="S13:S23" si="4">($L13*N$6+$N13+F$7+$C$35+$C$36+$C$37+$K$3+$C$39)*(1+F$15)*1.015</f>
        <v>208.62320975352083</v>
      </c>
      <c r="T13" s="49">
        <f t="shared" ref="T13:T23" si="5">($L13*O$6+$N13+G$7+$C$35+$C$36+$C$37+$K$3+$C$39)*(1+G$15)*1.015</f>
        <v>205.30902648482495</v>
      </c>
      <c r="U13" s="49">
        <f t="shared" ref="U13:U23" si="6">($L13*P$6+$N13+H$7+$C$35+$C$36+$C$37+$K$3+$C$39)*(1+H$15)*1.015</f>
        <v>196.05398854766247</v>
      </c>
    </row>
    <row r="14" spans="2:21">
      <c r="B14" s="96" t="s">
        <v>55</v>
      </c>
      <c r="C14" s="99">
        <v>6.5000000000000002E-2</v>
      </c>
      <c r="D14" s="99">
        <v>7.1999999999999995E-2</v>
      </c>
      <c r="E14" s="99">
        <v>6.0999999999999999E-2</v>
      </c>
      <c r="F14" s="99">
        <v>5.8999999999999997E-2</v>
      </c>
      <c r="G14" s="99">
        <v>4.7E-2</v>
      </c>
      <c r="H14" s="99">
        <v>8.3000000000000004E-2</v>
      </c>
      <c r="K14" s="50">
        <v>44621</v>
      </c>
      <c r="L14" s="114">
        <f>Resumen_ELEC!Q8</f>
        <v>179</v>
      </c>
      <c r="N14" s="49">
        <v>3.3688694481830415</v>
      </c>
      <c r="P14" s="49">
        <f t="shared" si="1"/>
        <v>236.09254974262427</v>
      </c>
      <c r="Q14" s="49">
        <f t="shared" si="2"/>
        <v>231.36811437746374</v>
      </c>
      <c r="R14" s="49">
        <f t="shared" si="3"/>
        <v>205.37210622650809</v>
      </c>
      <c r="S14" s="49">
        <f t="shared" si="4"/>
        <v>194.55794940495153</v>
      </c>
      <c r="T14" s="49">
        <f t="shared" si="5"/>
        <v>191.46309462872219</v>
      </c>
      <c r="U14" s="49">
        <f t="shared" si="6"/>
        <v>182.78963615791019</v>
      </c>
    </row>
    <row r="15" spans="2:21">
      <c r="B15" s="96" t="s">
        <v>56</v>
      </c>
      <c r="C15" s="99">
        <v>5.0999999999999997E-2</v>
      </c>
      <c r="D15" s="99">
        <v>5.7000000000000002E-2</v>
      </c>
      <c r="E15" s="99">
        <v>4.5999999999999999E-2</v>
      </c>
      <c r="F15" s="99">
        <v>4.4999999999999998E-2</v>
      </c>
      <c r="G15" s="99">
        <v>3.7999999999999999E-2</v>
      </c>
      <c r="H15" s="99">
        <v>5.8999999999999997E-2</v>
      </c>
      <c r="K15" s="50">
        <v>44652</v>
      </c>
      <c r="L15" s="114">
        <f>Resumen_ELEC!Q9</f>
        <v>166</v>
      </c>
      <c r="N15" s="49">
        <v>3.2393749999999986</v>
      </c>
      <c r="P15" s="49">
        <f t="shared" si="1"/>
        <v>219.22458301444166</v>
      </c>
      <c r="Q15" s="49">
        <f t="shared" si="2"/>
        <v>214.80971202559166</v>
      </c>
      <c r="R15" s="49">
        <f t="shared" si="3"/>
        <v>190.68918714848334</v>
      </c>
      <c r="S15" s="49">
        <f t="shared" si="4"/>
        <v>180.65526379862499</v>
      </c>
      <c r="T15" s="49">
        <f t="shared" si="5"/>
        <v>177.78365295494999</v>
      </c>
      <c r="U15" s="49">
        <f t="shared" si="6"/>
        <v>169.72961022797497</v>
      </c>
    </row>
    <row r="16" spans="2:21">
      <c r="B16" s="96" t="s">
        <v>57</v>
      </c>
      <c r="C16" s="99">
        <v>4.1000000000000002E-2</v>
      </c>
      <c r="D16" s="99">
        <v>4.4999999999999998E-2</v>
      </c>
      <c r="E16" s="99">
        <v>3.6999999999999998E-2</v>
      </c>
      <c r="F16" s="99">
        <v>3.5999999999999997E-2</v>
      </c>
      <c r="G16" s="99">
        <v>3.3000000000000002E-2</v>
      </c>
      <c r="H16" s="99">
        <v>4.8000000000000001E-2</v>
      </c>
      <c r="K16" s="50">
        <v>44682</v>
      </c>
      <c r="L16" s="114">
        <f>Resumen_ELEC!Q10</f>
        <v>166</v>
      </c>
      <c r="N16" s="49">
        <v>4.1015053763440852</v>
      </c>
      <c r="P16" s="49">
        <f t="shared" si="1"/>
        <v>220.14427352536237</v>
      </c>
      <c r="Q16" s="49">
        <f t="shared" si="2"/>
        <v>215.73465291050434</v>
      </c>
      <c r="R16" s="49">
        <f t="shared" si="3"/>
        <v>191.60450234774407</v>
      </c>
      <c r="S16" s="49">
        <f t="shared" si="4"/>
        <v>181.56970393555372</v>
      </c>
      <c r="T16" s="49">
        <f t="shared" si="5"/>
        <v>178.69196765555481</v>
      </c>
      <c r="U16" s="49">
        <f t="shared" si="6"/>
        <v>170.65630123755159</v>
      </c>
    </row>
    <row r="17" spans="2:21">
      <c r="B17" s="96" t="s">
        <v>58</v>
      </c>
      <c r="C17" s="99">
        <v>1.6E-2</v>
      </c>
      <c r="D17" s="99">
        <v>1.7000000000000001E-2</v>
      </c>
      <c r="E17" s="99">
        <v>1.4999999999999999E-2</v>
      </c>
      <c r="F17" s="99">
        <v>1.4999999999999999E-2</v>
      </c>
      <c r="G17" s="99">
        <v>1.6E-2</v>
      </c>
      <c r="H17" s="99">
        <v>1.7999999999999999E-2</v>
      </c>
      <c r="K17" s="50">
        <v>44713</v>
      </c>
      <c r="L17" s="114">
        <f>Resumen_ELEC!Q11</f>
        <v>153.87</v>
      </c>
      <c r="N17" s="49">
        <v>3.1590694444444449</v>
      </c>
      <c r="P17" s="49">
        <f t="shared" si="1"/>
        <v>203.52870074663778</v>
      </c>
      <c r="Q17" s="49">
        <f t="shared" si="2"/>
        <v>199.40292391692947</v>
      </c>
      <c r="R17" s="49">
        <f t="shared" si="3"/>
        <v>177.03191676603223</v>
      </c>
      <c r="S17" s="49">
        <f t="shared" si="4"/>
        <v>167.7259701326611</v>
      </c>
      <c r="T17" s="49">
        <f t="shared" si="5"/>
        <v>165.06237513670331</v>
      </c>
      <c r="U17" s="49">
        <f t="shared" si="6"/>
        <v>157.58715868799163</v>
      </c>
    </row>
    <row r="18" spans="2:21">
      <c r="K18" s="50">
        <v>44743</v>
      </c>
      <c r="L18" s="114">
        <f>Resumen_ELEC!Q12</f>
        <v>162.75</v>
      </c>
      <c r="N18" s="49">
        <v>3.1607661290322571</v>
      </c>
      <c r="P18" s="49">
        <f t="shared" si="1"/>
        <v>214.95826917641207</v>
      </c>
      <c r="Q18" s="49">
        <f t="shared" si="2"/>
        <v>210.6205077089129</v>
      </c>
      <c r="R18" s="49">
        <f t="shared" si="3"/>
        <v>186.96936986693228</v>
      </c>
      <c r="S18" s="49">
        <f t="shared" si="4"/>
        <v>177.13055181378627</v>
      </c>
      <c r="T18" s="49">
        <f t="shared" si="5"/>
        <v>174.31508045476448</v>
      </c>
      <c r="U18" s="49">
        <f t="shared" si="6"/>
        <v>166.4149061592048</v>
      </c>
    </row>
    <row r="19" spans="2:21">
      <c r="B19" s="98" t="s">
        <v>60</v>
      </c>
      <c r="K19" s="50">
        <v>44774</v>
      </c>
      <c r="L19" s="114">
        <f>Resumen_ELEC!Q13</f>
        <v>162.75</v>
      </c>
      <c r="N19" s="49">
        <v>4.7496639784946284</v>
      </c>
      <c r="P19" s="49">
        <f t="shared" si="1"/>
        <v>216.65324979079381</v>
      </c>
      <c r="Q19" s="49">
        <f t="shared" si="2"/>
        <v>212.32516471119786</v>
      </c>
      <c r="R19" s="49">
        <f t="shared" si="3"/>
        <v>188.65628682472797</v>
      </c>
      <c r="S19" s="49">
        <f t="shared" si="4"/>
        <v>178.81585604026475</v>
      </c>
      <c r="T19" s="49">
        <f t="shared" si="5"/>
        <v>175.98909556202256</v>
      </c>
      <c r="U19" s="49">
        <f t="shared" si="6"/>
        <v>168.12278862412418</v>
      </c>
    </row>
    <row r="20" spans="2:21">
      <c r="B20" s="96" t="s">
        <v>53</v>
      </c>
      <c r="C20" s="97">
        <v>100.75600000000001</v>
      </c>
      <c r="D20" s="97">
        <v>33.74</v>
      </c>
      <c r="E20" s="97">
        <v>4.351</v>
      </c>
      <c r="F20" s="97">
        <v>0</v>
      </c>
      <c r="G20" s="97">
        <v>0</v>
      </c>
      <c r="H20" s="97">
        <v>0</v>
      </c>
      <c r="K20" s="50">
        <v>44805</v>
      </c>
      <c r="L20" s="114">
        <f>Resumen_ELEC!Q14</f>
        <v>162.75</v>
      </c>
      <c r="N20" s="49">
        <v>3.9845138888888849</v>
      </c>
      <c r="P20" s="49">
        <f t="shared" si="1"/>
        <v>215.83701445545555</v>
      </c>
      <c r="Q20" s="49">
        <f t="shared" si="2"/>
        <v>211.5042696118139</v>
      </c>
      <c r="R20" s="49">
        <f t="shared" si="3"/>
        <v>187.84393462609447</v>
      </c>
      <c r="S20" s="49">
        <f t="shared" si="4"/>
        <v>178.00428046897221</v>
      </c>
      <c r="T20" s="49">
        <f t="shared" si="5"/>
        <v>175.18295638211666</v>
      </c>
      <c r="U20" s="49">
        <f t="shared" si="6"/>
        <v>167.30034027005831</v>
      </c>
    </row>
    <row r="21" spans="2:21">
      <c r="B21" s="96" t="s">
        <v>54</v>
      </c>
      <c r="C21" s="97">
        <v>58.429999999999993</v>
      </c>
      <c r="D21" s="97">
        <v>44.686000000000007</v>
      </c>
      <c r="E21" s="97">
        <v>24.226000000000003</v>
      </c>
      <c r="F21" s="97">
        <v>13.496999999999998</v>
      </c>
      <c r="G21" s="97">
        <v>5.5360000000000005</v>
      </c>
      <c r="H21" s="97">
        <v>3.5750000000000002</v>
      </c>
      <c r="K21" s="50">
        <v>44835</v>
      </c>
      <c r="L21" s="114">
        <f>Resumen_ELEC!Q15</f>
        <v>165.5</v>
      </c>
      <c r="N21" s="49">
        <v>3.009154362416107</v>
      </c>
      <c r="P21" s="49">
        <f t="shared" si="1"/>
        <v>218.33553682740614</v>
      </c>
      <c r="Q21" s="49">
        <f t="shared" si="2"/>
        <v>213.93120044862326</v>
      </c>
      <c r="R21" s="49">
        <f t="shared" si="3"/>
        <v>189.88532434910022</v>
      </c>
      <c r="S21" s="49">
        <f t="shared" si="4"/>
        <v>179.8816385976057</v>
      </c>
      <c r="T21" s="49">
        <f t="shared" si="5"/>
        <v>177.02021438981069</v>
      </c>
      <c r="U21" s="49">
        <f t="shared" si="6"/>
        <v>168.9851943529456</v>
      </c>
    </row>
    <row r="22" spans="2:21">
      <c r="B22" s="96" t="s">
        <v>55</v>
      </c>
      <c r="C22" s="97">
        <v>39.483000000000004</v>
      </c>
      <c r="D22" s="97">
        <v>30.631</v>
      </c>
      <c r="E22" s="97">
        <v>16.972000000000001</v>
      </c>
      <c r="F22" s="97">
        <v>9.8520000000000003</v>
      </c>
      <c r="G22" s="97">
        <v>3.1510000000000002</v>
      </c>
      <c r="H22" s="97">
        <v>2.085</v>
      </c>
      <c r="K22" s="50">
        <v>44866</v>
      </c>
      <c r="L22" s="114">
        <f>Resumen_ELEC!Q16</f>
        <v>165.5</v>
      </c>
      <c r="N22" s="49">
        <v>2.949722222222221</v>
      </c>
      <c r="P22" s="49">
        <f t="shared" si="1"/>
        <v>218.27213670037222</v>
      </c>
      <c r="Q22" s="49">
        <f t="shared" si="2"/>
        <v>213.86743837985557</v>
      </c>
      <c r="R22" s="49">
        <f t="shared" si="3"/>
        <v>189.82222584017779</v>
      </c>
      <c r="S22" s="49">
        <f t="shared" si="4"/>
        <v>179.81860041230553</v>
      </c>
      <c r="T22" s="49">
        <f t="shared" si="5"/>
        <v>176.95759846986664</v>
      </c>
      <c r="U22" s="49">
        <f t="shared" si="6"/>
        <v>168.9213116369333</v>
      </c>
    </row>
    <row r="23" spans="2:21">
      <c r="B23" s="96" t="s">
        <v>56</v>
      </c>
      <c r="C23" s="97">
        <v>19.545999999999999</v>
      </c>
      <c r="D23" s="97">
        <v>15.216000000000001</v>
      </c>
      <c r="E23" s="97">
        <v>8.3790000000000013</v>
      </c>
      <c r="F23" s="97">
        <v>5.0299999999999994</v>
      </c>
      <c r="G23" s="97">
        <v>1.5049999999999999</v>
      </c>
      <c r="H23" s="97">
        <v>1.0040000000000002</v>
      </c>
      <c r="K23" s="50">
        <v>44896</v>
      </c>
      <c r="L23" s="114">
        <f>Resumen_ELEC!Q17</f>
        <v>165.5</v>
      </c>
      <c r="N23" s="49">
        <v>2.7174327956989246</v>
      </c>
      <c r="P23" s="49">
        <f t="shared" si="1"/>
        <v>218.02433847028709</v>
      </c>
      <c r="Q23" s="49">
        <f t="shared" si="2"/>
        <v>213.61822550716292</v>
      </c>
      <c r="R23" s="49">
        <f t="shared" si="3"/>
        <v>189.57560647893229</v>
      </c>
      <c r="S23" s="49">
        <f t="shared" si="4"/>
        <v>179.57221682482796</v>
      </c>
      <c r="T23" s="49">
        <f t="shared" si="5"/>
        <v>176.71286529876448</v>
      </c>
      <c r="U23" s="49">
        <f t="shared" si="6"/>
        <v>168.67162721670482</v>
      </c>
    </row>
    <row r="24" spans="2:21">
      <c r="B24" s="96" t="s">
        <v>57</v>
      </c>
      <c r="C24" s="97">
        <v>16.280999999999999</v>
      </c>
      <c r="D24" s="97">
        <v>12.817</v>
      </c>
      <c r="E24" s="97">
        <v>7.32</v>
      </c>
      <c r="F24" s="97">
        <v>3.581</v>
      </c>
      <c r="G24" s="97">
        <v>1.3259999999999998</v>
      </c>
      <c r="H24" s="97">
        <v>0.91599999999999993</v>
      </c>
    </row>
    <row r="25" spans="2:21">
      <c r="B25" s="96" t="s">
        <v>58</v>
      </c>
      <c r="C25" s="97">
        <v>10.278</v>
      </c>
      <c r="D25" s="97">
        <v>8.1370000000000005</v>
      </c>
      <c r="E25" s="97">
        <v>4.3560000000000008</v>
      </c>
      <c r="F25" s="97">
        <v>3.0789999999999997</v>
      </c>
      <c r="G25" s="97">
        <v>0.56999999999999995</v>
      </c>
      <c r="H25" s="97">
        <v>0.41499999999999998</v>
      </c>
      <c r="L25" s="101">
        <f>+AVERAGE(L12:L23)</f>
        <v>169.52758771929825</v>
      </c>
    </row>
    <row r="26" spans="2:21">
      <c r="L26" s="49">
        <f>+L25*Q6</f>
        <v>172.42095478397258</v>
      </c>
    </row>
    <row r="27" spans="2:21">
      <c r="B27" s="98" t="s">
        <v>61</v>
      </c>
      <c r="L27" s="49">
        <f>+L26/1000</f>
        <v>0.17242095478397257</v>
      </c>
    </row>
    <row r="28" spans="2:21">
      <c r="B28" s="96" t="s">
        <v>53</v>
      </c>
      <c r="C28" s="97">
        <v>27.958788999999999</v>
      </c>
      <c r="D28" s="97">
        <v>1.258556</v>
      </c>
      <c r="E28" s="97"/>
      <c r="F28" s="97"/>
      <c r="G28" s="97"/>
      <c r="H28" s="97"/>
    </row>
    <row r="29" spans="2:21">
      <c r="B29" s="96" t="s">
        <v>54</v>
      </c>
      <c r="C29" s="97">
        <v>16.670218999999999</v>
      </c>
      <c r="D29" s="97">
        <v>12.243338000000001</v>
      </c>
      <c r="E29" s="97">
        <v>5.9340829999999993</v>
      </c>
      <c r="F29" s="97">
        <v>5.0483099999999999</v>
      </c>
      <c r="G29" s="97">
        <v>3.368404</v>
      </c>
      <c r="H29" s="97">
        <v>2.1522160000000001</v>
      </c>
    </row>
    <row r="30" spans="2:21">
      <c r="B30" s="96" t="s">
        <v>55</v>
      </c>
      <c r="C30" s="97">
        <v>24.732071999999999</v>
      </c>
      <c r="D30" s="97">
        <v>21.529344999999999</v>
      </c>
      <c r="E30" s="97">
        <v>12.319941</v>
      </c>
      <c r="F30" s="97">
        <v>9.897259</v>
      </c>
      <c r="G30" s="97">
        <v>2.83392</v>
      </c>
      <c r="H30" s="97">
        <v>1.571094</v>
      </c>
    </row>
    <row r="31" spans="2:21">
      <c r="B31" s="96" t="s">
        <v>56</v>
      </c>
      <c r="C31" s="97">
        <v>17.357804000000002</v>
      </c>
      <c r="D31" s="97">
        <v>15.477352</v>
      </c>
      <c r="E31" s="97">
        <v>8.0180159999999994</v>
      </c>
      <c r="F31" s="97">
        <v>7.4178310000000005</v>
      </c>
      <c r="G31" s="97">
        <v>1.787506</v>
      </c>
      <c r="H31" s="97">
        <v>1.0459320000000001</v>
      </c>
      <c r="J31" s="109" t="s">
        <v>84</v>
      </c>
      <c r="K31" s="109"/>
      <c r="L31" s="109"/>
    </row>
    <row r="32" spans="2:21">
      <c r="B32" s="96" t="s">
        <v>57</v>
      </c>
      <c r="C32" s="97">
        <v>13.035548</v>
      </c>
      <c r="D32" s="97">
        <v>11.529584</v>
      </c>
      <c r="E32" s="97">
        <v>6.6391679999999997</v>
      </c>
      <c r="F32" s="97">
        <v>4.3369710000000001</v>
      </c>
      <c r="G32" s="97">
        <v>1.7341580000000001</v>
      </c>
      <c r="H32" s="97">
        <v>1.140563</v>
      </c>
    </row>
    <row r="33" spans="2:21">
      <c r="B33" s="96" t="s">
        <v>58</v>
      </c>
      <c r="C33" s="97">
        <v>11.788959</v>
      </c>
      <c r="D33" s="97">
        <v>8.6319730000000003</v>
      </c>
      <c r="E33" s="97">
        <v>4.33345</v>
      </c>
      <c r="F33" s="97">
        <v>3.3315049999999999</v>
      </c>
      <c r="G33" s="97">
        <v>1.064335</v>
      </c>
      <c r="H33" s="97">
        <v>0.77388500000000005</v>
      </c>
    </row>
    <row r="34" spans="2:21">
      <c r="K34" s="185" t="s">
        <v>103</v>
      </c>
      <c r="L34" s="185"/>
      <c r="M34" s="185"/>
      <c r="N34" s="185"/>
      <c r="O34" s="184"/>
      <c r="P34" s="184"/>
      <c r="Q34" s="184"/>
      <c r="R34" s="184"/>
      <c r="S34" s="184"/>
      <c r="T34" s="184"/>
      <c r="U34" s="184"/>
    </row>
    <row r="35" spans="2:21">
      <c r="B35" s="95" t="s">
        <v>62</v>
      </c>
      <c r="C35" s="100">
        <v>2.657E-2</v>
      </c>
    </row>
    <row r="36" spans="2:21">
      <c r="B36" s="95" t="s">
        <v>63</v>
      </c>
      <c r="C36" s="100">
        <v>0.14429</v>
      </c>
      <c r="L36" s="108"/>
      <c r="M36" s="108"/>
      <c r="N36" s="108" t="s">
        <v>36</v>
      </c>
      <c r="O36" s="108"/>
      <c r="P36" s="108" t="s">
        <v>0</v>
      </c>
      <c r="Q36" s="108" t="s">
        <v>1</v>
      </c>
      <c r="R36" s="108" t="s">
        <v>2</v>
      </c>
      <c r="S36" s="108" t="s">
        <v>3</v>
      </c>
      <c r="T36" s="108" t="s">
        <v>4</v>
      </c>
      <c r="U36" s="108" t="s">
        <v>5</v>
      </c>
    </row>
    <row r="37" spans="2:21">
      <c r="B37" s="95" t="s">
        <v>64</v>
      </c>
      <c r="C37" s="100">
        <v>0</v>
      </c>
      <c r="K37" s="50">
        <v>44927</v>
      </c>
      <c r="L37" s="114">
        <f>Resumen_ELEC!Q23</f>
        <v>160</v>
      </c>
      <c r="N37" s="49">
        <v>3.77270161290323</v>
      </c>
      <c r="P37" s="49">
        <f>($L37*K$6+$N37+C$7+$C$35+$C$36+$C$37+$K$3+$C$39)*(1+C$15)*1.015</f>
        <v>212.07205875565538</v>
      </c>
      <c r="Q37" s="49">
        <f t="shared" ref="Q37:Q48" si="7">($L37*L$6+$N37+D$7+$C$35+$C$36+$C$37+$K$3+$C$39)*(1+D$15)*1.015</f>
        <v>207.80367557087797</v>
      </c>
      <c r="R37" s="49">
        <f t="shared" ref="R37:R48" si="8">($L37*M$6+$N37+E$7+$C$35+$C$36+$C$37+$K$3+$C$39)*(1+E$15)*1.015</f>
        <v>184.54213647213658</v>
      </c>
      <c r="S37" s="49">
        <f t="shared" ref="S37:S48" si="9">($L37*N$6+$N37+F$7+$C$35+$C$36+$C$37+$K$3+$C$39)*(1+F$15)*1.015</f>
        <v>174.86771888876615</v>
      </c>
      <c r="T37" s="49">
        <f t="shared" ref="T37:T48" si="10">($L37*O$6+$N37+G$7+$C$35+$C$36+$C$37+$K$3+$C$39)*(1+G$15)*1.015</f>
        <v>172.09492977850641</v>
      </c>
      <c r="U37" s="49">
        <f t="shared" ref="U37:U48" si="11">($L37*P$6+$N37+H$7+$C$35+$C$36+$C$37+$K$3+$C$39)*(1+H$15)*1.015</f>
        <v>164.33941302428548</v>
      </c>
    </row>
    <row r="38" spans="2:21">
      <c r="B38" s="95" t="s">
        <v>65</v>
      </c>
      <c r="C38" s="182">
        <v>0.26</v>
      </c>
      <c r="K38" s="50">
        <v>44928</v>
      </c>
      <c r="L38" s="114">
        <f>Resumen_ELEC!Q24</f>
        <v>160</v>
      </c>
      <c r="N38" s="49">
        <v>4.1507886904761904</v>
      </c>
      <c r="P38" s="49">
        <f t="shared" ref="P38:P48" si="12">($L38*K$6+$N38+C$7+$C$35+$C$36+$C$37+$K$3+$C$39)*(1+C$15)*1.015</f>
        <v>212.47538881696246</v>
      </c>
      <c r="Q38" s="49">
        <f t="shared" si="7"/>
        <v>208.20930818248752</v>
      </c>
      <c r="R38" s="49">
        <f t="shared" si="8"/>
        <v>184.94354774152501</v>
      </c>
      <c r="S38" s="49">
        <f t="shared" si="9"/>
        <v>175.26874639977081</v>
      </c>
      <c r="T38" s="49">
        <f t="shared" si="10"/>
        <v>172.49327098082497</v>
      </c>
      <c r="U38" s="49">
        <f t="shared" si="11"/>
        <v>164.74581315266246</v>
      </c>
    </row>
    <row r="39" spans="2:21">
      <c r="B39" s="98" t="s">
        <v>78</v>
      </c>
      <c r="C39" s="183">
        <v>0</v>
      </c>
      <c r="K39" s="50">
        <v>44929</v>
      </c>
      <c r="L39" s="114">
        <f>Resumen_ELEC!Q25</f>
        <v>160</v>
      </c>
      <c r="N39" s="49">
        <v>3.3688694481830415</v>
      </c>
      <c r="P39" s="49">
        <f t="shared" si="12"/>
        <v>211.64126473645763</v>
      </c>
      <c r="Q39" s="49">
        <f t="shared" si="7"/>
        <v>207.3704222137971</v>
      </c>
      <c r="R39" s="49">
        <f t="shared" si="8"/>
        <v>184.11339190117479</v>
      </c>
      <c r="S39" s="49">
        <f t="shared" si="9"/>
        <v>174.43938420745155</v>
      </c>
      <c r="T39" s="49">
        <f t="shared" si="10"/>
        <v>171.66946432472218</v>
      </c>
      <c r="U39" s="49">
        <f t="shared" si="11"/>
        <v>163.9053398879102</v>
      </c>
    </row>
    <row r="40" spans="2:21">
      <c r="K40" s="50">
        <v>44930</v>
      </c>
      <c r="L40" s="114">
        <f>Resumen_ELEC!Q26</f>
        <v>82.49</v>
      </c>
      <c r="N40" s="49">
        <v>3.2393749999999986</v>
      </c>
      <c r="P40" s="49">
        <f t="shared" si="12"/>
        <v>111.75475086365333</v>
      </c>
      <c r="Q40" s="49">
        <f t="shared" si="7"/>
        <v>109.33353978412833</v>
      </c>
      <c r="R40" s="49">
        <f t="shared" si="8"/>
        <v>97.251543290136652</v>
      </c>
      <c r="S40" s="49">
        <f t="shared" si="9"/>
        <v>92.228875396349963</v>
      </c>
      <c r="T40" s="49">
        <f t="shared" si="10"/>
        <v>90.785438918789978</v>
      </c>
      <c r="U40" s="49">
        <f t="shared" si="11"/>
        <v>86.728158569674974</v>
      </c>
    </row>
    <row r="41" spans="2:21">
      <c r="K41" s="50">
        <v>44931</v>
      </c>
      <c r="L41" s="114">
        <f>Resumen_ELEC!Q27</f>
        <v>82.49</v>
      </c>
      <c r="N41" s="49">
        <v>4.1015053763440852</v>
      </c>
      <c r="P41" s="49">
        <f t="shared" si="12"/>
        <v>112.67444137457402</v>
      </c>
      <c r="Q41" s="49">
        <f t="shared" si="7"/>
        <v>110.25848066904098</v>
      </c>
      <c r="R41" s="49">
        <f t="shared" si="8"/>
        <v>98.166858489397413</v>
      </c>
      <c r="S41" s="49">
        <f t="shared" si="9"/>
        <v>93.143315533278724</v>
      </c>
      <c r="T41" s="49">
        <f t="shared" si="10"/>
        <v>91.693753619394812</v>
      </c>
      <c r="U41" s="49">
        <f t="shared" si="11"/>
        <v>87.654849579251589</v>
      </c>
    </row>
    <row r="42" spans="2:21">
      <c r="K42" s="50">
        <v>44932</v>
      </c>
      <c r="L42" s="114">
        <f>Resumen_ELEC!Q28</f>
        <v>82.49</v>
      </c>
      <c r="N42" s="49">
        <v>3.1590694444444449</v>
      </c>
      <c r="P42" s="49">
        <f t="shared" si="12"/>
        <v>111.6690837076811</v>
      </c>
      <c r="Q42" s="49">
        <f t="shared" si="7"/>
        <v>109.24738356732279</v>
      </c>
      <c r="R42" s="49">
        <f t="shared" si="8"/>
        <v>97.166283684858882</v>
      </c>
      <c r="S42" s="49">
        <f t="shared" si="9"/>
        <v>92.143697301211077</v>
      </c>
      <c r="T42" s="49">
        <f t="shared" si="10"/>
        <v>90.700831394623307</v>
      </c>
      <c r="U42" s="49">
        <f t="shared" si="11"/>
        <v>86.641839332591644</v>
      </c>
    </row>
    <row r="43" spans="2:21">
      <c r="K43" s="50">
        <v>44933</v>
      </c>
      <c r="L43" s="114">
        <f>Resumen_ELEC!Q29</f>
        <v>86.26</v>
      </c>
      <c r="N43" s="49">
        <v>3.1607661290322571</v>
      </c>
      <c r="P43" s="49">
        <f t="shared" si="12"/>
        <v>116.52254338053378</v>
      </c>
      <c r="Q43" s="49">
        <f t="shared" si="7"/>
        <v>114.01085120370959</v>
      </c>
      <c r="R43" s="49">
        <f t="shared" si="8"/>
        <v>101.38626151194561</v>
      </c>
      <c r="S43" s="49">
        <f t="shared" si="9"/>
        <v>96.137443816061278</v>
      </c>
      <c r="T43" s="49">
        <f t="shared" si="10"/>
        <v>94.630091930924493</v>
      </c>
      <c r="U43" s="49">
        <f t="shared" si="11"/>
        <v>90.390705017504828</v>
      </c>
    </row>
    <row r="44" spans="2:21">
      <c r="K44" s="50">
        <v>44934</v>
      </c>
      <c r="L44" s="114">
        <f>Resumen_ELEC!Q30</f>
        <v>86.26</v>
      </c>
      <c r="N44" s="49">
        <v>4.7496639784946284</v>
      </c>
      <c r="P44" s="49">
        <f t="shared" si="12"/>
        <v>118.2175239949155</v>
      </c>
      <c r="Q44" s="49">
        <f t="shared" si="7"/>
        <v>115.71550820599452</v>
      </c>
      <c r="R44" s="49">
        <f t="shared" si="8"/>
        <v>103.07317846974131</v>
      </c>
      <c r="S44" s="49">
        <f t="shared" si="9"/>
        <v>97.822748042539772</v>
      </c>
      <c r="T44" s="49">
        <f t="shared" si="10"/>
        <v>96.304107038182565</v>
      </c>
      <c r="U44" s="49">
        <f t="shared" si="11"/>
        <v>92.098587482424179</v>
      </c>
    </row>
    <row r="45" spans="2:21">
      <c r="K45" s="50">
        <v>44935</v>
      </c>
      <c r="L45" s="114">
        <f>Resumen_ELEC!Q31</f>
        <v>86.26</v>
      </c>
      <c r="N45" s="49">
        <v>3.9845138888888849</v>
      </c>
      <c r="P45" s="49">
        <f t="shared" si="12"/>
        <v>117.40128865957723</v>
      </c>
      <c r="Q45" s="49">
        <f t="shared" si="7"/>
        <v>114.89461310661056</v>
      </c>
      <c r="R45" s="49">
        <f t="shared" si="8"/>
        <v>102.26082627110779</v>
      </c>
      <c r="S45" s="49">
        <f t="shared" si="9"/>
        <v>97.011172471247207</v>
      </c>
      <c r="T45" s="49">
        <f t="shared" si="10"/>
        <v>95.497967858276652</v>
      </c>
      <c r="U45" s="49">
        <f t="shared" si="11"/>
        <v>91.276139128358309</v>
      </c>
    </row>
    <row r="46" spans="2:21">
      <c r="K46" s="50">
        <v>44936</v>
      </c>
      <c r="L46" s="114">
        <f>Resumen_ELEC!Q32</f>
        <v>85.29</v>
      </c>
      <c r="N46" s="49">
        <v>3.009154362416107</v>
      </c>
      <c r="P46" s="49">
        <f t="shared" si="12"/>
        <v>115.11250680926783</v>
      </c>
      <c r="Q46" s="49">
        <f t="shared" si="7"/>
        <v>112.62304842505995</v>
      </c>
      <c r="R46" s="49">
        <f t="shared" si="8"/>
        <v>100.13998350515358</v>
      </c>
      <c r="S46" s="49">
        <f t="shared" si="9"/>
        <v>94.949527308580699</v>
      </c>
      <c r="T46" s="49">
        <f t="shared" si="10"/>
        <v>93.459841406450735</v>
      </c>
      <c r="U46" s="49">
        <f t="shared" si="11"/>
        <v>89.26364678364564</v>
      </c>
    </row>
    <row r="47" spans="2:21">
      <c r="K47" s="50">
        <v>44937</v>
      </c>
      <c r="L47" s="114">
        <f>Resumen_ELEC!Q33</f>
        <v>85.29</v>
      </c>
      <c r="N47" s="49">
        <v>2.949722222222221</v>
      </c>
      <c r="P47" s="49">
        <f t="shared" si="12"/>
        <v>115.0491066822339</v>
      </c>
      <c r="Q47" s="49">
        <f t="shared" si="7"/>
        <v>112.55928635629225</v>
      </c>
      <c r="R47" s="49">
        <f t="shared" si="8"/>
        <v>100.07688499623112</v>
      </c>
      <c r="S47" s="49">
        <f t="shared" si="9"/>
        <v>94.886489123280541</v>
      </c>
      <c r="T47" s="49">
        <f t="shared" si="10"/>
        <v>93.397225486506656</v>
      </c>
      <c r="U47" s="49">
        <f t="shared" si="11"/>
        <v>89.199764067633339</v>
      </c>
    </row>
    <row r="48" spans="2:21">
      <c r="K48" s="50">
        <v>44938</v>
      </c>
      <c r="L48" s="114">
        <f>Resumen_ELEC!Q34</f>
        <v>85.29</v>
      </c>
      <c r="N48" s="49">
        <v>2.7174327956989246</v>
      </c>
      <c r="P48" s="49">
        <f t="shared" si="12"/>
        <v>114.80130845214877</v>
      </c>
      <c r="Q48" s="49">
        <f t="shared" si="7"/>
        <v>112.3100734835996</v>
      </c>
      <c r="R48" s="49">
        <f t="shared" si="8"/>
        <v>99.830265634985622</v>
      </c>
      <c r="S48" s="49">
        <f t="shared" si="9"/>
        <v>94.640105535802959</v>
      </c>
      <c r="T48" s="49">
        <f t="shared" si="10"/>
        <v>93.152492315404501</v>
      </c>
      <c r="U48" s="49">
        <f t="shared" si="11"/>
        <v>88.950079647404834</v>
      </c>
    </row>
  </sheetData>
  <phoneticPr fontId="18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Resumen_ELEC</vt:lpstr>
      <vt:lpstr>Resumen_GAS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fannunziato</cp:lastModifiedBy>
  <cp:lastPrinted>2015-09-11T14:51:31Z</cp:lastPrinted>
  <dcterms:created xsi:type="dcterms:W3CDTF">2013-09-11T07:46:02Z</dcterms:created>
  <dcterms:modified xsi:type="dcterms:W3CDTF">2022-02-16T11:02:35Z</dcterms:modified>
</cp:coreProperties>
</file>