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 2009-2018\P-2016-2018\Colquechaca\Proy. LED Macha-Colq (2018-2020)\Proyecto 101-2018-20\"/>
    </mc:Choice>
  </mc:AlternateContent>
  <bookViews>
    <workbookView xWindow="-15" yWindow="45" windowWidth="20430" windowHeight="8100" tabRatio="705"/>
  </bookViews>
  <sheets>
    <sheet name="Pres.Total en Bs. y $us." sheetId="46" r:id="rId1"/>
    <sheet name="Inversiones" sheetId="45" r:id="rId2"/>
    <sheet name="Personal" sheetId="30" r:id="rId3"/>
    <sheet name="Actividades del proyecto" sheetId="47" r:id="rId4"/>
    <sheet name="Gastos de Viaje" sheetId="49" r:id="rId5"/>
    <sheet name="Adm. del Proyecto" sheetId="28" r:id="rId6"/>
    <sheet name="Presup detallado IPTK" sheetId="48" r:id="rId7"/>
  </sheets>
  <definedNames>
    <definedName name="_xlnm._FilterDatabase" localSheetId="3" hidden="1">'Actividades del proyecto'!$B$15:$O$218</definedName>
    <definedName name="_xlnm._FilterDatabase" localSheetId="4" hidden="1">'Gastos de Viaje'!$B$9:$O$17</definedName>
    <definedName name="_xlnm._FilterDatabase" localSheetId="0" hidden="1">'Pres.Total en Bs. y $us.'!$B$7:$R$226</definedName>
    <definedName name="_xlnm._FilterDatabase" localSheetId="6" hidden="1">'Presup detallado IPTK'!$A$8:$Y$530</definedName>
    <definedName name="_xlnm.Print_Area" localSheetId="3">'Actividades del proyecto'!$A$1:$O$219</definedName>
    <definedName name="_xlnm.Print_Area" localSheetId="5">'Adm. del Proyecto'!$A$1:$O$29</definedName>
    <definedName name="_xlnm.Print_Area" localSheetId="4">'Gastos de Viaje'!$A$1:$O$18</definedName>
    <definedName name="_xlnm.Print_Area" localSheetId="0">'Pres.Total en Bs. y $us.'!$B$3:$B$226</definedName>
  </definedNames>
  <calcPr calcId="162913"/>
</workbook>
</file>

<file path=xl/calcChain.xml><?xml version="1.0" encoding="utf-8"?>
<calcChain xmlns="http://schemas.openxmlformats.org/spreadsheetml/2006/main">
  <c r="R226" i="46" l="1"/>
  <c r="G206" i="46"/>
  <c r="E192" i="46" l="1"/>
  <c r="D192" i="46"/>
  <c r="C192" i="46"/>
  <c r="E191" i="46"/>
  <c r="D191" i="46"/>
  <c r="C191" i="46"/>
  <c r="E190" i="46"/>
  <c r="D190" i="46"/>
  <c r="C190" i="46"/>
  <c r="F190" i="46" s="1"/>
  <c r="E189" i="46"/>
  <c r="D189" i="46"/>
  <c r="C189" i="46"/>
  <c r="G178" i="46"/>
  <c r="H178" i="46"/>
  <c r="I178" i="46"/>
  <c r="G179" i="46"/>
  <c r="H179" i="46"/>
  <c r="I179" i="46"/>
  <c r="G180" i="46"/>
  <c r="H180" i="46"/>
  <c r="I180" i="46"/>
  <c r="G181" i="46"/>
  <c r="H181" i="46"/>
  <c r="I181" i="46"/>
  <c r="G182" i="46"/>
  <c r="H182" i="46"/>
  <c r="I182" i="46"/>
  <c r="G183" i="46"/>
  <c r="H183" i="46"/>
  <c r="I183" i="46"/>
  <c r="G184" i="46"/>
  <c r="H184" i="46"/>
  <c r="I184" i="46"/>
  <c r="G185" i="46"/>
  <c r="H185" i="46"/>
  <c r="I185" i="46"/>
  <c r="G186" i="46"/>
  <c r="H186" i="46"/>
  <c r="I186" i="46"/>
  <c r="G187" i="46"/>
  <c r="H187" i="46"/>
  <c r="I187" i="46"/>
  <c r="C178" i="46"/>
  <c r="D178" i="46"/>
  <c r="E178" i="46"/>
  <c r="C179" i="46"/>
  <c r="D179" i="46"/>
  <c r="E179" i="46"/>
  <c r="C180" i="46"/>
  <c r="D180" i="46"/>
  <c r="E180" i="46"/>
  <c r="C181" i="46"/>
  <c r="D181" i="46"/>
  <c r="E181" i="46"/>
  <c r="C182" i="46"/>
  <c r="D182" i="46"/>
  <c r="E182" i="46"/>
  <c r="C183" i="46"/>
  <c r="D183" i="46"/>
  <c r="E183" i="46"/>
  <c r="C184" i="46"/>
  <c r="D184" i="46"/>
  <c r="E184" i="46"/>
  <c r="C185" i="46"/>
  <c r="D185" i="46"/>
  <c r="P185" i="46" s="1"/>
  <c r="E185" i="46"/>
  <c r="C186" i="46"/>
  <c r="D186" i="46"/>
  <c r="E186" i="46"/>
  <c r="Q186" i="46" s="1"/>
  <c r="C187" i="46"/>
  <c r="D187" i="46"/>
  <c r="E187" i="46"/>
  <c r="B185" i="46"/>
  <c r="B186" i="46"/>
  <c r="B187" i="46"/>
  <c r="B178" i="46"/>
  <c r="B179" i="46"/>
  <c r="B180" i="46"/>
  <c r="B181" i="46"/>
  <c r="B182" i="46"/>
  <c r="B183" i="46"/>
  <c r="B184" i="46"/>
  <c r="B188" i="46"/>
  <c r="B176" i="46"/>
  <c r="B166" i="46"/>
  <c r="B163" i="46"/>
  <c r="B157" i="46"/>
  <c r="B154" i="46"/>
  <c r="B146" i="46"/>
  <c r="B142" i="46"/>
  <c r="B136" i="46"/>
  <c r="B134" i="46"/>
  <c r="B128" i="46"/>
  <c r="B124" i="46"/>
  <c r="B119" i="46"/>
  <c r="B117" i="46"/>
  <c r="B114" i="46"/>
  <c r="B110" i="46"/>
  <c r="B102" i="46"/>
  <c r="B98" i="46"/>
  <c r="B92" i="46"/>
  <c r="B86" i="46"/>
  <c r="B77" i="46"/>
  <c r="B71" i="46"/>
  <c r="B54" i="46"/>
  <c r="B48" i="46"/>
  <c r="B45" i="46"/>
  <c r="L44" i="46"/>
  <c r="M44" i="46"/>
  <c r="K44" i="46"/>
  <c r="I44" i="46"/>
  <c r="H44" i="46"/>
  <c r="G44" i="46"/>
  <c r="B43" i="46"/>
  <c r="D44" i="46"/>
  <c r="E44" i="46"/>
  <c r="B44" i="46"/>
  <c r="P187" i="46" l="1"/>
  <c r="F186" i="46"/>
  <c r="F187" i="46"/>
  <c r="F185" i="46"/>
  <c r="Q187" i="46"/>
  <c r="J187" i="46"/>
  <c r="P186" i="46"/>
  <c r="Q185" i="46"/>
  <c r="J183" i="46"/>
  <c r="J179" i="46"/>
  <c r="F189" i="46"/>
  <c r="F191" i="46"/>
  <c r="J185" i="46"/>
  <c r="J181" i="46"/>
  <c r="O187" i="46"/>
  <c r="R187" i="46" s="1"/>
  <c r="J184" i="46"/>
  <c r="J180" i="46"/>
  <c r="O186" i="46"/>
  <c r="O185" i="46"/>
  <c r="J186" i="46"/>
  <c r="J182" i="46"/>
  <c r="J178" i="46"/>
  <c r="F192" i="46"/>
  <c r="P44" i="46"/>
  <c r="Q44" i="46"/>
  <c r="J44" i="46"/>
  <c r="N44" i="46"/>
  <c r="R186" i="46" l="1"/>
  <c r="R185" i="46"/>
  <c r="X528" i="48" l="1"/>
  <c r="U528" i="48"/>
  <c r="N528" i="48"/>
  <c r="J528" i="48"/>
  <c r="K528" i="48" s="1"/>
  <c r="G528" i="48"/>
  <c r="P528" i="48" s="1"/>
  <c r="R528" i="48" s="1"/>
  <c r="X527" i="48"/>
  <c r="U527" i="48"/>
  <c r="N527" i="48"/>
  <c r="J527" i="48"/>
  <c r="K527" i="48" s="1"/>
  <c r="G527" i="48"/>
  <c r="P527" i="48" s="1"/>
  <c r="R527" i="48" s="1"/>
  <c r="X526" i="48"/>
  <c r="U526" i="48"/>
  <c r="N526" i="48"/>
  <c r="J526" i="48"/>
  <c r="K526" i="48" s="1"/>
  <c r="G526" i="48"/>
  <c r="P526" i="48" s="1"/>
  <c r="R526" i="48" s="1"/>
  <c r="X524" i="48"/>
  <c r="U524" i="48"/>
  <c r="N524" i="48"/>
  <c r="K524" i="48"/>
  <c r="G524" i="48"/>
  <c r="P524" i="48" s="1"/>
  <c r="R524" i="48" s="1"/>
  <c r="X523" i="48"/>
  <c r="U523" i="48"/>
  <c r="N523" i="48"/>
  <c r="K523" i="48"/>
  <c r="G523" i="48"/>
  <c r="P523" i="48" s="1"/>
  <c r="X522" i="48"/>
  <c r="U522" i="48"/>
  <c r="N522" i="48"/>
  <c r="K522" i="48"/>
  <c r="G522" i="48"/>
  <c r="P522" i="48" s="1"/>
  <c r="X521" i="48"/>
  <c r="U521" i="48"/>
  <c r="N521" i="48"/>
  <c r="K521" i="48"/>
  <c r="G521" i="48"/>
  <c r="P521" i="48" s="1"/>
  <c r="R521" i="48" s="1"/>
  <c r="X520" i="48"/>
  <c r="U520" i="48"/>
  <c r="N520" i="48"/>
  <c r="K520" i="48"/>
  <c r="G520" i="48"/>
  <c r="P520" i="48" s="1"/>
  <c r="X519" i="48"/>
  <c r="U519" i="48"/>
  <c r="N519" i="48"/>
  <c r="K519" i="48"/>
  <c r="G519" i="48"/>
  <c r="P519" i="48" s="1"/>
  <c r="W518" i="48"/>
  <c r="V518" i="48"/>
  <c r="T518" i="48"/>
  <c r="S518" i="48"/>
  <c r="M518" i="48"/>
  <c r="L518" i="48"/>
  <c r="J518" i="48"/>
  <c r="I518" i="48"/>
  <c r="X517" i="48"/>
  <c r="U517" i="48"/>
  <c r="N517" i="48"/>
  <c r="K517" i="48"/>
  <c r="G517" i="48"/>
  <c r="P517" i="48" s="1"/>
  <c r="R517" i="48" s="1"/>
  <c r="X516" i="48"/>
  <c r="U516" i="48"/>
  <c r="N516" i="48"/>
  <c r="K516" i="48"/>
  <c r="G516" i="48"/>
  <c r="P516" i="48" s="1"/>
  <c r="X515" i="48"/>
  <c r="U515" i="48"/>
  <c r="N515" i="48"/>
  <c r="K515" i="48"/>
  <c r="G515" i="48"/>
  <c r="P515" i="48" s="1"/>
  <c r="X514" i="48"/>
  <c r="U514" i="48"/>
  <c r="N514" i="48"/>
  <c r="K514" i="48"/>
  <c r="G514" i="48"/>
  <c r="P514" i="48" s="1"/>
  <c r="X513" i="48"/>
  <c r="U513" i="48"/>
  <c r="N513" i="48"/>
  <c r="K513" i="48"/>
  <c r="G513" i="48"/>
  <c r="P513" i="48" s="1"/>
  <c r="X512" i="48"/>
  <c r="U512" i="48"/>
  <c r="N512" i="48"/>
  <c r="K512" i="48"/>
  <c r="G512" i="48"/>
  <c r="P512" i="48" s="1"/>
  <c r="X511" i="48"/>
  <c r="U511" i="48"/>
  <c r="N511" i="48"/>
  <c r="K511" i="48"/>
  <c r="G511" i="48"/>
  <c r="P511" i="48" s="1"/>
  <c r="X510" i="48"/>
  <c r="U510" i="48"/>
  <c r="N510" i="48"/>
  <c r="K510" i="48"/>
  <c r="G510" i="48"/>
  <c r="P510" i="48" s="1"/>
  <c r="X509" i="48"/>
  <c r="U509" i="48"/>
  <c r="N509" i="48"/>
  <c r="K509" i="48"/>
  <c r="G509" i="48"/>
  <c r="P509" i="48" s="1"/>
  <c r="X508" i="48"/>
  <c r="U508" i="48"/>
  <c r="N508" i="48"/>
  <c r="K508" i="48"/>
  <c r="G508" i="48"/>
  <c r="P508" i="48" s="1"/>
  <c r="X507" i="48"/>
  <c r="U507" i="48"/>
  <c r="N507" i="48"/>
  <c r="K507" i="48"/>
  <c r="G507" i="48"/>
  <c r="P507" i="48" s="1"/>
  <c r="X506" i="48"/>
  <c r="U506" i="48"/>
  <c r="N506" i="48"/>
  <c r="K506" i="48"/>
  <c r="G506" i="48"/>
  <c r="W505" i="48"/>
  <c r="V505" i="48"/>
  <c r="T505" i="48"/>
  <c r="S505" i="48"/>
  <c r="M505" i="48"/>
  <c r="L505" i="48"/>
  <c r="J505" i="48"/>
  <c r="I505" i="48"/>
  <c r="X504" i="48"/>
  <c r="U504" i="48"/>
  <c r="N504" i="48"/>
  <c r="K504" i="48"/>
  <c r="G504" i="48"/>
  <c r="P504" i="48" s="1"/>
  <c r="X503" i="48"/>
  <c r="U503" i="48"/>
  <c r="N503" i="48"/>
  <c r="K503" i="48"/>
  <c r="G503" i="48"/>
  <c r="P503" i="48" s="1"/>
  <c r="X502" i="48"/>
  <c r="U502" i="48"/>
  <c r="N502" i="48"/>
  <c r="K502" i="48"/>
  <c r="G502" i="48"/>
  <c r="P502" i="48" s="1"/>
  <c r="X501" i="48"/>
  <c r="U501" i="48"/>
  <c r="N501" i="48"/>
  <c r="K501" i="48"/>
  <c r="G501" i="48"/>
  <c r="P501" i="48" s="1"/>
  <c r="X500" i="48"/>
  <c r="U500" i="48"/>
  <c r="N500" i="48"/>
  <c r="K500" i="48"/>
  <c r="G500" i="48"/>
  <c r="P500" i="48" s="1"/>
  <c r="X499" i="48"/>
  <c r="U499" i="48"/>
  <c r="N499" i="48"/>
  <c r="K499" i="48"/>
  <c r="G499" i="48"/>
  <c r="P499" i="48" s="1"/>
  <c r="X498" i="48"/>
  <c r="U498" i="48"/>
  <c r="N498" i="48"/>
  <c r="K498" i="48"/>
  <c r="G498" i="48"/>
  <c r="P498" i="48" s="1"/>
  <c r="X497" i="48"/>
  <c r="U497" i="48"/>
  <c r="N497" i="48"/>
  <c r="K497" i="48"/>
  <c r="G497" i="48"/>
  <c r="P497" i="48" s="1"/>
  <c r="X496" i="48"/>
  <c r="U496" i="48"/>
  <c r="N496" i="48"/>
  <c r="K496" i="48"/>
  <c r="G496" i="48"/>
  <c r="P496" i="48" s="1"/>
  <c r="X495" i="48"/>
  <c r="U495" i="48"/>
  <c r="N495" i="48"/>
  <c r="K495" i="48"/>
  <c r="G495" i="48"/>
  <c r="P495" i="48" s="1"/>
  <c r="X494" i="48"/>
  <c r="U494" i="48"/>
  <c r="N494" i="48"/>
  <c r="K494" i="48"/>
  <c r="G494" i="48"/>
  <c r="P494" i="48" s="1"/>
  <c r="X493" i="48"/>
  <c r="U493" i="48"/>
  <c r="N493" i="48"/>
  <c r="K493" i="48"/>
  <c r="G493" i="48"/>
  <c r="P493" i="48" s="1"/>
  <c r="X492" i="48"/>
  <c r="U492" i="48"/>
  <c r="N492" i="48"/>
  <c r="K492" i="48"/>
  <c r="F492" i="48"/>
  <c r="G492" i="48" s="1"/>
  <c r="P492" i="48" s="1"/>
  <c r="X491" i="48"/>
  <c r="U491" i="48"/>
  <c r="N491" i="48"/>
  <c r="K491" i="48"/>
  <c r="F491" i="48"/>
  <c r="G491" i="48" s="1"/>
  <c r="P491" i="48" s="1"/>
  <c r="R491" i="48" s="1"/>
  <c r="X490" i="48"/>
  <c r="U490" i="48"/>
  <c r="N490" i="48"/>
  <c r="K490" i="48"/>
  <c r="F490" i="48"/>
  <c r="G490" i="48" s="1"/>
  <c r="P490" i="48" s="1"/>
  <c r="X489" i="48"/>
  <c r="U489" i="48"/>
  <c r="N489" i="48"/>
  <c r="K489" i="48"/>
  <c r="G489" i="48"/>
  <c r="P489" i="48" s="1"/>
  <c r="X488" i="48"/>
  <c r="U488" i="48"/>
  <c r="N488" i="48"/>
  <c r="K488" i="48"/>
  <c r="G488" i="48"/>
  <c r="P488" i="48" s="1"/>
  <c r="X487" i="48"/>
  <c r="U487" i="48"/>
  <c r="N487" i="48"/>
  <c r="K487" i="48"/>
  <c r="G487" i="48"/>
  <c r="P487" i="48" s="1"/>
  <c r="X486" i="48"/>
  <c r="U486" i="48"/>
  <c r="N486" i="48"/>
  <c r="K486" i="48"/>
  <c r="G486" i="48"/>
  <c r="P486" i="48" s="1"/>
  <c r="X485" i="48"/>
  <c r="U485" i="48"/>
  <c r="N485" i="48"/>
  <c r="K485" i="48"/>
  <c r="G485" i="48"/>
  <c r="P485" i="48" s="1"/>
  <c r="X484" i="48"/>
  <c r="U484" i="48"/>
  <c r="N484" i="48"/>
  <c r="K484" i="48"/>
  <c r="G484" i="48"/>
  <c r="P484" i="48" s="1"/>
  <c r="X483" i="48"/>
  <c r="U483" i="48"/>
  <c r="N483" i="48"/>
  <c r="K483" i="48"/>
  <c r="G483" i="48"/>
  <c r="P483" i="48" s="1"/>
  <c r="X482" i="48"/>
  <c r="U482" i="48"/>
  <c r="N482" i="48"/>
  <c r="K482" i="48"/>
  <c r="G482" i="48"/>
  <c r="P482" i="48" s="1"/>
  <c r="X481" i="48"/>
  <c r="U481" i="48"/>
  <c r="N481" i="48"/>
  <c r="K481" i="48"/>
  <c r="G481" i="48"/>
  <c r="P481" i="48" s="1"/>
  <c r="X480" i="48"/>
  <c r="U480" i="48"/>
  <c r="N480" i="48"/>
  <c r="K480" i="48"/>
  <c r="D480" i="48"/>
  <c r="G480" i="48" s="1"/>
  <c r="P480" i="48" s="1"/>
  <c r="X479" i="48"/>
  <c r="U479" i="48"/>
  <c r="N479" i="48"/>
  <c r="K479" i="48"/>
  <c r="D479" i="48"/>
  <c r="G479" i="48" s="1"/>
  <c r="P479" i="48" s="1"/>
  <c r="X478" i="48"/>
  <c r="U478" i="48"/>
  <c r="N478" i="48"/>
  <c r="K478" i="48"/>
  <c r="G478" i="48"/>
  <c r="P478" i="48" s="1"/>
  <c r="D478" i="48"/>
  <c r="X477" i="48"/>
  <c r="U477" i="48"/>
  <c r="N477" i="48"/>
  <c r="K477" i="48"/>
  <c r="D477" i="48"/>
  <c r="G477" i="48" s="1"/>
  <c r="P477" i="48" s="1"/>
  <c r="X476" i="48"/>
  <c r="U476" i="48"/>
  <c r="N476" i="48"/>
  <c r="K476" i="48"/>
  <c r="D476" i="48"/>
  <c r="G476" i="48" s="1"/>
  <c r="P476" i="48" s="1"/>
  <c r="X475" i="48"/>
  <c r="U475" i="48"/>
  <c r="N475" i="48"/>
  <c r="K475" i="48"/>
  <c r="G475" i="48"/>
  <c r="P475" i="48" s="1"/>
  <c r="D475" i="48"/>
  <c r="X474" i="48"/>
  <c r="U474" i="48"/>
  <c r="N474" i="48"/>
  <c r="K474" i="48"/>
  <c r="D474" i="48"/>
  <c r="G474" i="48" s="1"/>
  <c r="P474" i="48" s="1"/>
  <c r="X473" i="48"/>
  <c r="U473" i="48"/>
  <c r="N473" i="48"/>
  <c r="K473" i="48"/>
  <c r="D473" i="48"/>
  <c r="G473" i="48" s="1"/>
  <c r="P473" i="48" s="1"/>
  <c r="X472" i="48"/>
  <c r="U472" i="48"/>
  <c r="N472" i="48"/>
  <c r="K472" i="48"/>
  <c r="G472" i="48"/>
  <c r="P472" i="48" s="1"/>
  <c r="D472" i="48"/>
  <c r="X471" i="48"/>
  <c r="U471" i="48"/>
  <c r="N471" i="48"/>
  <c r="K471" i="48"/>
  <c r="G471" i="48"/>
  <c r="P471" i="48" s="1"/>
  <c r="X470" i="48"/>
  <c r="U470" i="48"/>
  <c r="N470" i="48"/>
  <c r="K470" i="48"/>
  <c r="G470" i="48"/>
  <c r="P470" i="48" s="1"/>
  <c r="X469" i="48"/>
  <c r="U469" i="48"/>
  <c r="N469" i="48"/>
  <c r="K469" i="48"/>
  <c r="G469" i="48"/>
  <c r="P469" i="48" s="1"/>
  <c r="R469" i="48" s="1"/>
  <c r="X468" i="48"/>
  <c r="N468" i="48"/>
  <c r="H468" i="48"/>
  <c r="D468" i="48"/>
  <c r="G468" i="48" s="1"/>
  <c r="P468" i="48" s="1"/>
  <c r="X467" i="48"/>
  <c r="N467" i="48"/>
  <c r="H467" i="48"/>
  <c r="D467" i="48"/>
  <c r="G467" i="48" s="1"/>
  <c r="P467" i="48" s="1"/>
  <c r="S467" i="48" s="1"/>
  <c r="X466" i="48"/>
  <c r="N466" i="48"/>
  <c r="H466" i="48"/>
  <c r="D466" i="48"/>
  <c r="G466" i="48" s="1"/>
  <c r="W465" i="48"/>
  <c r="V465" i="48"/>
  <c r="T465" i="48"/>
  <c r="M465" i="48"/>
  <c r="L465" i="48"/>
  <c r="J465" i="48"/>
  <c r="X464" i="48"/>
  <c r="U464" i="48"/>
  <c r="N464" i="48"/>
  <c r="K464" i="48"/>
  <c r="G464" i="48"/>
  <c r="P464" i="48" s="1"/>
  <c r="X463" i="48"/>
  <c r="U463" i="48"/>
  <c r="N463" i="48"/>
  <c r="K463" i="48"/>
  <c r="G463" i="48"/>
  <c r="P463" i="48" s="1"/>
  <c r="R463" i="48" s="1"/>
  <c r="X462" i="48"/>
  <c r="U462" i="48"/>
  <c r="N462" i="48"/>
  <c r="K462" i="48"/>
  <c r="G462" i="48"/>
  <c r="P462" i="48" s="1"/>
  <c r="X461" i="48"/>
  <c r="U461" i="48"/>
  <c r="N461" i="48"/>
  <c r="K461" i="48"/>
  <c r="D461" i="48"/>
  <c r="G461" i="48" s="1"/>
  <c r="P461" i="48" s="1"/>
  <c r="X460" i="48"/>
  <c r="U460" i="48"/>
  <c r="N460" i="48"/>
  <c r="K460" i="48"/>
  <c r="D460" i="48"/>
  <c r="G460" i="48" s="1"/>
  <c r="P460" i="48" s="1"/>
  <c r="X459" i="48"/>
  <c r="U459" i="48"/>
  <c r="N459" i="48"/>
  <c r="K459" i="48"/>
  <c r="D459" i="48"/>
  <c r="G459" i="48" s="1"/>
  <c r="P459" i="48" s="1"/>
  <c r="X458" i="48"/>
  <c r="U458" i="48"/>
  <c r="N458" i="48"/>
  <c r="K458" i="48"/>
  <c r="G458" i="48"/>
  <c r="P458" i="48" s="1"/>
  <c r="R458" i="48" s="1"/>
  <c r="X457" i="48"/>
  <c r="U457" i="48"/>
  <c r="N457" i="48"/>
  <c r="K457" i="48"/>
  <c r="G457" i="48"/>
  <c r="P457" i="48" s="1"/>
  <c r="R457" i="48" s="1"/>
  <c r="X456" i="48"/>
  <c r="U456" i="48"/>
  <c r="N456" i="48"/>
  <c r="K456" i="48"/>
  <c r="G456" i="48"/>
  <c r="P456" i="48" s="1"/>
  <c r="R456" i="48" s="1"/>
  <c r="X455" i="48"/>
  <c r="U455" i="48"/>
  <c r="N455" i="48"/>
  <c r="K455" i="48"/>
  <c r="G455" i="48"/>
  <c r="P455" i="48" s="1"/>
  <c r="R455" i="48" s="1"/>
  <c r="X454" i="48"/>
  <c r="U454" i="48"/>
  <c r="N454" i="48"/>
  <c r="K454" i="48"/>
  <c r="G454" i="48"/>
  <c r="P454" i="48" s="1"/>
  <c r="R454" i="48" s="1"/>
  <c r="X453" i="48"/>
  <c r="U453" i="48"/>
  <c r="N453" i="48"/>
  <c r="K453" i="48"/>
  <c r="G453" i="48"/>
  <c r="P453" i="48" s="1"/>
  <c r="R453" i="48" s="1"/>
  <c r="X452" i="48"/>
  <c r="U452" i="48"/>
  <c r="N452" i="48"/>
  <c r="K452" i="48"/>
  <c r="G452" i="48"/>
  <c r="P452" i="48" s="1"/>
  <c r="R452" i="48" s="1"/>
  <c r="X451" i="48"/>
  <c r="U451" i="48"/>
  <c r="N451" i="48"/>
  <c r="K451" i="48"/>
  <c r="G451" i="48"/>
  <c r="P451" i="48" s="1"/>
  <c r="R451" i="48" s="1"/>
  <c r="X450" i="48"/>
  <c r="U450" i="48"/>
  <c r="N450" i="48"/>
  <c r="K450" i="48"/>
  <c r="G450" i="48"/>
  <c r="P450" i="48" s="1"/>
  <c r="R450" i="48" s="1"/>
  <c r="X449" i="48"/>
  <c r="U449" i="48"/>
  <c r="N449" i="48"/>
  <c r="K449" i="48"/>
  <c r="G449" i="48"/>
  <c r="P449" i="48" s="1"/>
  <c r="R449" i="48" s="1"/>
  <c r="X448" i="48"/>
  <c r="U448" i="48"/>
  <c r="N448" i="48"/>
  <c r="K448" i="48"/>
  <c r="G448" i="48"/>
  <c r="P448" i="48" s="1"/>
  <c r="R448" i="48" s="1"/>
  <c r="X447" i="48"/>
  <c r="U447" i="48"/>
  <c r="N447" i="48"/>
  <c r="K447" i="48"/>
  <c r="G447" i="48"/>
  <c r="P447" i="48" s="1"/>
  <c r="R447" i="48" s="1"/>
  <c r="X446" i="48"/>
  <c r="U446" i="48"/>
  <c r="N446" i="48"/>
  <c r="K446" i="48"/>
  <c r="G446" i="48"/>
  <c r="P446" i="48" s="1"/>
  <c r="R446" i="48" s="1"/>
  <c r="X445" i="48"/>
  <c r="U445" i="48"/>
  <c r="N445" i="48"/>
  <c r="K445" i="48"/>
  <c r="G445" i="48"/>
  <c r="P445" i="48" s="1"/>
  <c r="R445" i="48" s="1"/>
  <c r="X444" i="48"/>
  <c r="U444" i="48"/>
  <c r="N444" i="48"/>
  <c r="K444" i="48"/>
  <c r="G444" i="48"/>
  <c r="P444" i="48" s="1"/>
  <c r="R444" i="48" s="1"/>
  <c r="X443" i="48"/>
  <c r="U443" i="48"/>
  <c r="N443" i="48"/>
  <c r="K443" i="48"/>
  <c r="G443" i="48"/>
  <c r="P443" i="48" s="1"/>
  <c r="R443" i="48" s="1"/>
  <c r="X442" i="48"/>
  <c r="U442" i="48"/>
  <c r="N442" i="48"/>
  <c r="K442" i="48"/>
  <c r="G442" i="48"/>
  <c r="P442" i="48" s="1"/>
  <c r="X441" i="48"/>
  <c r="U441" i="48"/>
  <c r="N441" i="48"/>
  <c r="K441" i="48"/>
  <c r="G441" i="48"/>
  <c r="P441" i="48" s="1"/>
  <c r="X440" i="48"/>
  <c r="U440" i="48"/>
  <c r="N440" i="48"/>
  <c r="K440" i="48"/>
  <c r="G440" i="48"/>
  <c r="P440" i="48" s="1"/>
  <c r="X439" i="48"/>
  <c r="U439" i="48"/>
  <c r="N439" i="48"/>
  <c r="K439" i="48"/>
  <c r="G439" i="48"/>
  <c r="P439" i="48" s="1"/>
  <c r="R439" i="48" s="1"/>
  <c r="X438" i="48"/>
  <c r="U438" i="48"/>
  <c r="N438" i="48"/>
  <c r="K438" i="48"/>
  <c r="G438" i="48"/>
  <c r="P438" i="48" s="1"/>
  <c r="X437" i="48"/>
  <c r="U437" i="48"/>
  <c r="N437" i="48"/>
  <c r="K437" i="48"/>
  <c r="G437" i="48"/>
  <c r="P437" i="48" s="1"/>
  <c r="X436" i="48"/>
  <c r="U436" i="48"/>
  <c r="N436" i="48"/>
  <c r="K436" i="48"/>
  <c r="G436" i="48"/>
  <c r="X435" i="48"/>
  <c r="U435" i="48"/>
  <c r="N435" i="48"/>
  <c r="K435" i="48"/>
  <c r="G435" i="48"/>
  <c r="P435" i="48" s="1"/>
  <c r="R435" i="48" s="1"/>
  <c r="X434" i="48"/>
  <c r="N434" i="48"/>
  <c r="H434" i="48"/>
  <c r="G434" i="48"/>
  <c r="P434" i="48" s="1"/>
  <c r="X433" i="48"/>
  <c r="N433" i="48"/>
  <c r="H433" i="48"/>
  <c r="G433" i="48"/>
  <c r="P433" i="48" s="1"/>
  <c r="X432" i="48"/>
  <c r="N432" i="48"/>
  <c r="H432" i="48"/>
  <c r="G432" i="48"/>
  <c r="P432" i="48" s="1"/>
  <c r="X431" i="48"/>
  <c r="U431" i="48"/>
  <c r="N431" i="48"/>
  <c r="K431" i="48"/>
  <c r="F431" i="48"/>
  <c r="G431" i="48" s="1"/>
  <c r="P431" i="48" s="1"/>
  <c r="X430" i="48"/>
  <c r="U430" i="48"/>
  <c r="N430" i="48"/>
  <c r="K430" i="48"/>
  <c r="F430" i="48"/>
  <c r="G430" i="48" s="1"/>
  <c r="P430" i="48" s="1"/>
  <c r="X429" i="48"/>
  <c r="U429" i="48"/>
  <c r="N429" i="48"/>
  <c r="K429" i="48"/>
  <c r="F429" i="48"/>
  <c r="G429" i="48" s="1"/>
  <c r="P429" i="48" s="1"/>
  <c r="X428" i="48"/>
  <c r="U428" i="48"/>
  <c r="N428" i="48"/>
  <c r="K428" i="48"/>
  <c r="F428" i="48"/>
  <c r="G428" i="48" s="1"/>
  <c r="P428" i="48" s="1"/>
  <c r="X427" i="48"/>
  <c r="U427" i="48"/>
  <c r="N427" i="48"/>
  <c r="K427" i="48"/>
  <c r="F427" i="48"/>
  <c r="G427" i="48" s="1"/>
  <c r="P427" i="48" s="1"/>
  <c r="R427" i="48" s="1"/>
  <c r="X426" i="48"/>
  <c r="U426" i="48"/>
  <c r="N426" i="48"/>
  <c r="K426" i="48"/>
  <c r="F426" i="48"/>
  <c r="G426" i="48" s="1"/>
  <c r="P426" i="48" s="1"/>
  <c r="R426" i="48" s="1"/>
  <c r="W425" i="48"/>
  <c r="V425" i="48"/>
  <c r="T425" i="48"/>
  <c r="M425" i="48"/>
  <c r="L425" i="48"/>
  <c r="J425" i="48"/>
  <c r="X424" i="48"/>
  <c r="P424" i="48"/>
  <c r="R424" i="48" s="1"/>
  <c r="H424" i="48" s="1"/>
  <c r="N424" i="48"/>
  <c r="F424" i="48"/>
  <c r="X423" i="48"/>
  <c r="P423" i="48"/>
  <c r="T423" i="48" s="1"/>
  <c r="N423" i="48"/>
  <c r="F423" i="48"/>
  <c r="X422" i="48"/>
  <c r="P422" i="48"/>
  <c r="R422" i="48" s="1"/>
  <c r="H422" i="48" s="1"/>
  <c r="N422" i="48"/>
  <c r="F422" i="48"/>
  <c r="X421" i="48"/>
  <c r="P421" i="48"/>
  <c r="N421" i="48"/>
  <c r="F421" i="48"/>
  <c r="X420" i="48"/>
  <c r="P420" i="48"/>
  <c r="R420" i="48" s="1"/>
  <c r="N420" i="48"/>
  <c r="F420" i="48"/>
  <c r="X419" i="48"/>
  <c r="P419" i="48"/>
  <c r="R419" i="48" s="1"/>
  <c r="H419" i="48" s="1"/>
  <c r="N419" i="48"/>
  <c r="F419" i="48"/>
  <c r="X418" i="48"/>
  <c r="U418" i="48"/>
  <c r="P418" i="48"/>
  <c r="R418" i="48" s="1"/>
  <c r="N418" i="48"/>
  <c r="J418" i="48"/>
  <c r="K418" i="48" s="1"/>
  <c r="F418" i="48"/>
  <c r="X417" i="48"/>
  <c r="U417" i="48"/>
  <c r="P417" i="48"/>
  <c r="R417" i="48" s="1"/>
  <c r="N417" i="48"/>
  <c r="J417" i="48"/>
  <c r="K417" i="48" s="1"/>
  <c r="F417" i="48"/>
  <c r="X416" i="48"/>
  <c r="U416" i="48"/>
  <c r="P416" i="48"/>
  <c r="R416" i="48" s="1"/>
  <c r="N416" i="48"/>
  <c r="J416" i="48"/>
  <c r="K416" i="48" s="1"/>
  <c r="F416" i="48"/>
  <c r="X415" i="48"/>
  <c r="U415" i="48"/>
  <c r="P415" i="48"/>
  <c r="R415" i="48" s="1"/>
  <c r="N415" i="48"/>
  <c r="J415" i="48"/>
  <c r="K415" i="48" s="1"/>
  <c r="F415" i="48"/>
  <c r="X414" i="48"/>
  <c r="U414" i="48"/>
  <c r="P414" i="48"/>
  <c r="R414" i="48" s="1"/>
  <c r="N414" i="48"/>
  <c r="J414" i="48"/>
  <c r="K414" i="48" s="1"/>
  <c r="F414" i="48"/>
  <c r="X413" i="48"/>
  <c r="U413" i="48"/>
  <c r="P413" i="48"/>
  <c r="R413" i="48" s="1"/>
  <c r="N413" i="48"/>
  <c r="J413" i="48"/>
  <c r="K413" i="48" s="1"/>
  <c r="F413" i="48"/>
  <c r="X412" i="48"/>
  <c r="U412" i="48"/>
  <c r="P412" i="48"/>
  <c r="R412" i="48" s="1"/>
  <c r="N412" i="48"/>
  <c r="J412" i="48"/>
  <c r="K412" i="48" s="1"/>
  <c r="F412" i="48"/>
  <c r="X411" i="48"/>
  <c r="U411" i="48"/>
  <c r="P411" i="48"/>
  <c r="R411" i="48" s="1"/>
  <c r="N411" i="48"/>
  <c r="J411" i="48"/>
  <c r="K411" i="48" s="1"/>
  <c r="F411" i="48"/>
  <c r="X410" i="48"/>
  <c r="U410" i="48"/>
  <c r="P410" i="48"/>
  <c r="R410" i="48" s="1"/>
  <c r="N410" i="48"/>
  <c r="J410" i="48"/>
  <c r="K410" i="48" s="1"/>
  <c r="F410" i="48"/>
  <c r="X409" i="48"/>
  <c r="U409" i="48"/>
  <c r="P409" i="48"/>
  <c r="R409" i="48" s="1"/>
  <c r="N409" i="48"/>
  <c r="J409" i="48"/>
  <c r="K409" i="48" s="1"/>
  <c r="F409" i="48"/>
  <c r="X408" i="48"/>
  <c r="U408" i="48"/>
  <c r="P408" i="48"/>
  <c r="R408" i="48" s="1"/>
  <c r="N408" i="48"/>
  <c r="J408" i="48"/>
  <c r="K408" i="48" s="1"/>
  <c r="F408" i="48"/>
  <c r="X407" i="48"/>
  <c r="U407" i="48"/>
  <c r="P407" i="48"/>
  <c r="R407" i="48" s="1"/>
  <c r="N407" i="48"/>
  <c r="J407" i="48"/>
  <c r="K407" i="48" s="1"/>
  <c r="F407" i="48"/>
  <c r="X406" i="48"/>
  <c r="U406" i="48"/>
  <c r="P406" i="48"/>
  <c r="R406" i="48" s="1"/>
  <c r="N406" i="48"/>
  <c r="J406" i="48"/>
  <c r="K406" i="48" s="1"/>
  <c r="F406" i="48"/>
  <c r="X405" i="48"/>
  <c r="U405" i="48"/>
  <c r="P405" i="48"/>
  <c r="R405" i="48" s="1"/>
  <c r="N405" i="48"/>
  <c r="J405" i="48"/>
  <c r="K405" i="48" s="1"/>
  <c r="F405" i="48"/>
  <c r="X404" i="48"/>
  <c r="U404" i="48"/>
  <c r="P404" i="48"/>
  <c r="R404" i="48" s="1"/>
  <c r="N404" i="48"/>
  <c r="J404" i="48"/>
  <c r="K404" i="48" s="1"/>
  <c r="F404" i="48"/>
  <c r="W403" i="48"/>
  <c r="V403" i="48"/>
  <c r="S403" i="48"/>
  <c r="M403" i="48"/>
  <c r="L403" i="48"/>
  <c r="I403" i="48"/>
  <c r="G403" i="48"/>
  <c r="X401" i="48"/>
  <c r="U401" i="48"/>
  <c r="N401" i="48"/>
  <c r="K401" i="48"/>
  <c r="F401" i="48"/>
  <c r="G401" i="48" s="1"/>
  <c r="P401" i="48" s="1"/>
  <c r="X400" i="48"/>
  <c r="U400" i="48"/>
  <c r="N400" i="48"/>
  <c r="K400" i="48"/>
  <c r="F400" i="48"/>
  <c r="G400" i="48" s="1"/>
  <c r="P400" i="48" s="1"/>
  <c r="X399" i="48"/>
  <c r="U399" i="48"/>
  <c r="N399" i="48"/>
  <c r="K399" i="48"/>
  <c r="F399" i="48"/>
  <c r="G399" i="48" s="1"/>
  <c r="P399" i="48" s="1"/>
  <c r="X398" i="48"/>
  <c r="U398" i="48"/>
  <c r="N398" i="48"/>
  <c r="K398" i="48"/>
  <c r="G398" i="48"/>
  <c r="P398" i="48" s="1"/>
  <c r="X397" i="48"/>
  <c r="U397" i="48"/>
  <c r="N397" i="48"/>
  <c r="K397" i="48"/>
  <c r="G397" i="48"/>
  <c r="P397" i="48" s="1"/>
  <c r="X396" i="48"/>
  <c r="U396" i="48"/>
  <c r="N396" i="48"/>
  <c r="K396" i="48"/>
  <c r="G396" i="48"/>
  <c r="P396" i="48" s="1"/>
  <c r="R396" i="48" s="1"/>
  <c r="X395" i="48"/>
  <c r="U395" i="48"/>
  <c r="N395" i="48"/>
  <c r="K395" i="48"/>
  <c r="G395" i="48"/>
  <c r="P395" i="48" s="1"/>
  <c r="X394" i="48"/>
  <c r="U394" i="48"/>
  <c r="N394" i="48"/>
  <c r="K394" i="48"/>
  <c r="G394" i="48"/>
  <c r="P394" i="48" s="1"/>
  <c r="X393" i="48"/>
  <c r="U393" i="48"/>
  <c r="N393" i="48"/>
  <c r="K393" i="48"/>
  <c r="G393" i="48"/>
  <c r="P393" i="48" s="1"/>
  <c r="X392" i="48"/>
  <c r="U392" i="48"/>
  <c r="N392" i="48"/>
  <c r="K392" i="48"/>
  <c r="G392" i="48"/>
  <c r="P392" i="48" s="1"/>
  <c r="R392" i="48" s="1"/>
  <c r="X391" i="48"/>
  <c r="U391" i="48"/>
  <c r="N391" i="48"/>
  <c r="K391" i="48"/>
  <c r="G391" i="48"/>
  <c r="P391" i="48" s="1"/>
  <c r="X390" i="48"/>
  <c r="U390" i="48"/>
  <c r="N390" i="48"/>
  <c r="K390" i="48"/>
  <c r="G390" i="48"/>
  <c r="P390" i="48" s="1"/>
  <c r="W389" i="48"/>
  <c r="V389" i="48"/>
  <c r="T389" i="48"/>
  <c r="S389" i="48"/>
  <c r="M389" i="48"/>
  <c r="L389" i="48"/>
  <c r="J389" i="48"/>
  <c r="I389" i="48"/>
  <c r="X388" i="48"/>
  <c r="U388" i="48"/>
  <c r="N388" i="48"/>
  <c r="K388" i="48"/>
  <c r="G388" i="48"/>
  <c r="P388" i="48" s="1"/>
  <c r="R388" i="48" s="1"/>
  <c r="X387" i="48"/>
  <c r="U387" i="48"/>
  <c r="N387" i="48"/>
  <c r="K387" i="48"/>
  <c r="G387" i="48"/>
  <c r="P387" i="48" s="1"/>
  <c r="X386" i="48"/>
  <c r="U386" i="48"/>
  <c r="N386" i="48"/>
  <c r="K386" i="48"/>
  <c r="G386" i="48"/>
  <c r="P386" i="48" s="1"/>
  <c r="X385" i="48"/>
  <c r="U385" i="48"/>
  <c r="N385" i="48"/>
  <c r="K385" i="48"/>
  <c r="F385" i="48"/>
  <c r="G385" i="48" s="1"/>
  <c r="P385" i="48" s="1"/>
  <c r="X384" i="48"/>
  <c r="U384" i="48"/>
  <c r="N384" i="48"/>
  <c r="K384" i="48"/>
  <c r="F384" i="48"/>
  <c r="G384" i="48" s="1"/>
  <c r="P384" i="48" s="1"/>
  <c r="R384" i="48" s="1"/>
  <c r="X383" i="48"/>
  <c r="U383" i="48"/>
  <c r="N383" i="48"/>
  <c r="K383" i="48"/>
  <c r="F383" i="48"/>
  <c r="G383" i="48" s="1"/>
  <c r="P383" i="48" s="1"/>
  <c r="R383" i="48" s="1"/>
  <c r="X382" i="48"/>
  <c r="U382" i="48"/>
  <c r="N382" i="48"/>
  <c r="K382" i="48"/>
  <c r="F382" i="48"/>
  <c r="G382" i="48" s="1"/>
  <c r="P382" i="48" s="1"/>
  <c r="R382" i="48" s="1"/>
  <c r="X381" i="48"/>
  <c r="U381" i="48"/>
  <c r="N381" i="48"/>
  <c r="K381" i="48"/>
  <c r="F381" i="48"/>
  <c r="G381" i="48" s="1"/>
  <c r="P381" i="48" s="1"/>
  <c r="X380" i="48"/>
  <c r="U380" i="48"/>
  <c r="N380" i="48"/>
  <c r="K380" i="48"/>
  <c r="F380" i="48"/>
  <c r="G380" i="48" s="1"/>
  <c r="P380" i="48" s="1"/>
  <c r="R380" i="48" s="1"/>
  <c r="X379" i="48"/>
  <c r="U379" i="48"/>
  <c r="N379" i="48"/>
  <c r="K379" i="48"/>
  <c r="F379" i="48"/>
  <c r="G379" i="48" s="1"/>
  <c r="P379" i="48" s="1"/>
  <c r="R379" i="48" s="1"/>
  <c r="X378" i="48"/>
  <c r="U378" i="48"/>
  <c r="N378" i="48"/>
  <c r="K378" i="48"/>
  <c r="F378" i="48"/>
  <c r="G378" i="48" s="1"/>
  <c r="P378" i="48" s="1"/>
  <c r="R378" i="48" s="1"/>
  <c r="X377" i="48"/>
  <c r="U377" i="48"/>
  <c r="N377" i="48"/>
  <c r="K377" i="48"/>
  <c r="F377" i="48"/>
  <c r="G377" i="48" s="1"/>
  <c r="P377" i="48" s="1"/>
  <c r="X376" i="48"/>
  <c r="U376" i="48"/>
  <c r="N376" i="48"/>
  <c r="K376" i="48"/>
  <c r="G376" i="48"/>
  <c r="P376" i="48" s="1"/>
  <c r="R376" i="48" s="1"/>
  <c r="X375" i="48"/>
  <c r="U375" i="48"/>
  <c r="N375" i="48"/>
  <c r="K375" i="48"/>
  <c r="G375" i="48"/>
  <c r="P375" i="48" s="1"/>
  <c r="X374" i="48"/>
  <c r="U374" i="48"/>
  <c r="N374" i="48"/>
  <c r="K374" i="48"/>
  <c r="G374" i="48"/>
  <c r="P374" i="48" s="1"/>
  <c r="X373" i="48"/>
  <c r="U373" i="48"/>
  <c r="R373" i="48"/>
  <c r="N373" i="48"/>
  <c r="K373" i="48"/>
  <c r="X372" i="48"/>
  <c r="U372" i="48"/>
  <c r="N372" i="48"/>
  <c r="K372" i="48"/>
  <c r="G372" i="48"/>
  <c r="P372" i="48" s="1"/>
  <c r="X371" i="48"/>
  <c r="U371" i="48"/>
  <c r="N371" i="48"/>
  <c r="K371" i="48"/>
  <c r="G371" i="48"/>
  <c r="P371" i="48" s="1"/>
  <c r="X370" i="48"/>
  <c r="U370" i="48"/>
  <c r="N370" i="48"/>
  <c r="K370" i="48"/>
  <c r="G370" i="48"/>
  <c r="P370" i="48" s="1"/>
  <c r="R370" i="48" s="1"/>
  <c r="X369" i="48"/>
  <c r="U369" i="48"/>
  <c r="N369" i="48"/>
  <c r="K369" i="48"/>
  <c r="G369" i="48"/>
  <c r="P369" i="48" s="1"/>
  <c r="X368" i="48"/>
  <c r="U368" i="48"/>
  <c r="N368" i="48"/>
  <c r="K368" i="48"/>
  <c r="G368" i="48"/>
  <c r="P368" i="48" s="1"/>
  <c r="X367" i="48"/>
  <c r="U367" i="48"/>
  <c r="N367" i="48"/>
  <c r="K367" i="48"/>
  <c r="G367" i="48"/>
  <c r="P367" i="48" s="1"/>
  <c r="X366" i="48"/>
  <c r="U366" i="48"/>
  <c r="N366" i="48"/>
  <c r="K366" i="48"/>
  <c r="G366" i="48"/>
  <c r="P366" i="48" s="1"/>
  <c r="R366" i="48" s="1"/>
  <c r="X365" i="48"/>
  <c r="U365" i="48"/>
  <c r="N365" i="48"/>
  <c r="K365" i="48"/>
  <c r="G365" i="48"/>
  <c r="P365" i="48" s="1"/>
  <c r="X364" i="48"/>
  <c r="U364" i="48"/>
  <c r="N364" i="48"/>
  <c r="K364" i="48"/>
  <c r="G364" i="48"/>
  <c r="P364" i="48" s="1"/>
  <c r="X363" i="48"/>
  <c r="U363" i="48"/>
  <c r="N363" i="48"/>
  <c r="K363" i="48"/>
  <c r="G363" i="48"/>
  <c r="P363" i="48" s="1"/>
  <c r="X362" i="48"/>
  <c r="U362" i="48"/>
  <c r="N362" i="48"/>
  <c r="K362" i="48"/>
  <c r="G362" i="48"/>
  <c r="P362" i="48" s="1"/>
  <c r="R362" i="48" s="1"/>
  <c r="X361" i="48"/>
  <c r="U361" i="48"/>
  <c r="N361" i="48"/>
  <c r="K361" i="48"/>
  <c r="G361" i="48"/>
  <c r="P361" i="48" s="1"/>
  <c r="X360" i="48"/>
  <c r="U360" i="48"/>
  <c r="N360" i="48"/>
  <c r="K360" i="48"/>
  <c r="D360" i="48"/>
  <c r="G360" i="48" s="1"/>
  <c r="P360" i="48" s="1"/>
  <c r="X359" i="48"/>
  <c r="U359" i="48"/>
  <c r="N359" i="48"/>
  <c r="K359" i="48"/>
  <c r="D359" i="48"/>
  <c r="G359" i="48" s="1"/>
  <c r="P359" i="48" s="1"/>
  <c r="X358" i="48"/>
  <c r="U358" i="48"/>
  <c r="N358" i="48"/>
  <c r="K358" i="48"/>
  <c r="G358" i="48"/>
  <c r="P358" i="48" s="1"/>
  <c r="D358" i="48"/>
  <c r="X357" i="48"/>
  <c r="U357" i="48"/>
  <c r="N357" i="48"/>
  <c r="K357" i="48"/>
  <c r="G357" i="48"/>
  <c r="X356" i="48"/>
  <c r="U356" i="48"/>
  <c r="N356" i="48"/>
  <c r="K356" i="48"/>
  <c r="G356" i="48"/>
  <c r="P356" i="48" s="1"/>
  <c r="R356" i="48" s="1"/>
  <c r="X355" i="48"/>
  <c r="U355" i="48"/>
  <c r="N355" i="48"/>
  <c r="K355" i="48"/>
  <c r="G355" i="48"/>
  <c r="P355" i="48" s="1"/>
  <c r="Z354" i="48"/>
  <c r="R354" i="48"/>
  <c r="W353" i="48"/>
  <c r="V353" i="48"/>
  <c r="T353" i="48"/>
  <c r="S353" i="48"/>
  <c r="M353" i="48"/>
  <c r="L353" i="48"/>
  <c r="J353" i="48"/>
  <c r="I353" i="48"/>
  <c r="X352" i="48"/>
  <c r="U352" i="48"/>
  <c r="N352" i="48"/>
  <c r="K352" i="48"/>
  <c r="G352" i="48"/>
  <c r="P352" i="48" s="1"/>
  <c r="R352" i="48" s="1"/>
  <c r="X351" i="48"/>
  <c r="U351" i="48"/>
  <c r="N351" i="48"/>
  <c r="K351" i="48"/>
  <c r="G351" i="48"/>
  <c r="P351" i="48" s="1"/>
  <c r="X350" i="48"/>
  <c r="U350" i="48"/>
  <c r="N350" i="48"/>
  <c r="K350" i="48"/>
  <c r="G350" i="48"/>
  <c r="P350" i="48" s="1"/>
  <c r="X349" i="48"/>
  <c r="U349" i="48"/>
  <c r="N349" i="48"/>
  <c r="K349" i="48"/>
  <c r="G349" i="48"/>
  <c r="P349" i="48" s="1"/>
  <c r="X348" i="48"/>
  <c r="U348" i="48"/>
  <c r="N348" i="48"/>
  <c r="K348" i="48"/>
  <c r="G348" i="48"/>
  <c r="P348" i="48" s="1"/>
  <c r="R348" i="48" s="1"/>
  <c r="X347" i="48"/>
  <c r="U347" i="48"/>
  <c r="N347" i="48"/>
  <c r="K347" i="48"/>
  <c r="G347" i="48"/>
  <c r="P347" i="48" s="1"/>
  <c r="X346" i="48"/>
  <c r="U346" i="48"/>
  <c r="N346" i="48"/>
  <c r="K346" i="48"/>
  <c r="G346" i="48"/>
  <c r="P346" i="48" s="1"/>
  <c r="X345" i="48"/>
  <c r="U345" i="48"/>
  <c r="N345" i="48"/>
  <c r="K345" i="48"/>
  <c r="D345" i="48"/>
  <c r="G345" i="48" s="1"/>
  <c r="P345" i="48" s="1"/>
  <c r="X344" i="48"/>
  <c r="U344" i="48"/>
  <c r="N344" i="48"/>
  <c r="K344" i="48"/>
  <c r="D344" i="48"/>
  <c r="G344" i="48" s="1"/>
  <c r="P344" i="48" s="1"/>
  <c r="R344" i="48" s="1"/>
  <c r="X343" i="48"/>
  <c r="U343" i="48"/>
  <c r="N343" i="48"/>
  <c r="K343" i="48"/>
  <c r="G343" i="48"/>
  <c r="P343" i="48" s="1"/>
  <c r="R343" i="48" s="1"/>
  <c r="X342" i="48"/>
  <c r="U342" i="48"/>
  <c r="N342" i="48"/>
  <c r="K342" i="48"/>
  <c r="G342" i="48"/>
  <c r="P342" i="48" s="1"/>
  <c r="R342" i="48" s="1"/>
  <c r="X341" i="48"/>
  <c r="U341" i="48"/>
  <c r="N341" i="48"/>
  <c r="K341" i="48"/>
  <c r="G341" i="48"/>
  <c r="P341" i="48" s="1"/>
  <c r="X340" i="48"/>
  <c r="U340" i="48"/>
  <c r="N340" i="48"/>
  <c r="K340" i="48"/>
  <c r="F340" i="48"/>
  <c r="G340" i="48" s="1"/>
  <c r="P340" i="48" s="1"/>
  <c r="X339" i="48"/>
  <c r="U339" i="48"/>
  <c r="N339" i="48"/>
  <c r="K339" i="48"/>
  <c r="F339" i="48"/>
  <c r="D339" i="48"/>
  <c r="X338" i="48"/>
  <c r="U338" i="48"/>
  <c r="N338" i="48"/>
  <c r="K338" i="48"/>
  <c r="F338" i="48"/>
  <c r="D338" i="48"/>
  <c r="X337" i="48"/>
  <c r="U337" i="48"/>
  <c r="N337" i="48"/>
  <c r="K337" i="48"/>
  <c r="G337" i="48"/>
  <c r="P337" i="48" s="1"/>
  <c r="X336" i="48"/>
  <c r="U336" i="48"/>
  <c r="N336" i="48"/>
  <c r="K336" i="48"/>
  <c r="D336" i="48"/>
  <c r="G336" i="48" s="1"/>
  <c r="P336" i="48" s="1"/>
  <c r="X335" i="48"/>
  <c r="U335" i="48"/>
  <c r="N335" i="48"/>
  <c r="K335" i="48"/>
  <c r="D335" i="48"/>
  <c r="G335" i="48" s="1"/>
  <c r="P335" i="48" s="1"/>
  <c r="X334" i="48"/>
  <c r="U334" i="48"/>
  <c r="N334" i="48"/>
  <c r="K334" i="48"/>
  <c r="G334" i="48"/>
  <c r="P334" i="48" s="1"/>
  <c r="X333" i="48"/>
  <c r="U333" i="48"/>
  <c r="N333" i="48"/>
  <c r="K333" i="48"/>
  <c r="G333" i="48"/>
  <c r="P333" i="48" s="1"/>
  <c r="X332" i="48"/>
  <c r="U332" i="48"/>
  <c r="N332" i="48"/>
  <c r="K332" i="48"/>
  <c r="G332" i="48"/>
  <c r="P332" i="48" s="1"/>
  <c r="X331" i="48"/>
  <c r="U331" i="48"/>
  <c r="N331" i="48"/>
  <c r="K331" i="48"/>
  <c r="F331" i="48"/>
  <c r="G331" i="48" s="1"/>
  <c r="P331" i="48" s="1"/>
  <c r="X330" i="48"/>
  <c r="U330" i="48"/>
  <c r="N330" i="48"/>
  <c r="K330" i="48"/>
  <c r="F330" i="48"/>
  <c r="D330" i="48"/>
  <c r="X329" i="48"/>
  <c r="U329" i="48"/>
  <c r="N329" i="48"/>
  <c r="K329" i="48"/>
  <c r="F329" i="48"/>
  <c r="D329" i="48"/>
  <c r="X328" i="48"/>
  <c r="U328" i="48"/>
  <c r="N328" i="48"/>
  <c r="K328" i="48"/>
  <c r="G328" i="48"/>
  <c r="P328" i="48" s="1"/>
  <c r="X327" i="48"/>
  <c r="U327" i="48"/>
  <c r="N327" i="48"/>
  <c r="K327" i="48"/>
  <c r="G327" i="48"/>
  <c r="P327" i="48" s="1"/>
  <c r="R327" i="48" s="1"/>
  <c r="X326" i="48"/>
  <c r="U326" i="48"/>
  <c r="N326" i="48"/>
  <c r="K326" i="48"/>
  <c r="G326" i="48"/>
  <c r="P326" i="48" s="1"/>
  <c r="W325" i="48"/>
  <c r="V325" i="48"/>
  <c r="T325" i="48"/>
  <c r="S325" i="48"/>
  <c r="M325" i="48"/>
  <c r="L325" i="48"/>
  <c r="J325" i="48"/>
  <c r="I325" i="48"/>
  <c r="X324" i="48"/>
  <c r="U324" i="48"/>
  <c r="N324" i="48"/>
  <c r="K324" i="48"/>
  <c r="G324" i="48"/>
  <c r="P324" i="48" s="1"/>
  <c r="X323" i="48"/>
  <c r="U323" i="48"/>
  <c r="N323" i="48"/>
  <c r="K323" i="48"/>
  <c r="G323" i="48"/>
  <c r="P323" i="48" s="1"/>
  <c r="X322" i="48"/>
  <c r="U322" i="48"/>
  <c r="N322" i="48"/>
  <c r="K322" i="48"/>
  <c r="G322" i="48"/>
  <c r="P322" i="48" s="1"/>
  <c r="R322" i="48" s="1"/>
  <c r="X321" i="48"/>
  <c r="U321" i="48"/>
  <c r="N321" i="48"/>
  <c r="K321" i="48"/>
  <c r="G321" i="48"/>
  <c r="P321" i="48" s="1"/>
  <c r="X320" i="48"/>
  <c r="U320" i="48"/>
  <c r="N320" i="48"/>
  <c r="K320" i="48"/>
  <c r="G320" i="48"/>
  <c r="P320" i="48" s="1"/>
  <c r="X319" i="48"/>
  <c r="U319" i="48"/>
  <c r="N319" i="48"/>
  <c r="K319" i="48"/>
  <c r="G319" i="48"/>
  <c r="P319" i="48" s="1"/>
  <c r="W318" i="48"/>
  <c r="V318" i="48"/>
  <c r="T318" i="48"/>
  <c r="S318" i="48"/>
  <c r="M318" i="48"/>
  <c r="L318" i="48"/>
  <c r="J318" i="48"/>
  <c r="I318" i="48"/>
  <c r="X317" i="48"/>
  <c r="U317" i="48"/>
  <c r="N317" i="48"/>
  <c r="K317" i="48"/>
  <c r="G317" i="48"/>
  <c r="P317" i="48" s="1"/>
  <c r="R317" i="48" s="1"/>
  <c r="H317" i="48" s="1"/>
  <c r="X316" i="48"/>
  <c r="U316" i="48"/>
  <c r="N316" i="48"/>
  <c r="K316" i="48"/>
  <c r="G316" i="48"/>
  <c r="P316" i="48" s="1"/>
  <c r="R316" i="48" s="1"/>
  <c r="X315" i="48"/>
  <c r="U315" i="48"/>
  <c r="N315" i="48"/>
  <c r="K315" i="48"/>
  <c r="G315" i="48"/>
  <c r="P315" i="48" s="1"/>
  <c r="R315" i="48" s="1"/>
  <c r="X314" i="48"/>
  <c r="U314" i="48"/>
  <c r="N314" i="48"/>
  <c r="K314" i="48"/>
  <c r="G314" i="48"/>
  <c r="P314" i="48" s="1"/>
  <c r="R314" i="48" s="1"/>
  <c r="X313" i="48"/>
  <c r="U313" i="48"/>
  <c r="N313" i="48"/>
  <c r="K313" i="48"/>
  <c r="G313" i="48"/>
  <c r="P313" i="48" s="1"/>
  <c r="R313" i="48" s="1"/>
  <c r="X312" i="48"/>
  <c r="U312" i="48"/>
  <c r="N312" i="48"/>
  <c r="K312" i="48"/>
  <c r="G312" i="48"/>
  <c r="P312" i="48" s="1"/>
  <c r="R312" i="48" s="1"/>
  <c r="X311" i="48"/>
  <c r="U311" i="48"/>
  <c r="N311" i="48"/>
  <c r="K311" i="48"/>
  <c r="G311" i="48"/>
  <c r="P311" i="48" s="1"/>
  <c r="R311" i="48" s="1"/>
  <c r="X310" i="48"/>
  <c r="U310" i="48"/>
  <c r="N310" i="48"/>
  <c r="K310" i="48"/>
  <c r="G310" i="48"/>
  <c r="P310" i="48" s="1"/>
  <c r="R310" i="48" s="1"/>
  <c r="X309" i="48"/>
  <c r="U309" i="48"/>
  <c r="N309" i="48"/>
  <c r="K309" i="48"/>
  <c r="G309" i="48"/>
  <c r="P309" i="48" s="1"/>
  <c r="R309" i="48" s="1"/>
  <c r="X308" i="48"/>
  <c r="U308" i="48"/>
  <c r="N308" i="48"/>
  <c r="K308" i="48"/>
  <c r="G308" i="48"/>
  <c r="P308" i="48" s="1"/>
  <c r="R308" i="48" s="1"/>
  <c r="X307" i="48"/>
  <c r="U307" i="48"/>
  <c r="N307" i="48"/>
  <c r="K307" i="48"/>
  <c r="G307" i="48"/>
  <c r="P307" i="48" s="1"/>
  <c r="R307" i="48" s="1"/>
  <c r="X306" i="48"/>
  <c r="U306" i="48"/>
  <c r="N306" i="48"/>
  <c r="K306" i="48"/>
  <c r="G306" i="48"/>
  <c r="P306" i="48" s="1"/>
  <c r="R306" i="48" s="1"/>
  <c r="X305" i="48"/>
  <c r="U305" i="48"/>
  <c r="N305" i="48"/>
  <c r="K305" i="48"/>
  <c r="F305" i="48"/>
  <c r="G305" i="48" s="1"/>
  <c r="P305" i="48" s="1"/>
  <c r="R305" i="48" s="1"/>
  <c r="X304" i="48"/>
  <c r="U304" i="48"/>
  <c r="N304" i="48"/>
  <c r="K304" i="48"/>
  <c r="F304" i="48"/>
  <c r="G304" i="48" s="1"/>
  <c r="P304" i="48" s="1"/>
  <c r="R304" i="48" s="1"/>
  <c r="X303" i="48"/>
  <c r="U303" i="48"/>
  <c r="N303" i="48"/>
  <c r="K303" i="48"/>
  <c r="F303" i="48"/>
  <c r="G303" i="48" s="1"/>
  <c r="W302" i="48"/>
  <c r="V302" i="48"/>
  <c r="T302" i="48"/>
  <c r="S302" i="48"/>
  <c r="M302" i="48"/>
  <c r="L302" i="48"/>
  <c r="J302" i="48"/>
  <c r="I302" i="48"/>
  <c r="X300" i="48"/>
  <c r="U300" i="48"/>
  <c r="N300" i="48"/>
  <c r="K300" i="48"/>
  <c r="G300" i="48"/>
  <c r="P300" i="48" s="1"/>
  <c r="X299" i="48"/>
  <c r="U299" i="48"/>
  <c r="N299" i="48"/>
  <c r="K299" i="48"/>
  <c r="G299" i="48"/>
  <c r="X298" i="48"/>
  <c r="U298" i="48"/>
  <c r="N298" i="48"/>
  <c r="K298" i="48"/>
  <c r="G298" i="48"/>
  <c r="P298" i="48" s="1"/>
  <c r="R298" i="48" s="1"/>
  <c r="W297" i="48"/>
  <c r="V297" i="48"/>
  <c r="T297" i="48"/>
  <c r="S297" i="48"/>
  <c r="M297" i="48"/>
  <c r="L297" i="48"/>
  <c r="J297" i="48"/>
  <c r="I297" i="48"/>
  <c r="X296" i="48"/>
  <c r="U296" i="48"/>
  <c r="N296" i="48"/>
  <c r="K296" i="48"/>
  <c r="G296" i="48"/>
  <c r="P296" i="48" s="1"/>
  <c r="X295" i="48"/>
  <c r="U295" i="48"/>
  <c r="N295" i="48"/>
  <c r="K295" i="48"/>
  <c r="G295" i="48"/>
  <c r="P295" i="48" s="1"/>
  <c r="X294" i="48"/>
  <c r="U294" i="48"/>
  <c r="N294" i="48"/>
  <c r="K294" i="48"/>
  <c r="G294" i="48"/>
  <c r="P294" i="48" s="1"/>
  <c r="R294" i="48" s="1"/>
  <c r="X293" i="48"/>
  <c r="U293" i="48"/>
  <c r="N293" i="48"/>
  <c r="K293" i="48"/>
  <c r="G293" i="48"/>
  <c r="P293" i="48" s="1"/>
  <c r="R293" i="48" s="1"/>
  <c r="X292" i="48"/>
  <c r="U292" i="48"/>
  <c r="N292" i="48"/>
  <c r="K292" i="48"/>
  <c r="G292" i="48"/>
  <c r="P292" i="48" s="1"/>
  <c r="X291" i="48"/>
  <c r="U291" i="48"/>
  <c r="N291" i="48"/>
  <c r="K291" i="48"/>
  <c r="G291" i="48"/>
  <c r="P291" i="48" s="1"/>
  <c r="X290" i="48"/>
  <c r="U290" i="48"/>
  <c r="N290" i="48"/>
  <c r="K290" i="48"/>
  <c r="G290" i="48"/>
  <c r="P290" i="48" s="1"/>
  <c r="R290" i="48" s="1"/>
  <c r="X289" i="48"/>
  <c r="U289" i="48"/>
  <c r="N289" i="48"/>
  <c r="K289" i="48"/>
  <c r="G289" i="48"/>
  <c r="P289" i="48" s="1"/>
  <c r="R289" i="48" s="1"/>
  <c r="X288" i="48"/>
  <c r="U288" i="48"/>
  <c r="N288" i="48"/>
  <c r="K288" i="48"/>
  <c r="G288" i="48"/>
  <c r="P288" i="48" s="1"/>
  <c r="X287" i="48"/>
  <c r="U287" i="48"/>
  <c r="N287" i="48"/>
  <c r="K287" i="48"/>
  <c r="G287" i="48"/>
  <c r="P287" i="48" s="1"/>
  <c r="X286" i="48"/>
  <c r="U286" i="48"/>
  <c r="N286" i="48"/>
  <c r="K286" i="48"/>
  <c r="G286" i="48"/>
  <c r="P286" i="48" s="1"/>
  <c r="R286" i="48" s="1"/>
  <c r="X285" i="48"/>
  <c r="U285" i="48"/>
  <c r="N285" i="48"/>
  <c r="K285" i="48"/>
  <c r="G285" i="48"/>
  <c r="P285" i="48" s="1"/>
  <c r="R285" i="48" s="1"/>
  <c r="X284" i="48"/>
  <c r="U284" i="48"/>
  <c r="N284" i="48"/>
  <c r="K284" i="48"/>
  <c r="G284" i="48"/>
  <c r="P284" i="48" s="1"/>
  <c r="X283" i="48"/>
  <c r="U283" i="48"/>
  <c r="N283" i="48"/>
  <c r="K283" i="48"/>
  <c r="G283" i="48"/>
  <c r="P283" i="48" s="1"/>
  <c r="X282" i="48"/>
  <c r="U282" i="48"/>
  <c r="N282" i="48"/>
  <c r="K282" i="48"/>
  <c r="G282" i="48"/>
  <c r="P282" i="48" s="1"/>
  <c r="R282" i="48" s="1"/>
  <c r="X281" i="48"/>
  <c r="U281" i="48"/>
  <c r="N281" i="48"/>
  <c r="K281" i="48"/>
  <c r="F281" i="48"/>
  <c r="G281" i="48" s="1"/>
  <c r="P281" i="48" s="1"/>
  <c r="X280" i="48"/>
  <c r="U280" i="48"/>
  <c r="N280" i="48"/>
  <c r="K280" i="48"/>
  <c r="F280" i="48"/>
  <c r="D280" i="48"/>
  <c r="X279" i="48"/>
  <c r="U279" i="48"/>
  <c r="N279" i="48"/>
  <c r="K279" i="48"/>
  <c r="F279" i="48"/>
  <c r="D279" i="48"/>
  <c r="X278" i="48"/>
  <c r="N278" i="48"/>
  <c r="H278" i="48"/>
  <c r="G278" i="48"/>
  <c r="P278" i="48" s="1"/>
  <c r="X277" i="48"/>
  <c r="N277" i="48"/>
  <c r="H277" i="48"/>
  <c r="G277" i="48"/>
  <c r="P277" i="48" s="1"/>
  <c r="X276" i="48"/>
  <c r="N276" i="48"/>
  <c r="H276" i="48"/>
  <c r="G276" i="48"/>
  <c r="P276" i="48" s="1"/>
  <c r="W275" i="48"/>
  <c r="V275" i="48"/>
  <c r="T275" i="48"/>
  <c r="M275" i="48"/>
  <c r="L275" i="48"/>
  <c r="J275" i="48"/>
  <c r="X274" i="48"/>
  <c r="U274" i="48"/>
  <c r="N274" i="48"/>
  <c r="K274" i="48"/>
  <c r="G274" i="48"/>
  <c r="P274" i="48" s="1"/>
  <c r="R274" i="48" s="1"/>
  <c r="X273" i="48"/>
  <c r="U273" i="48"/>
  <c r="N273" i="48"/>
  <c r="K273" i="48"/>
  <c r="G273" i="48"/>
  <c r="P273" i="48" s="1"/>
  <c r="X272" i="48"/>
  <c r="U272" i="48"/>
  <c r="N272" i="48"/>
  <c r="K272" i="48"/>
  <c r="G272" i="48"/>
  <c r="P272" i="48" s="1"/>
  <c r="X271" i="48"/>
  <c r="U271" i="48"/>
  <c r="N271" i="48"/>
  <c r="K271" i="48"/>
  <c r="G271" i="48"/>
  <c r="P271" i="48" s="1"/>
  <c r="X270" i="48"/>
  <c r="U270" i="48"/>
  <c r="N270" i="48"/>
  <c r="K270" i="48"/>
  <c r="G270" i="48"/>
  <c r="P270" i="48" s="1"/>
  <c r="R270" i="48" s="1"/>
  <c r="X269" i="48"/>
  <c r="U269" i="48"/>
  <c r="N269" i="48"/>
  <c r="K269" i="48"/>
  <c r="G269" i="48"/>
  <c r="P269" i="48" s="1"/>
  <c r="R269" i="48" s="1"/>
  <c r="X268" i="48"/>
  <c r="U268" i="48"/>
  <c r="N268" i="48"/>
  <c r="K268" i="48"/>
  <c r="D268" i="48"/>
  <c r="G268" i="48" s="1"/>
  <c r="P268" i="48" s="1"/>
  <c r="X267" i="48"/>
  <c r="U267" i="48"/>
  <c r="N267" i="48"/>
  <c r="K267" i="48"/>
  <c r="D267" i="48"/>
  <c r="G267" i="48" s="1"/>
  <c r="P267" i="48" s="1"/>
  <c r="X266" i="48"/>
  <c r="U266" i="48"/>
  <c r="N266" i="48"/>
  <c r="K266" i="48"/>
  <c r="D266" i="48"/>
  <c r="G266" i="48" s="1"/>
  <c r="W265" i="48"/>
  <c r="V265" i="48"/>
  <c r="T265" i="48"/>
  <c r="S265" i="48"/>
  <c r="M265" i="48"/>
  <c r="L265" i="48"/>
  <c r="J265" i="48"/>
  <c r="I265" i="48"/>
  <c r="X263" i="48"/>
  <c r="U263" i="48"/>
  <c r="N263" i="48"/>
  <c r="K263" i="48"/>
  <c r="D263" i="48"/>
  <c r="G263" i="48" s="1"/>
  <c r="P263" i="48" s="1"/>
  <c r="R263" i="48" s="1"/>
  <c r="X262" i="48"/>
  <c r="U262" i="48"/>
  <c r="N262" i="48"/>
  <c r="K262" i="48"/>
  <c r="D262" i="48"/>
  <c r="G262" i="48" s="1"/>
  <c r="P262" i="48" s="1"/>
  <c r="R262" i="48" s="1"/>
  <c r="X261" i="48"/>
  <c r="U261" i="48"/>
  <c r="N261" i="48"/>
  <c r="K261" i="48"/>
  <c r="D261" i="48"/>
  <c r="G261" i="48" s="1"/>
  <c r="P261" i="48" s="1"/>
  <c r="X260" i="48"/>
  <c r="U260" i="48"/>
  <c r="N260" i="48"/>
  <c r="K260" i="48"/>
  <c r="F260" i="48"/>
  <c r="D260" i="48"/>
  <c r="X259" i="48"/>
  <c r="U259" i="48"/>
  <c r="N259" i="48"/>
  <c r="K259" i="48"/>
  <c r="F259" i="48"/>
  <c r="D259" i="48"/>
  <c r="X258" i="48"/>
  <c r="U258" i="48"/>
  <c r="N258" i="48"/>
  <c r="K258" i="48"/>
  <c r="F258" i="48"/>
  <c r="D258" i="48"/>
  <c r="X257" i="48"/>
  <c r="U257" i="48"/>
  <c r="N257" i="48"/>
  <c r="K257" i="48"/>
  <c r="D257" i="48"/>
  <c r="G257" i="48" s="1"/>
  <c r="P257" i="48" s="1"/>
  <c r="R257" i="48" s="1"/>
  <c r="X256" i="48"/>
  <c r="U256" i="48"/>
  <c r="N256" i="48"/>
  <c r="K256" i="48"/>
  <c r="D256" i="48"/>
  <c r="G256" i="48" s="1"/>
  <c r="P256" i="48" s="1"/>
  <c r="R256" i="48" s="1"/>
  <c r="X255" i="48"/>
  <c r="U255" i="48"/>
  <c r="N255" i="48"/>
  <c r="K255" i="48"/>
  <c r="D255" i="48"/>
  <c r="G255" i="48" s="1"/>
  <c r="P255" i="48" s="1"/>
  <c r="X254" i="48"/>
  <c r="U254" i="48"/>
  <c r="N254" i="48"/>
  <c r="K254" i="48"/>
  <c r="D254" i="48"/>
  <c r="G254" i="48" s="1"/>
  <c r="P254" i="48" s="1"/>
  <c r="R254" i="48" s="1"/>
  <c r="X253" i="48"/>
  <c r="U253" i="48"/>
  <c r="N253" i="48"/>
  <c r="K253" i="48"/>
  <c r="D253" i="48"/>
  <c r="G253" i="48" s="1"/>
  <c r="P253" i="48" s="1"/>
  <c r="R253" i="48" s="1"/>
  <c r="X252" i="48"/>
  <c r="U252" i="48"/>
  <c r="N252" i="48"/>
  <c r="K252" i="48"/>
  <c r="D252" i="48"/>
  <c r="G252" i="48" s="1"/>
  <c r="P252" i="48" s="1"/>
  <c r="R252" i="48" s="1"/>
  <c r="W251" i="48"/>
  <c r="V251" i="48"/>
  <c r="T251" i="48"/>
  <c r="S251" i="48"/>
  <c r="M251" i="48"/>
  <c r="L251" i="48"/>
  <c r="J251" i="48"/>
  <c r="I251" i="48"/>
  <c r="U250" i="48"/>
  <c r="K250" i="48"/>
  <c r="D250" i="48"/>
  <c r="G250" i="48" s="1"/>
  <c r="P250" i="48" s="1"/>
  <c r="U249" i="48"/>
  <c r="K249" i="48"/>
  <c r="D249" i="48"/>
  <c r="G249" i="48" s="1"/>
  <c r="P249" i="48" s="1"/>
  <c r="R249" i="48" s="1"/>
  <c r="U248" i="48"/>
  <c r="K248" i="48"/>
  <c r="D248" i="48"/>
  <c r="G248" i="48" s="1"/>
  <c r="V247" i="48"/>
  <c r="T247" i="48"/>
  <c r="S247" i="48"/>
  <c r="L247" i="48"/>
  <c r="J247" i="48"/>
  <c r="I247" i="48"/>
  <c r="X246" i="48"/>
  <c r="U246" i="48"/>
  <c r="N246" i="48"/>
  <c r="K246" i="48"/>
  <c r="G246" i="48"/>
  <c r="P246" i="48" s="1"/>
  <c r="R246" i="48" s="1"/>
  <c r="X245" i="48"/>
  <c r="U245" i="48"/>
  <c r="N245" i="48"/>
  <c r="K245" i="48"/>
  <c r="G245" i="48"/>
  <c r="P245" i="48" s="1"/>
  <c r="X244" i="48"/>
  <c r="U244" i="48"/>
  <c r="N244" i="48"/>
  <c r="K244" i="48"/>
  <c r="G244" i="48"/>
  <c r="P244" i="48" s="1"/>
  <c r="X243" i="48"/>
  <c r="U243" i="48"/>
  <c r="N243" i="48"/>
  <c r="K243" i="48"/>
  <c r="G243" i="48"/>
  <c r="P243" i="48" s="1"/>
  <c r="X242" i="48"/>
  <c r="U242" i="48"/>
  <c r="N242" i="48"/>
  <c r="K242" i="48"/>
  <c r="G242" i="48"/>
  <c r="P242" i="48" s="1"/>
  <c r="R242" i="48" s="1"/>
  <c r="X241" i="48"/>
  <c r="U241" i="48"/>
  <c r="N241" i="48"/>
  <c r="K241" i="48"/>
  <c r="G241" i="48"/>
  <c r="P241" i="48" s="1"/>
  <c r="U240" i="48"/>
  <c r="K240" i="48"/>
  <c r="F240" i="48"/>
  <c r="G240" i="48" s="1"/>
  <c r="P240" i="48" s="1"/>
  <c r="W240" i="48" s="1"/>
  <c r="U239" i="48"/>
  <c r="K239" i="48"/>
  <c r="F239" i="48"/>
  <c r="G239" i="48" s="1"/>
  <c r="P239" i="48" s="1"/>
  <c r="W239" i="48" s="1"/>
  <c r="X239" i="48" s="1"/>
  <c r="U238" i="48"/>
  <c r="K238" i="48"/>
  <c r="F238" i="48"/>
  <c r="G238" i="48" s="1"/>
  <c r="P238" i="48" s="1"/>
  <c r="X237" i="48"/>
  <c r="U237" i="48"/>
  <c r="N237" i="48"/>
  <c r="K237" i="48"/>
  <c r="G237" i="48"/>
  <c r="P237" i="48" s="1"/>
  <c r="R237" i="48" s="1"/>
  <c r="X236" i="48"/>
  <c r="U236" i="48"/>
  <c r="N236" i="48"/>
  <c r="K236" i="48"/>
  <c r="G236" i="48"/>
  <c r="P236" i="48" s="1"/>
  <c r="X235" i="48"/>
  <c r="U235" i="48"/>
  <c r="N235" i="48"/>
  <c r="K235" i="48"/>
  <c r="G235" i="48"/>
  <c r="P235" i="48" s="1"/>
  <c r="X234" i="48"/>
  <c r="N234" i="48"/>
  <c r="H234" i="48"/>
  <c r="G234" i="48"/>
  <c r="P234" i="48" s="1"/>
  <c r="X233" i="48"/>
  <c r="N233" i="48"/>
  <c r="H233" i="48"/>
  <c r="G233" i="48"/>
  <c r="P233" i="48" s="1"/>
  <c r="X232" i="48"/>
  <c r="N232" i="48"/>
  <c r="H232" i="48"/>
  <c r="G232" i="48"/>
  <c r="V231" i="48"/>
  <c r="T231" i="48"/>
  <c r="L231" i="48"/>
  <c r="J231" i="48"/>
  <c r="X230" i="48"/>
  <c r="U230" i="48"/>
  <c r="N230" i="48"/>
  <c r="K230" i="48"/>
  <c r="F230" i="48"/>
  <c r="G230" i="48" s="1"/>
  <c r="P230" i="48" s="1"/>
  <c r="R230" i="48" s="1"/>
  <c r="X229" i="48"/>
  <c r="U229" i="48"/>
  <c r="N229" i="48"/>
  <c r="K229" i="48"/>
  <c r="F229" i="48"/>
  <c r="G229" i="48" s="1"/>
  <c r="P229" i="48" s="1"/>
  <c r="R229" i="48" s="1"/>
  <c r="X228" i="48"/>
  <c r="U228" i="48"/>
  <c r="N228" i="48"/>
  <c r="K228" i="48"/>
  <c r="F228" i="48"/>
  <c r="G228" i="48" s="1"/>
  <c r="P228" i="48" s="1"/>
  <c r="R228" i="48" s="1"/>
  <c r="X227" i="48"/>
  <c r="U227" i="48"/>
  <c r="N227" i="48"/>
  <c r="K227" i="48"/>
  <c r="G227" i="48"/>
  <c r="P227" i="48" s="1"/>
  <c r="X226" i="48"/>
  <c r="U226" i="48"/>
  <c r="N226" i="48"/>
  <c r="K226" i="48"/>
  <c r="G226" i="48"/>
  <c r="P226" i="48" s="1"/>
  <c r="X225" i="48"/>
  <c r="U225" i="48"/>
  <c r="N225" i="48"/>
  <c r="K225" i="48"/>
  <c r="G225" i="48"/>
  <c r="P225" i="48" s="1"/>
  <c r="X224" i="48"/>
  <c r="U224" i="48"/>
  <c r="N224" i="48"/>
  <c r="K224" i="48"/>
  <c r="F224" i="48"/>
  <c r="G224" i="48" s="1"/>
  <c r="P224" i="48" s="1"/>
  <c r="R224" i="48" s="1"/>
  <c r="X223" i="48"/>
  <c r="U223" i="48"/>
  <c r="N223" i="48"/>
  <c r="K223" i="48"/>
  <c r="F223" i="48"/>
  <c r="G223" i="48" s="1"/>
  <c r="P223" i="48" s="1"/>
  <c r="X222" i="48"/>
  <c r="U222" i="48"/>
  <c r="N222" i="48"/>
  <c r="K222" i="48"/>
  <c r="F222" i="48"/>
  <c r="G222" i="48" s="1"/>
  <c r="W221" i="48"/>
  <c r="V221" i="48"/>
  <c r="T221" i="48"/>
  <c r="S221" i="48"/>
  <c r="M221" i="48"/>
  <c r="L221" i="48"/>
  <c r="J221" i="48"/>
  <c r="I221" i="48"/>
  <c r="X219" i="48"/>
  <c r="U219" i="48"/>
  <c r="N219" i="48"/>
  <c r="K219" i="48"/>
  <c r="D219" i="48"/>
  <c r="G219" i="48" s="1"/>
  <c r="P219" i="48" s="1"/>
  <c r="X218" i="48"/>
  <c r="U218" i="48"/>
  <c r="N218" i="48"/>
  <c r="K218" i="48"/>
  <c r="D218" i="48"/>
  <c r="G218" i="48" s="1"/>
  <c r="P218" i="48" s="1"/>
  <c r="X217" i="48"/>
  <c r="U217" i="48"/>
  <c r="N217" i="48"/>
  <c r="K217" i="48"/>
  <c r="D217" i="48"/>
  <c r="G217" i="48" s="1"/>
  <c r="P217" i="48" s="1"/>
  <c r="X216" i="48"/>
  <c r="U216" i="48"/>
  <c r="N216" i="48"/>
  <c r="K216" i="48"/>
  <c r="D216" i="48"/>
  <c r="G216" i="48" s="1"/>
  <c r="P216" i="48" s="1"/>
  <c r="X215" i="48"/>
  <c r="U215" i="48"/>
  <c r="N215" i="48"/>
  <c r="K215" i="48"/>
  <c r="D215" i="48"/>
  <c r="G215" i="48" s="1"/>
  <c r="P215" i="48" s="1"/>
  <c r="X214" i="48"/>
  <c r="U214" i="48"/>
  <c r="N214" i="48"/>
  <c r="K214" i="48"/>
  <c r="D214" i="48"/>
  <c r="G214" i="48" s="1"/>
  <c r="P214" i="48" s="1"/>
  <c r="X213" i="48"/>
  <c r="U213" i="48"/>
  <c r="N213" i="48"/>
  <c r="K213" i="48"/>
  <c r="D213" i="48"/>
  <c r="G213" i="48" s="1"/>
  <c r="P213" i="48" s="1"/>
  <c r="X212" i="48"/>
  <c r="U212" i="48"/>
  <c r="N212" i="48"/>
  <c r="K212" i="48"/>
  <c r="D212" i="48"/>
  <c r="G212" i="48" s="1"/>
  <c r="P212" i="48" s="1"/>
  <c r="X211" i="48"/>
  <c r="U211" i="48"/>
  <c r="N211" i="48"/>
  <c r="K211" i="48"/>
  <c r="D211" i="48"/>
  <c r="G211" i="48" s="1"/>
  <c r="W210" i="48"/>
  <c r="V210" i="48"/>
  <c r="T210" i="48"/>
  <c r="S210" i="48"/>
  <c r="M210" i="48"/>
  <c r="L210" i="48"/>
  <c r="J210" i="48"/>
  <c r="I210" i="48"/>
  <c r="U209" i="48"/>
  <c r="K209" i="48"/>
  <c r="G209" i="48"/>
  <c r="P209" i="48" s="1"/>
  <c r="U208" i="48"/>
  <c r="K208" i="48"/>
  <c r="G208" i="48"/>
  <c r="P208" i="48" s="1"/>
  <c r="R208" i="48" s="1"/>
  <c r="H208" i="48" s="1"/>
  <c r="U207" i="48"/>
  <c r="K207" i="48"/>
  <c r="G207" i="48"/>
  <c r="V206" i="48"/>
  <c r="T206" i="48"/>
  <c r="S206" i="48"/>
  <c r="L206" i="48"/>
  <c r="J206" i="48"/>
  <c r="I206" i="48"/>
  <c r="X205" i="48"/>
  <c r="U205" i="48"/>
  <c r="N205" i="48"/>
  <c r="K205" i="48"/>
  <c r="G205" i="48"/>
  <c r="P205" i="48" s="1"/>
  <c r="R205" i="48" s="1"/>
  <c r="X204" i="48"/>
  <c r="U204" i="48"/>
  <c r="N204" i="48"/>
  <c r="K204" i="48"/>
  <c r="G204" i="48"/>
  <c r="P204" i="48" s="1"/>
  <c r="X203" i="48"/>
  <c r="U203" i="48"/>
  <c r="N203" i="48"/>
  <c r="K203" i="48"/>
  <c r="G203" i="48"/>
  <c r="P203" i="48" s="1"/>
  <c r="X202" i="48"/>
  <c r="U202" i="48"/>
  <c r="N202" i="48"/>
  <c r="K202" i="48"/>
  <c r="G202" i="48"/>
  <c r="P202" i="48" s="1"/>
  <c r="X201" i="48"/>
  <c r="U201" i="48"/>
  <c r="N201" i="48"/>
  <c r="K201" i="48"/>
  <c r="G201" i="48"/>
  <c r="P201" i="48" s="1"/>
  <c r="R201" i="48" s="1"/>
  <c r="H201" i="48" s="1"/>
  <c r="X200" i="48"/>
  <c r="U200" i="48"/>
  <c r="N200" i="48"/>
  <c r="K200" i="48"/>
  <c r="G200" i="48"/>
  <c r="W199" i="48"/>
  <c r="V199" i="48"/>
  <c r="T199" i="48"/>
  <c r="S199" i="48"/>
  <c r="M199" i="48"/>
  <c r="L199" i="48"/>
  <c r="J199" i="48"/>
  <c r="I199" i="48"/>
  <c r="U198" i="48"/>
  <c r="K198" i="48"/>
  <c r="H198" i="48"/>
  <c r="G198" i="48"/>
  <c r="P198" i="48" s="1"/>
  <c r="U197" i="48"/>
  <c r="K197" i="48"/>
  <c r="H197" i="48"/>
  <c r="D197" i="48"/>
  <c r="G197" i="48" s="1"/>
  <c r="P197" i="48" s="1"/>
  <c r="U196" i="48"/>
  <c r="K196" i="48"/>
  <c r="H196" i="48"/>
  <c r="G196" i="48"/>
  <c r="P196" i="48" s="1"/>
  <c r="X195" i="48"/>
  <c r="U195" i="48"/>
  <c r="N195" i="48"/>
  <c r="K195" i="48"/>
  <c r="G195" i="48"/>
  <c r="P195" i="48" s="1"/>
  <c r="X194" i="48"/>
  <c r="U194" i="48"/>
  <c r="N194" i="48"/>
  <c r="K194" i="48"/>
  <c r="G194" i="48"/>
  <c r="P194" i="48" s="1"/>
  <c r="R194" i="48" s="1"/>
  <c r="X193" i="48"/>
  <c r="U193" i="48"/>
  <c r="N193" i="48"/>
  <c r="K193" i="48"/>
  <c r="G193" i="48"/>
  <c r="P193" i="48" s="1"/>
  <c r="U192" i="48"/>
  <c r="K192" i="48"/>
  <c r="G192" i="48"/>
  <c r="P192" i="48" s="1"/>
  <c r="R192" i="48" s="1"/>
  <c r="H192" i="48" s="1"/>
  <c r="U191" i="48"/>
  <c r="K191" i="48"/>
  <c r="G191" i="48"/>
  <c r="U190" i="48"/>
  <c r="K190" i="48"/>
  <c r="G190" i="48"/>
  <c r="P190" i="48" s="1"/>
  <c r="T189" i="48"/>
  <c r="S189" i="48"/>
  <c r="J189" i="48"/>
  <c r="I189" i="48"/>
  <c r="X188" i="48"/>
  <c r="U188" i="48"/>
  <c r="N188" i="48"/>
  <c r="K188" i="48"/>
  <c r="D188" i="48"/>
  <c r="G188" i="48" s="1"/>
  <c r="P188" i="48" s="1"/>
  <c r="X187" i="48"/>
  <c r="U187" i="48"/>
  <c r="N187" i="48"/>
  <c r="K187" i="48"/>
  <c r="D187" i="48"/>
  <c r="G187" i="48" s="1"/>
  <c r="P187" i="48" s="1"/>
  <c r="X186" i="48"/>
  <c r="U186" i="48"/>
  <c r="N186" i="48"/>
  <c r="K186" i="48"/>
  <c r="D186" i="48"/>
  <c r="G186" i="48" s="1"/>
  <c r="P186" i="48" s="1"/>
  <c r="X185" i="48"/>
  <c r="U185" i="48"/>
  <c r="N185" i="48"/>
  <c r="K185" i="48"/>
  <c r="D185" i="48"/>
  <c r="G185" i="48" s="1"/>
  <c r="P185" i="48" s="1"/>
  <c r="X184" i="48"/>
  <c r="U184" i="48"/>
  <c r="N184" i="48"/>
  <c r="K184" i="48"/>
  <c r="D184" i="48"/>
  <c r="G184" i="48" s="1"/>
  <c r="P184" i="48" s="1"/>
  <c r="X183" i="48"/>
  <c r="U183" i="48"/>
  <c r="N183" i="48"/>
  <c r="K183" i="48"/>
  <c r="D183" i="48"/>
  <c r="G183" i="48" s="1"/>
  <c r="P183" i="48" s="1"/>
  <c r="X182" i="48"/>
  <c r="U182" i="48"/>
  <c r="N182" i="48"/>
  <c r="K182" i="48"/>
  <c r="D182" i="48"/>
  <c r="G182" i="48" s="1"/>
  <c r="P182" i="48" s="1"/>
  <c r="X181" i="48"/>
  <c r="U181" i="48"/>
  <c r="N181" i="48"/>
  <c r="K181" i="48"/>
  <c r="D181" i="48"/>
  <c r="G181" i="48" s="1"/>
  <c r="P181" i="48" s="1"/>
  <c r="X180" i="48"/>
  <c r="U180" i="48"/>
  <c r="N180" i="48"/>
  <c r="K180" i="48"/>
  <c r="D180" i="48"/>
  <c r="G180" i="48" s="1"/>
  <c r="P180" i="48" s="1"/>
  <c r="X179" i="48"/>
  <c r="U179" i="48"/>
  <c r="N179" i="48"/>
  <c r="K179" i="48"/>
  <c r="G179" i="48"/>
  <c r="P179" i="48" s="1"/>
  <c r="X178" i="48"/>
  <c r="U178" i="48"/>
  <c r="N178" i="48"/>
  <c r="K178" i="48"/>
  <c r="G178" i="48"/>
  <c r="P178" i="48" s="1"/>
  <c r="X177" i="48"/>
  <c r="U177" i="48"/>
  <c r="N177" i="48"/>
  <c r="K177" i="48"/>
  <c r="G177" i="48"/>
  <c r="P177" i="48" s="1"/>
  <c r="X176" i="48"/>
  <c r="U176" i="48"/>
  <c r="N176" i="48"/>
  <c r="K176" i="48"/>
  <c r="D176" i="48"/>
  <c r="G176" i="48" s="1"/>
  <c r="P176" i="48" s="1"/>
  <c r="X175" i="48"/>
  <c r="U175" i="48"/>
  <c r="N175" i="48"/>
  <c r="K175" i="48"/>
  <c r="D175" i="48"/>
  <c r="G175" i="48" s="1"/>
  <c r="P175" i="48" s="1"/>
  <c r="X174" i="48"/>
  <c r="U174" i="48"/>
  <c r="N174" i="48"/>
  <c r="K174" i="48"/>
  <c r="D174" i="48"/>
  <c r="G174" i="48" s="1"/>
  <c r="P174" i="48" s="1"/>
  <c r="X173" i="48"/>
  <c r="U173" i="48"/>
  <c r="N173" i="48"/>
  <c r="K173" i="48"/>
  <c r="D173" i="48"/>
  <c r="G173" i="48" s="1"/>
  <c r="P173" i="48" s="1"/>
  <c r="X172" i="48"/>
  <c r="U172" i="48"/>
  <c r="N172" i="48"/>
  <c r="K172" i="48"/>
  <c r="D172" i="48"/>
  <c r="G172" i="48" s="1"/>
  <c r="P172" i="48" s="1"/>
  <c r="X171" i="48"/>
  <c r="U171" i="48"/>
  <c r="N171" i="48"/>
  <c r="K171" i="48"/>
  <c r="D171" i="48"/>
  <c r="G171" i="48" s="1"/>
  <c r="P171" i="48" s="1"/>
  <c r="X170" i="48"/>
  <c r="U170" i="48"/>
  <c r="N170" i="48"/>
  <c r="K170" i="48"/>
  <c r="D170" i="48"/>
  <c r="G170" i="48" s="1"/>
  <c r="P170" i="48" s="1"/>
  <c r="X169" i="48"/>
  <c r="U169" i="48"/>
  <c r="N169" i="48"/>
  <c r="K169" i="48"/>
  <c r="D169" i="48"/>
  <c r="G169" i="48" s="1"/>
  <c r="P169" i="48" s="1"/>
  <c r="X168" i="48"/>
  <c r="U168" i="48"/>
  <c r="N168" i="48"/>
  <c r="K168" i="48"/>
  <c r="D168" i="48"/>
  <c r="G168" i="48" s="1"/>
  <c r="W167" i="48"/>
  <c r="V167" i="48"/>
  <c r="T167" i="48"/>
  <c r="S167" i="48"/>
  <c r="M167" i="48"/>
  <c r="L167" i="48"/>
  <c r="J167" i="48"/>
  <c r="I167" i="48"/>
  <c r="U166" i="48"/>
  <c r="K166" i="48"/>
  <c r="H166" i="48"/>
  <c r="D166" i="48"/>
  <c r="G166" i="48" s="1"/>
  <c r="P166" i="48" s="1"/>
  <c r="U165" i="48"/>
  <c r="K165" i="48"/>
  <c r="H165" i="48"/>
  <c r="D165" i="48"/>
  <c r="G165" i="48" s="1"/>
  <c r="P165" i="48" s="1"/>
  <c r="U164" i="48"/>
  <c r="K164" i="48"/>
  <c r="H164" i="48"/>
  <c r="G164" i="48"/>
  <c r="P164" i="48" s="1"/>
  <c r="D164" i="48"/>
  <c r="U163" i="48"/>
  <c r="K163" i="48"/>
  <c r="G163" i="48"/>
  <c r="P163" i="48" s="1"/>
  <c r="U162" i="48"/>
  <c r="K162" i="48"/>
  <c r="G162" i="48"/>
  <c r="P162" i="48" s="1"/>
  <c r="R162" i="48" s="1"/>
  <c r="H162" i="48" s="1"/>
  <c r="U161" i="48"/>
  <c r="K161" i="48"/>
  <c r="G161" i="48"/>
  <c r="P161" i="48" s="1"/>
  <c r="W161" i="48" s="1"/>
  <c r="X161" i="48" s="1"/>
  <c r="X160" i="48"/>
  <c r="U160" i="48"/>
  <c r="N160" i="48"/>
  <c r="K160" i="48"/>
  <c r="G160" i="48"/>
  <c r="P160" i="48" s="1"/>
  <c r="X159" i="48"/>
  <c r="U159" i="48"/>
  <c r="N159" i="48"/>
  <c r="K159" i="48"/>
  <c r="G159" i="48"/>
  <c r="P159" i="48" s="1"/>
  <c r="R159" i="48" s="1"/>
  <c r="X158" i="48"/>
  <c r="U158" i="48"/>
  <c r="N158" i="48"/>
  <c r="K158" i="48"/>
  <c r="G158" i="48"/>
  <c r="P158" i="48" s="1"/>
  <c r="V157" i="48"/>
  <c r="T157" i="48"/>
  <c r="S157" i="48"/>
  <c r="L157" i="48"/>
  <c r="J157" i="48"/>
  <c r="I157" i="48"/>
  <c r="X156" i="48"/>
  <c r="U156" i="48"/>
  <c r="N156" i="48"/>
  <c r="K156" i="48"/>
  <c r="G156" i="48"/>
  <c r="P156" i="48" s="1"/>
  <c r="R156" i="48" s="1"/>
  <c r="X155" i="48"/>
  <c r="U155" i="48"/>
  <c r="N155" i="48"/>
  <c r="K155" i="48"/>
  <c r="G155" i="48"/>
  <c r="P155" i="48" s="1"/>
  <c r="X154" i="48"/>
  <c r="U154" i="48"/>
  <c r="N154" i="48"/>
  <c r="K154" i="48"/>
  <c r="G154" i="48"/>
  <c r="P154" i="48" s="1"/>
  <c r="X153" i="48"/>
  <c r="U153" i="48"/>
  <c r="N153" i="48"/>
  <c r="K153" i="48"/>
  <c r="G153" i="48"/>
  <c r="P153" i="48" s="1"/>
  <c r="X152" i="48"/>
  <c r="U152" i="48"/>
  <c r="N152" i="48"/>
  <c r="K152" i="48"/>
  <c r="G152" i="48"/>
  <c r="P152" i="48" s="1"/>
  <c r="R152" i="48" s="1"/>
  <c r="X151" i="48"/>
  <c r="U151" i="48"/>
  <c r="N151" i="48"/>
  <c r="K151" i="48"/>
  <c r="G151" i="48"/>
  <c r="P151" i="48" s="1"/>
  <c r="X150" i="48"/>
  <c r="U150" i="48"/>
  <c r="N150" i="48"/>
  <c r="K150" i="48"/>
  <c r="F150" i="48"/>
  <c r="G150" i="48" s="1"/>
  <c r="P150" i="48" s="1"/>
  <c r="X149" i="48"/>
  <c r="U149" i="48"/>
  <c r="N149" i="48"/>
  <c r="K149" i="48"/>
  <c r="F149" i="48"/>
  <c r="G149" i="48" s="1"/>
  <c r="P149" i="48" s="1"/>
  <c r="X148" i="48"/>
  <c r="U148" i="48"/>
  <c r="N148" i="48"/>
  <c r="K148" i="48"/>
  <c r="F148" i="48"/>
  <c r="G148" i="48" s="1"/>
  <c r="P148" i="48" s="1"/>
  <c r="X147" i="48"/>
  <c r="U147" i="48"/>
  <c r="N147" i="48"/>
  <c r="K147" i="48"/>
  <c r="G147" i="48"/>
  <c r="P147" i="48" s="1"/>
  <c r="X146" i="48"/>
  <c r="U146" i="48"/>
  <c r="N146" i="48"/>
  <c r="K146" i="48"/>
  <c r="G146" i="48"/>
  <c r="X145" i="48"/>
  <c r="U145" i="48"/>
  <c r="N145" i="48"/>
  <c r="K145" i="48"/>
  <c r="G145" i="48"/>
  <c r="P145" i="48" s="1"/>
  <c r="X144" i="48"/>
  <c r="N144" i="48"/>
  <c r="H144" i="48"/>
  <c r="G144" i="48"/>
  <c r="P144" i="48" s="1"/>
  <c r="X143" i="48"/>
  <c r="N143" i="48"/>
  <c r="H143" i="48"/>
  <c r="G143" i="48"/>
  <c r="P143" i="48" s="1"/>
  <c r="X142" i="48"/>
  <c r="N142" i="48"/>
  <c r="H142" i="48"/>
  <c r="G142" i="48"/>
  <c r="P142" i="48" s="1"/>
  <c r="S142" i="48" s="1"/>
  <c r="I142" i="48" s="1"/>
  <c r="W141" i="48"/>
  <c r="V141" i="48"/>
  <c r="T141" i="48"/>
  <c r="M141" i="48"/>
  <c r="L141" i="48"/>
  <c r="J141" i="48"/>
  <c r="X139" i="48"/>
  <c r="U139" i="48"/>
  <c r="N139" i="48"/>
  <c r="K139" i="48"/>
  <c r="D139" i="48"/>
  <c r="G139" i="48" s="1"/>
  <c r="P139" i="48" s="1"/>
  <c r="X138" i="48"/>
  <c r="U138" i="48"/>
  <c r="N138" i="48"/>
  <c r="K138" i="48"/>
  <c r="D138" i="48"/>
  <c r="G138" i="48" s="1"/>
  <c r="P138" i="48" s="1"/>
  <c r="X137" i="48"/>
  <c r="U137" i="48"/>
  <c r="N137" i="48"/>
  <c r="K137" i="48"/>
  <c r="D137" i="48"/>
  <c r="G137" i="48" s="1"/>
  <c r="P137" i="48" s="1"/>
  <c r="X136" i="48"/>
  <c r="U136" i="48"/>
  <c r="N136" i="48"/>
  <c r="K136" i="48"/>
  <c r="F136" i="48"/>
  <c r="G136" i="48" s="1"/>
  <c r="P136" i="48" s="1"/>
  <c r="X135" i="48"/>
  <c r="U135" i="48"/>
  <c r="N135" i="48"/>
  <c r="K135" i="48"/>
  <c r="F135" i="48"/>
  <c r="G135" i="48" s="1"/>
  <c r="P135" i="48" s="1"/>
  <c r="X134" i="48"/>
  <c r="U134" i="48"/>
  <c r="N134" i="48"/>
  <c r="K134" i="48"/>
  <c r="F134" i="48"/>
  <c r="G134" i="48" s="1"/>
  <c r="P134" i="48" s="1"/>
  <c r="X133" i="48"/>
  <c r="U133" i="48"/>
  <c r="N133" i="48"/>
  <c r="K133" i="48"/>
  <c r="F133" i="48"/>
  <c r="G133" i="48" s="1"/>
  <c r="P133" i="48" s="1"/>
  <c r="X132" i="48"/>
  <c r="U132" i="48"/>
  <c r="N132" i="48"/>
  <c r="K132" i="48"/>
  <c r="F132" i="48"/>
  <c r="G132" i="48" s="1"/>
  <c r="P132" i="48" s="1"/>
  <c r="X131" i="48"/>
  <c r="U131" i="48"/>
  <c r="N131" i="48"/>
  <c r="K131" i="48"/>
  <c r="F131" i="48"/>
  <c r="G131" i="48" s="1"/>
  <c r="P131" i="48" s="1"/>
  <c r="X130" i="48"/>
  <c r="U130" i="48"/>
  <c r="N130" i="48"/>
  <c r="K130" i="48"/>
  <c r="F130" i="48"/>
  <c r="D130" i="48"/>
  <c r="G130" i="48" s="1"/>
  <c r="P130" i="48" s="1"/>
  <c r="X129" i="48"/>
  <c r="U129" i="48"/>
  <c r="N129" i="48"/>
  <c r="K129" i="48"/>
  <c r="F129" i="48"/>
  <c r="D129" i="48"/>
  <c r="X128" i="48"/>
  <c r="U128" i="48"/>
  <c r="N128" i="48"/>
  <c r="K128" i="48"/>
  <c r="F128" i="48"/>
  <c r="D128" i="48"/>
  <c r="W127" i="48"/>
  <c r="V127" i="48"/>
  <c r="T127" i="48"/>
  <c r="S127" i="48"/>
  <c r="M127" i="48"/>
  <c r="L127" i="48"/>
  <c r="J127" i="48"/>
  <c r="I127" i="48"/>
  <c r="X126" i="48"/>
  <c r="U126" i="48"/>
  <c r="N126" i="48"/>
  <c r="K126" i="48"/>
  <c r="G126" i="48"/>
  <c r="P126" i="48" s="1"/>
  <c r="R126" i="48" s="1"/>
  <c r="X125" i="48"/>
  <c r="U125" i="48"/>
  <c r="N125" i="48"/>
  <c r="K125" i="48"/>
  <c r="G125" i="48"/>
  <c r="P125" i="48" s="1"/>
  <c r="X124" i="48"/>
  <c r="U124" i="48"/>
  <c r="N124" i="48"/>
  <c r="K124" i="48"/>
  <c r="G124" i="48"/>
  <c r="P124" i="48" s="1"/>
  <c r="X123" i="48"/>
  <c r="U123" i="48"/>
  <c r="N123" i="48"/>
  <c r="K123" i="48"/>
  <c r="D123" i="48"/>
  <c r="G123" i="48" s="1"/>
  <c r="P123" i="48" s="1"/>
  <c r="X122" i="48"/>
  <c r="U122" i="48"/>
  <c r="N122" i="48"/>
  <c r="K122" i="48"/>
  <c r="D122" i="48"/>
  <c r="G122" i="48" s="1"/>
  <c r="P122" i="48" s="1"/>
  <c r="X121" i="48"/>
  <c r="U121" i="48"/>
  <c r="N121" i="48"/>
  <c r="K121" i="48"/>
  <c r="D121" i="48"/>
  <c r="G121" i="48" s="1"/>
  <c r="P121" i="48" s="1"/>
  <c r="R121" i="48" s="1"/>
  <c r="X120" i="48"/>
  <c r="U120" i="48"/>
  <c r="N120" i="48"/>
  <c r="K120" i="48"/>
  <c r="D120" i="48"/>
  <c r="G120" i="48" s="1"/>
  <c r="P120" i="48" s="1"/>
  <c r="R120" i="48" s="1"/>
  <c r="X119" i="48"/>
  <c r="U119" i="48"/>
  <c r="N119" i="48"/>
  <c r="K119" i="48"/>
  <c r="D119" i="48"/>
  <c r="G119" i="48" s="1"/>
  <c r="P119" i="48" s="1"/>
  <c r="X118" i="48"/>
  <c r="U118" i="48"/>
  <c r="N118" i="48"/>
  <c r="K118" i="48"/>
  <c r="D118" i="48"/>
  <c r="G118" i="48" s="1"/>
  <c r="P118" i="48" s="1"/>
  <c r="X117" i="48"/>
  <c r="U117" i="48"/>
  <c r="N117" i="48"/>
  <c r="K117" i="48"/>
  <c r="G117" i="48"/>
  <c r="P117" i="48" s="1"/>
  <c r="R117" i="48" s="1"/>
  <c r="X116" i="48"/>
  <c r="U116" i="48"/>
  <c r="N116" i="48"/>
  <c r="K116" i="48"/>
  <c r="D116" i="48"/>
  <c r="G116" i="48" s="1"/>
  <c r="P116" i="48" s="1"/>
  <c r="R116" i="48" s="1"/>
  <c r="X115" i="48"/>
  <c r="U115" i="48"/>
  <c r="N115" i="48"/>
  <c r="K115" i="48"/>
  <c r="G115" i="48"/>
  <c r="P115" i="48" s="1"/>
  <c r="X114" i="48"/>
  <c r="U114" i="48"/>
  <c r="N114" i="48"/>
  <c r="K114" i="48"/>
  <c r="D114" i="48"/>
  <c r="G114" i="48" s="1"/>
  <c r="P114" i="48" s="1"/>
  <c r="X113" i="48"/>
  <c r="U113" i="48"/>
  <c r="N113" i="48"/>
  <c r="K113" i="48"/>
  <c r="D113" i="48"/>
  <c r="G113" i="48" s="1"/>
  <c r="P113" i="48" s="1"/>
  <c r="X112" i="48"/>
  <c r="U112" i="48"/>
  <c r="N112" i="48"/>
  <c r="K112" i="48"/>
  <c r="D112" i="48"/>
  <c r="G112" i="48" s="1"/>
  <c r="P112" i="48" s="1"/>
  <c r="X111" i="48"/>
  <c r="U111" i="48"/>
  <c r="N111" i="48"/>
  <c r="K111" i="48"/>
  <c r="D111" i="48"/>
  <c r="G111" i="48" s="1"/>
  <c r="P111" i="48" s="1"/>
  <c r="X110" i="48"/>
  <c r="U110" i="48"/>
  <c r="N110" i="48"/>
  <c r="K110" i="48"/>
  <c r="D110" i="48"/>
  <c r="G110" i="48" s="1"/>
  <c r="P110" i="48" s="1"/>
  <c r="X109" i="48"/>
  <c r="U109" i="48"/>
  <c r="N109" i="48"/>
  <c r="K109" i="48"/>
  <c r="D109" i="48"/>
  <c r="G109" i="48" s="1"/>
  <c r="P109" i="48" s="1"/>
  <c r="X108" i="48"/>
  <c r="U108" i="48"/>
  <c r="N108" i="48"/>
  <c r="K108" i="48"/>
  <c r="D108" i="48"/>
  <c r="G108" i="48" s="1"/>
  <c r="P108" i="48" s="1"/>
  <c r="X107" i="48"/>
  <c r="U107" i="48"/>
  <c r="N107" i="48"/>
  <c r="K107" i="48"/>
  <c r="D107" i="48"/>
  <c r="G107" i="48" s="1"/>
  <c r="P107" i="48" s="1"/>
  <c r="X106" i="48"/>
  <c r="U106" i="48"/>
  <c r="N106" i="48"/>
  <c r="K106" i="48"/>
  <c r="D106" i="48"/>
  <c r="G106" i="48" s="1"/>
  <c r="P106" i="48" s="1"/>
  <c r="X105" i="48"/>
  <c r="U105" i="48"/>
  <c r="N105" i="48"/>
  <c r="K105" i="48"/>
  <c r="G105" i="48"/>
  <c r="P105" i="48" s="1"/>
  <c r="X104" i="48"/>
  <c r="U104" i="48"/>
  <c r="N104" i="48"/>
  <c r="K104" i="48"/>
  <c r="G104" i="48"/>
  <c r="X103" i="48"/>
  <c r="U103" i="48"/>
  <c r="N103" i="48"/>
  <c r="K103" i="48"/>
  <c r="G103" i="48"/>
  <c r="P103" i="48" s="1"/>
  <c r="W102" i="48"/>
  <c r="V102" i="48"/>
  <c r="T102" i="48"/>
  <c r="S102" i="48"/>
  <c r="M102" i="48"/>
  <c r="L102" i="48"/>
  <c r="J102" i="48"/>
  <c r="I102" i="48"/>
  <c r="X101" i="48"/>
  <c r="U101" i="48"/>
  <c r="N101" i="48"/>
  <c r="K101" i="48"/>
  <c r="G101" i="48"/>
  <c r="P101" i="48" s="1"/>
  <c r="X100" i="48"/>
  <c r="U100" i="48"/>
  <c r="N100" i="48"/>
  <c r="K100" i="48"/>
  <c r="G100" i="48"/>
  <c r="P100" i="48" s="1"/>
  <c r="X99" i="48"/>
  <c r="U99" i="48"/>
  <c r="N99" i="48"/>
  <c r="K99" i="48"/>
  <c r="G99" i="48"/>
  <c r="P99" i="48" s="1"/>
  <c r="X98" i="48"/>
  <c r="U98" i="48"/>
  <c r="N98" i="48"/>
  <c r="K98" i="48"/>
  <c r="G98" i="48"/>
  <c r="P98" i="48" s="1"/>
  <c r="R98" i="48" s="1"/>
  <c r="H98" i="48" s="1"/>
  <c r="X97" i="48"/>
  <c r="U97" i="48"/>
  <c r="N97" i="48"/>
  <c r="K97" i="48"/>
  <c r="G97" i="48"/>
  <c r="P97" i="48" s="1"/>
  <c r="X96" i="48"/>
  <c r="U96" i="48"/>
  <c r="N96" i="48"/>
  <c r="K96" i="48"/>
  <c r="G96" i="48"/>
  <c r="P96" i="48" s="1"/>
  <c r="X95" i="48"/>
  <c r="U95" i="48"/>
  <c r="N95" i="48"/>
  <c r="K95" i="48"/>
  <c r="F95" i="48"/>
  <c r="G95" i="48" s="1"/>
  <c r="P95" i="48" s="1"/>
  <c r="X94" i="48"/>
  <c r="U94" i="48"/>
  <c r="N94" i="48"/>
  <c r="K94" i="48"/>
  <c r="F94" i="48"/>
  <c r="G94" i="48" s="1"/>
  <c r="P94" i="48" s="1"/>
  <c r="R94" i="48" s="1"/>
  <c r="X93" i="48"/>
  <c r="U93" i="48"/>
  <c r="N93" i="48"/>
  <c r="K93" i="48"/>
  <c r="F93" i="48"/>
  <c r="G93" i="48" s="1"/>
  <c r="P93" i="48" s="1"/>
  <c r="X92" i="48"/>
  <c r="U92" i="48"/>
  <c r="N92" i="48"/>
  <c r="K92" i="48"/>
  <c r="G92" i="48"/>
  <c r="P92" i="48" s="1"/>
  <c r="R92" i="48" s="1"/>
  <c r="X91" i="48"/>
  <c r="U91" i="48"/>
  <c r="N91" i="48"/>
  <c r="K91" i="48"/>
  <c r="G91" i="48"/>
  <c r="P91" i="48" s="1"/>
  <c r="R91" i="48" s="1"/>
  <c r="X90" i="48"/>
  <c r="U90" i="48"/>
  <c r="N90" i="48"/>
  <c r="K90" i="48"/>
  <c r="G90" i="48"/>
  <c r="P90" i="48" s="1"/>
  <c r="X89" i="48"/>
  <c r="N89" i="48"/>
  <c r="H89" i="48"/>
  <c r="G89" i="48"/>
  <c r="P89" i="48" s="1"/>
  <c r="X88" i="48"/>
  <c r="N88" i="48"/>
  <c r="H88" i="48"/>
  <c r="G88" i="48"/>
  <c r="P88" i="48" s="1"/>
  <c r="X87" i="48"/>
  <c r="N87" i="48"/>
  <c r="H87" i="48"/>
  <c r="G87" i="48"/>
  <c r="P87" i="48" s="1"/>
  <c r="W86" i="48"/>
  <c r="V86" i="48"/>
  <c r="T86" i="48"/>
  <c r="M86" i="48"/>
  <c r="L86" i="48"/>
  <c r="J86" i="48"/>
  <c r="X85" i="48"/>
  <c r="U85" i="48"/>
  <c r="N85" i="48"/>
  <c r="K85" i="48"/>
  <c r="D85" i="48"/>
  <c r="G85" i="48" s="1"/>
  <c r="P85" i="48" s="1"/>
  <c r="X84" i="48"/>
  <c r="U84" i="48"/>
  <c r="N84" i="48"/>
  <c r="K84" i="48"/>
  <c r="D84" i="48"/>
  <c r="G84" i="48" s="1"/>
  <c r="P84" i="48" s="1"/>
  <c r="X83" i="48"/>
  <c r="U83" i="48"/>
  <c r="N83" i="48"/>
  <c r="K83" i="48"/>
  <c r="D83" i="48"/>
  <c r="G83" i="48" s="1"/>
  <c r="P83" i="48" s="1"/>
  <c r="X82" i="48"/>
  <c r="U82" i="48"/>
  <c r="N82" i="48"/>
  <c r="K82" i="48"/>
  <c r="G82" i="48"/>
  <c r="P82" i="48" s="1"/>
  <c r="R82" i="48" s="1"/>
  <c r="X81" i="48"/>
  <c r="U81" i="48"/>
  <c r="N81" i="48"/>
  <c r="K81" i="48"/>
  <c r="G81" i="48"/>
  <c r="P81" i="48" s="1"/>
  <c r="R81" i="48" s="1"/>
  <c r="X80" i="48"/>
  <c r="U80" i="48"/>
  <c r="N80" i="48"/>
  <c r="K80" i="48"/>
  <c r="G80" i="48"/>
  <c r="P80" i="48" s="1"/>
  <c r="X79" i="48"/>
  <c r="U79" i="48"/>
  <c r="N79" i="48"/>
  <c r="K79" i="48"/>
  <c r="G79" i="48"/>
  <c r="P79" i="48" s="1"/>
  <c r="X78" i="48"/>
  <c r="U78" i="48"/>
  <c r="N78" i="48"/>
  <c r="K78" i="48"/>
  <c r="G78" i="48"/>
  <c r="P78" i="48" s="1"/>
  <c r="R78" i="48" s="1"/>
  <c r="X77" i="48"/>
  <c r="U77" i="48"/>
  <c r="N77" i="48"/>
  <c r="K77" i="48"/>
  <c r="G77" i="48"/>
  <c r="P77" i="48" s="1"/>
  <c r="R77" i="48" s="1"/>
  <c r="X76" i="48"/>
  <c r="U76" i="48"/>
  <c r="N76" i="48"/>
  <c r="K76" i="48"/>
  <c r="G76" i="48"/>
  <c r="P76" i="48" s="1"/>
  <c r="X75" i="48"/>
  <c r="U75" i="48"/>
  <c r="N75" i="48"/>
  <c r="K75" i="48"/>
  <c r="G75" i="48"/>
  <c r="P75" i="48" s="1"/>
  <c r="X74" i="48"/>
  <c r="U74" i="48"/>
  <c r="N74" i="48"/>
  <c r="K74" i="48"/>
  <c r="G74" i="48"/>
  <c r="P74" i="48" s="1"/>
  <c r="R74" i="48" s="1"/>
  <c r="U73" i="48"/>
  <c r="K73" i="48"/>
  <c r="H73" i="48"/>
  <c r="G73" i="48"/>
  <c r="P73" i="48" s="1"/>
  <c r="W73" i="48" s="1"/>
  <c r="X73" i="48" s="1"/>
  <c r="U72" i="48"/>
  <c r="K72" i="48"/>
  <c r="H72" i="48"/>
  <c r="G72" i="48"/>
  <c r="P72" i="48" s="1"/>
  <c r="W72" i="48" s="1"/>
  <c r="U71" i="48"/>
  <c r="K71" i="48"/>
  <c r="H71" i="48"/>
  <c r="G71" i="48"/>
  <c r="P71" i="48" s="1"/>
  <c r="U70" i="48"/>
  <c r="K70" i="48"/>
  <c r="H70" i="48"/>
  <c r="G70" i="48"/>
  <c r="P70" i="48" s="1"/>
  <c r="W70" i="48" s="1"/>
  <c r="X70" i="48" s="1"/>
  <c r="U69" i="48"/>
  <c r="K69" i="48"/>
  <c r="H69" i="48"/>
  <c r="G69" i="48"/>
  <c r="P69" i="48" s="1"/>
  <c r="W69" i="48" s="1"/>
  <c r="X69" i="48" s="1"/>
  <c r="U68" i="48"/>
  <c r="K68" i="48"/>
  <c r="H68" i="48"/>
  <c r="G68" i="48"/>
  <c r="P68" i="48" s="1"/>
  <c r="W68" i="48" s="1"/>
  <c r="M68" i="48" s="1"/>
  <c r="N68" i="48" s="1"/>
  <c r="X67" i="48"/>
  <c r="U67" i="48"/>
  <c r="N67" i="48"/>
  <c r="K67" i="48"/>
  <c r="G67" i="48"/>
  <c r="P67" i="48" s="1"/>
  <c r="R67" i="48" s="1"/>
  <c r="X66" i="48"/>
  <c r="U66" i="48"/>
  <c r="N66" i="48"/>
  <c r="K66" i="48"/>
  <c r="G66" i="48"/>
  <c r="P66" i="48" s="1"/>
  <c r="X65" i="48"/>
  <c r="U65" i="48"/>
  <c r="N65" i="48"/>
  <c r="K65" i="48"/>
  <c r="G65" i="48"/>
  <c r="P65" i="48" s="1"/>
  <c r="X64" i="48"/>
  <c r="U64" i="48"/>
  <c r="N64" i="48"/>
  <c r="K64" i="48"/>
  <c r="G64" i="48"/>
  <c r="P64" i="48" s="1"/>
  <c r="R64" i="48" s="1"/>
  <c r="H64" i="48" s="1"/>
  <c r="X63" i="48"/>
  <c r="U63" i="48"/>
  <c r="N63" i="48"/>
  <c r="K63" i="48"/>
  <c r="G63" i="48"/>
  <c r="P63" i="48" s="1"/>
  <c r="R63" i="48" s="1"/>
  <c r="X62" i="48"/>
  <c r="U62" i="48"/>
  <c r="N62" i="48"/>
  <c r="K62" i="48"/>
  <c r="G62" i="48"/>
  <c r="P62" i="48" s="1"/>
  <c r="X61" i="48"/>
  <c r="U61" i="48"/>
  <c r="N61" i="48"/>
  <c r="K61" i="48"/>
  <c r="G61" i="48"/>
  <c r="P61" i="48" s="1"/>
  <c r="X60" i="48"/>
  <c r="U60" i="48"/>
  <c r="N60" i="48"/>
  <c r="K60" i="48"/>
  <c r="G60" i="48"/>
  <c r="P60" i="48" s="1"/>
  <c r="R60" i="48" s="1"/>
  <c r="X59" i="48"/>
  <c r="U59" i="48"/>
  <c r="N59" i="48"/>
  <c r="K59" i="48"/>
  <c r="G59" i="48"/>
  <c r="P59" i="48" s="1"/>
  <c r="R59" i="48" s="1"/>
  <c r="X58" i="48"/>
  <c r="U58" i="48"/>
  <c r="N58" i="48"/>
  <c r="K58" i="48"/>
  <c r="G58" i="48"/>
  <c r="P58" i="48" s="1"/>
  <c r="X57" i="48"/>
  <c r="U57" i="48"/>
  <c r="N57" i="48"/>
  <c r="K57" i="48"/>
  <c r="G57" i="48"/>
  <c r="P57" i="48" s="1"/>
  <c r="X56" i="48"/>
  <c r="U56" i="48"/>
  <c r="N56" i="48"/>
  <c r="K56" i="48"/>
  <c r="G56" i="48"/>
  <c r="P56" i="48" s="1"/>
  <c r="R56" i="48" s="1"/>
  <c r="X55" i="48"/>
  <c r="U55" i="48"/>
  <c r="N55" i="48"/>
  <c r="K55" i="48"/>
  <c r="G55" i="48"/>
  <c r="P55" i="48" s="1"/>
  <c r="R55" i="48" s="1"/>
  <c r="X54" i="48"/>
  <c r="U54" i="48"/>
  <c r="N54" i="48"/>
  <c r="K54" i="48"/>
  <c r="G54" i="48"/>
  <c r="P54" i="48" s="1"/>
  <c r="X53" i="48"/>
  <c r="U53" i="48"/>
  <c r="N53" i="48"/>
  <c r="K53" i="48"/>
  <c r="G53" i="48"/>
  <c r="P53" i="48" s="1"/>
  <c r="X52" i="48"/>
  <c r="U52" i="48"/>
  <c r="N52" i="48"/>
  <c r="K52" i="48"/>
  <c r="G52" i="48"/>
  <c r="P52" i="48" s="1"/>
  <c r="R52" i="48" s="1"/>
  <c r="X51" i="48"/>
  <c r="U51" i="48"/>
  <c r="N51" i="48"/>
  <c r="K51" i="48"/>
  <c r="G51" i="48"/>
  <c r="P51" i="48" s="1"/>
  <c r="R51" i="48" s="1"/>
  <c r="X50" i="48"/>
  <c r="U50" i="48"/>
  <c r="N50" i="48"/>
  <c r="K50" i="48"/>
  <c r="G50" i="48"/>
  <c r="P50" i="48" s="1"/>
  <c r="X49" i="48"/>
  <c r="U49" i="48"/>
  <c r="N49" i="48"/>
  <c r="K49" i="48"/>
  <c r="G49" i="48"/>
  <c r="P49" i="48" s="1"/>
  <c r="X48" i="48"/>
  <c r="U48" i="48"/>
  <c r="N48" i="48"/>
  <c r="K48" i="48"/>
  <c r="G48" i="48"/>
  <c r="P48" i="48" s="1"/>
  <c r="R48" i="48" s="1"/>
  <c r="X47" i="48"/>
  <c r="U47" i="48"/>
  <c r="N47" i="48"/>
  <c r="K47" i="48"/>
  <c r="G47" i="48"/>
  <c r="P47" i="48" s="1"/>
  <c r="R47" i="48" s="1"/>
  <c r="X46" i="48"/>
  <c r="U46" i="48"/>
  <c r="N46" i="48"/>
  <c r="K46" i="48"/>
  <c r="G46" i="48"/>
  <c r="P46" i="48" s="1"/>
  <c r="X45" i="48"/>
  <c r="U45" i="48"/>
  <c r="N45" i="48"/>
  <c r="K45" i="48"/>
  <c r="G45" i="48"/>
  <c r="P45" i="48" s="1"/>
  <c r="X44" i="48"/>
  <c r="U44" i="48"/>
  <c r="N44" i="48"/>
  <c r="K44" i="48"/>
  <c r="G44" i="48"/>
  <c r="P44" i="48" s="1"/>
  <c r="R44" i="48" s="1"/>
  <c r="X43" i="48"/>
  <c r="U43" i="48"/>
  <c r="N43" i="48"/>
  <c r="K43" i="48"/>
  <c r="G43" i="48"/>
  <c r="P43" i="48" s="1"/>
  <c r="R43" i="48" s="1"/>
  <c r="X42" i="48"/>
  <c r="U42" i="48"/>
  <c r="N42" i="48"/>
  <c r="K42" i="48"/>
  <c r="G42" i="48"/>
  <c r="P42" i="48" s="1"/>
  <c r="X41" i="48"/>
  <c r="U41" i="48"/>
  <c r="N41" i="48"/>
  <c r="K41" i="48"/>
  <c r="G41" i="48"/>
  <c r="P41" i="48" s="1"/>
  <c r="U40" i="48"/>
  <c r="K40" i="48"/>
  <c r="G40" i="48"/>
  <c r="P40" i="48" s="1"/>
  <c r="V40" i="48" s="1"/>
  <c r="U39" i="48"/>
  <c r="K39" i="48"/>
  <c r="G39" i="48"/>
  <c r="P39" i="48" s="1"/>
  <c r="U38" i="48"/>
  <c r="K38" i="48"/>
  <c r="G38" i="48"/>
  <c r="P38" i="48" s="1"/>
  <c r="R38" i="48" s="1"/>
  <c r="H38" i="48" s="1"/>
  <c r="T37" i="48"/>
  <c r="S37" i="48"/>
  <c r="J37" i="48"/>
  <c r="I37" i="48"/>
  <c r="X36" i="48"/>
  <c r="U36" i="48"/>
  <c r="N36" i="48"/>
  <c r="K36" i="48"/>
  <c r="G36" i="48"/>
  <c r="P36" i="48" s="1"/>
  <c r="X35" i="48"/>
  <c r="U35" i="48"/>
  <c r="N35" i="48"/>
  <c r="K35" i="48"/>
  <c r="G35" i="48"/>
  <c r="P35" i="48" s="1"/>
  <c r="X34" i="48"/>
  <c r="U34" i="48"/>
  <c r="N34" i="48"/>
  <c r="K34" i="48"/>
  <c r="G34" i="48"/>
  <c r="P34" i="48" s="1"/>
  <c r="R34" i="48" s="1"/>
  <c r="X33" i="48"/>
  <c r="U33" i="48"/>
  <c r="N33" i="48"/>
  <c r="K33" i="48"/>
  <c r="G33" i="48"/>
  <c r="P33" i="48" s="1"/>
  <c r="R33" i="48" s="1"/>
  <c r="X32" i="48"/>
  <c r="U32" i="48"/>
  <c r="N32" i="48"/>
  <c r="K32" i="48"/>
  <c r="G32" i="48"/>
  <c r="P32" i="48" s="1"/>
  <c r="X31" i="48"/>
  <c r="U31" i="48"/>
  <c r="N31" i="48"/>
  <c r="K31" i="48"/>
  <c r="G31" i="48"/>
  <c r="P31" i="48" s="1"/>
  <c r="X30" i="48"/>
  <c r="U30" i="48"/>
  <c r="N30" i="48"/>
  <c r="K30" i="48"/>
  <c r="F30" i="48"/>
  <c r="G30" i="48" s="1"/>
  <c r="P30" i="48" s="1"/>
  <c r="X29" i="48"/>
  <c r="U29" i="48"/>
  <c r="N29" i="48"/>
  <c r="K29" i="48"/>
  <c r="F29" i="48"/>
  <c r="G29" i="48" s="1"/>
  <c r="P29" i="48" s="1"/>
  <c r="X28" i="48"/>
  <c r="U28" i="48"/>
  <c r="N28" i="48"/>
  <c r="K28" i="48"/>
  <c r="F28" i="48"/>
  <c r="G28" i="48" s="1"/>
  <c r="P28" i="48" s="1"/>
  <c r="X27" i="48"/>
  <c r="U27" i="48"/>
  <c r="N27" i="48"/>
  <c r="K27" i="48"/>
  <c r="G27" i="48"/>
  <c r="P27" i="48" s="1"/>
  <c r="R27" i="48" s="1"/>
  <c r="X26" i="48"/>
  <c r="U26" i="48"/>
  <c r="N26" i="48"/>
  <c r="K26" i="48"/>
  <c r="G26" i="48"/>
  <c r="P26" i="48" s="1"/>
  <c r="R26" i="48" s="1"/>
  <c r="X25" i="48"/>
  <c r="U25" i="48"/>
  <c r="N25" i="48"/>
  <c r="K25" i="48"/>
  <c r="G25" i="48"/>
  <c r="P25" i="48" s="1"/>
  <c r="X24" i="48"/>
  <c r="N24" i="48"/>
  <c r="H24" i="48"/>
  <c r="G24" i="48"/>
  <c r="P24" i="48" s="1"/>
  <c r="X23" i="48"/>
  <c r="N23" i="48"/>
  <c r="H23" i="48"/>
  <c r="G23" i="48"/>
  <c r="P23" i="48" s="1"/>
  <c r="X22" i="48"/>
  <c r="N22" i="48"/>
  <c r="H22" i="48"/>
  <c r="G22" i="48"/>
  <c r="P22" i="48" s="1"/>
  <c r="W21" i="48"/>
  <c r="V21" i="48"/>
  <c r="T21" i="48"/>
  <c r="M21" i="48"/>
  <c r="L21" i="48"/>
  <c r="J21" i="48"/>
  <c r="X20" i="48"/>
  <c r="U20" i="48"/>
  <c r="N20" i="48"/>
  <c r="K20" i="48"/>
  <c r="F20" i="48"/>
  <c r="G20" i="48" s="1"/>
  <c r="P20" i="48" s="1"/>
  <c r="X19" i="48"/>
  <c r="U19" i="48"/>
  <c r="N19" i="48"/>
  <c r="K19" i="48"/>
  <c r="F19" i="48"/>
  <c r="G19" i="48" s="1"/>
  <c r="P19" i="48" s="1"/>
  <c r="X18" i="48"/>
  <c r="U18" i="48"/>
  <c r="N18" i="48"/>
  <c r="K18" i="48"/>
  <c r="F18" i="48"/>
  <c r="G18" i="48" s="1"/>
  <c r="P18" i="48" s="1"/>
  <c r="X17" i="48"/>
  <c r="U17" i="48"/>
  <c r="N17" i="48"/>
  <c r="K17" i="48"/>
  <c r="F17" i="48"/>
  <c r="G17" i="48" s="1"/>
  <c r="P17" i="48" s="1"/>
  <c r="X16" i="48"/>
  <c r="U16" i="48"/>
  <c r="N16" i="48"/>
  <c r="K16" i="48"/>
  <c r="F16" i="48"/>
  <c r="G16" i="48" s="1"/>
  <c r="P16" i="48" s="1"/>
  <c r="X15" i="48"/>
  <c r="U15" i="48"/>
  <c r="N15" i="48"/>
  <c r="K15" i="48"/>
  <c r="F15" i="48"/>
  <c r="G15" i="48" s="1"/>
  <c r="W14" i="48"/>
  <c r="V14" i="48"/>
  <c r="T14" i="48"/>
  <c r="S14" i="48"/>
  <c r="M14" i="48"/>
  <c r="L14" i="48"/>
  <c r="J14" i="48"/>
  <c r="I14" i="48"/>
  <c r="X13" i="48"/>
  <c r="U13" i="48"/>
  <c r="N13" i="48"/>
  <c r="K13" i="48"/>
  <c r="F13" i="48"/>
  <c r="G13" i="48" s="1"/>
  <c r="P13" i="48" s="1"/>
  <c r="R13" i="48" s="1"/>
  <c r="X12" i="48"/>
  <c r="U12" i="48"/>
  <c r="N12" i="48"/>
  <c r="K12" i="48"/>
  <c r="F12" i="48"/>
  <c r="G12" i="48" s="1"/>
  <c r="P12" i="48" s="1"/>
  <c r="R12" i="48" s="1"/>
  <c r="X11" i="48"/>
  <c r="U11" i="48"/>
  <c r="N11" i="48"/>
  <c r="K11" i="48"/>
  <c r="F11" i="48"/>
  <c r="G11" i="48" s="1"/>
  <c r="W10" i="48"/>
  <c r="V10" i="48"/>
  <c r="T10" i="48"/>
  <c r="S10" i="48"/>
  <c r="M10" i="48"/>
  <c r="L10" i="48"/>
  <c r="J10" i="48"/>
  <c r="I10" i="48"/>
  <c r="R204" i="47"/>
  <c r="Q204" i="47"/>
  <c r="P204" i="47"/>
  <c r="S204" i="47" s="1"/>
  <c r="F204" i="47"/>
  <c r="R203" i="47"/>
  <c r="Q203" i="47"/>
  <c r="P203" i="47"/>
  <c r="S203" i="47" s="1"/>
  <c r="F203" i="47"/>
  <c r="R202" i="47"/>
  <c r="Q202" i="47"/>
  <c r="P202" i="47"/>
  <c r="S202" i="47" s="1"/>
  <c r="F202" i="47"/>
  <c r="G338" i="48" l="1"/>
  <c r="P338" i="48" s="1"/>
  <c r="R338" i="48" s="1"/>
  <c r="T419" i="48"/>
  <c r="U419" i="48" s="1"/>
  <c r="Y419" i="48" s="1"/>
  <c r="Z419" i="48" s="1"/>
  <c r="X265" i="48"/>
  <c r="Y78" i="48"/>
  <c r="Z78" i="48" s="1"/>
  <c r="Y82" i="48"/>
  <c r="Z82" i="48" s="1"/>
  <c r="R423" i="48"/>
  <c r="H423" i="48" s="1"/>
  <c r="Y426" i="48"/>
  <c r="Z426" i="48" s="1"/>
  <c r="N505" i="48"/>
  <c r="X10" i="48"/>
  <c r="X14" i="48"/>
  <c r="Y48" i="48"/>
  <c r="Z48" i="48" s="1"/>
  <c r="Y52" i="48"/>
  <c r="Z52" i="48" s="1"/>
  <c r="T220" i="48"/>
  <c r="Y491" i="48"/>
  <c r="Z491" i="48" s="1"/>
  <c r="G129" i="48"/>
  <c r="P129" i="48" s="1"/>
  <c r="R129" i="48" s="1"/>
  <c r="L220" i="48"/>
  <c r="O317" i="48"/>
  <c r="G199" i="48"/>
  <c r="N353" i="48"/>
  <c r="M301" i="48"/>
  <c r="G330" i="48"/>
  <c r="P330" i="48" s="1"/>
  <c r="R330" i="48" s="1"/>
  <c r="U10" i="48"/>
  <c r="N10" i="48"/>
  <c r="G128" i="48"/>
  <c r="P128" i="48" s="1"/>
  <c r="R128" i="48" s="1"/>
  <c r="H128" i="48" s="1"/>
  <c r="O128" i="48" s="1"/>
  <c r="X199" i="48"/>
  <c r="N210" i="48"/>
  <c r="M402" i="48"/>
  <c r="N518" i="48"/>
  <c r="H451" i="48"/>
  <c r="O451" i="48" s="1"/>
  <c r="Y451" i="48"/>
  <c r="K210" i="48"/>
  <c r="O64" i="48"/>
  <c r="X86" i="48"/>
  <c r="P200" i="48"/>
  <c r="R200" i="48" s="1"/>
  <c r="G280" i="48"/>
  <c r="P280" i="48" s="1"/>
  <c r="R280" i="48" s="1"/>
  <c r="J301" i="48"/>
  <c r="K10" i="48"/>
  <c r="N21" i="48"/>
  <c r="U210" i="48"/>
  <c r="N221" i="48"/>
  <c r="G258" i="48"/>
  <c r="P258" i="48" s="1"/>
  <c r="R258" i="48" s="1"/>
  <c r="U265" i="48"/>
  <c r="M264" i="48"/>
  <c r="S301" i="48"/>
  <c r="T422" i="48"/>
  <c r="U422" i="48" s="1"/>
  <c r="Y422" i="48" s="1"/>
  <c r="Z422" i="48" s="1"/>
  <c r="L402" i="48"/>
  <c r="K199" i="48"/>
  <c r="N275" i="48"/>
  <c r="T301" i="48"/>
  <c r="N389" i="48"/>
  <c r="Y92" i="48"/>
  <c r="Z92" i="48" s="1"/>
  <c r="N199" i="48"/>
  <c r="K206" i="48"/>
  <c r="U247" i="48"/>
  <c r="G259" i="48"/>
  <c r="P259" i="48" s="1"/>
  <c r="R259" i="48" s="1"/>
  <c r="T264" i="48"/>
  <c r="N302" i="48"/>
  <c r="U325" i="48"/>
  <c r="X389" i="48"/>
  <c r="Y126" i="48"/>
  <c r="Z126" i="48" s="1"/>
  <c r="H126" i="48"/>
  <c r="O126" i="48" s="1"/>
  <c r="S144" i="48"/>
  <c r="U144" i="48" s="1"/>
  <c r="Y144" i="48" s="1"/>
  <c r="Z144" i="48" s="1"/>
  <c r="Y254" i="48"/>
  <c r="Z254" i="48" s="1"/>
  <c r="H254" i="48"/>
  <c r="O254" i="48" s="1"/>
  <c r="Y311" i="48"/>
  <c r="H311" i="48"/>
  <c r="O311" i="48" s="1"/>
  <c r="Y322" i="48"/>
  <c r="Z322" i="48" s="1"/>
  <c r="H322" i="48"/>
  <c r="O322" i="48" s="1"/>
  <c r="Y352" i="48"/>
  <c r="Z352" i="48" s="1"/>
  <c r="H352" i="48"/>
  <c r="O352" i="48" s="1"/>
  <c r="Y427" i="48"/>
  <c r="Z427" i="48" s="1"/>
  <c r="H427" i="48"/>
  <c r="O427" i="48" s="1"/>
  <c r="W71" i="48"/>
  <c r="W37" i="48" s="1"/>
  <c r="X72" i="48"/>
  <c r="Y72" i="48" s="1"/>
  <c r="Z72" i="48" s="1"/>
  <c r="M72" i="48"/>
  <c r="N72" i="48" s="1"/>
  <c r="O72" i="48" s="1"/>
  <c r="Y230" i="48"/>
  <c r="Z230" i="48" s="1"/>
  <c r="H230" i="48"/>
  <c r="O230" i="48" s="1"/>
  <c r="M240" i="48"/>
  <c r="N240" i="48" s="1"/>
  <c r="X240" i="48"/>
  <c r="Y253" i="48"/>
  <c r="Z253" i="48" s="1"/>
  <c r="H253" i="48"/>
  <c r="O253" i="48" s="1"/>
  <c r="Y256" i="48"/>
  <c r="Z256" i="48" s="1"/>
  <c r="H256" i="48"/>
  <c r="O256" i="48" s="1"/>
  <c r="Y285" i="48"/>
  <c r="Z285" i="48" s="1"/>
  <c r="H285" i="48"/>
  <c r="O285" i="48" s="1"/>
  <c r="Y307" i="48"/>
  <c r="H307" i="48"/>
  <c r="O307" i="48" s="1"/>
  <c r="Y313" i="48"/>
  <c r="H313" i="48"/>
  <c r="O313" i="48" s="1"/>
  <c r="R375" i="48"/>
  <c r="R395" i="48"/>
  <c r="S433" i="48"/>
  <c r="Y447" i="48"/>
  <c r="H447" i="48"/>
  <c r="O447" i="48" s="1"/>
  <c r="Y453" i="48"/>
  <c r="H453" i="48"/>
  <c r="O453" i="48" s="1"/>
  <c r="Y159" i="48"/>
  <c r="Z159" i="48" s="1"/>
  <c r="H159" i="48"/>
  <c r="O159" i="48" s="1"/>
  <c r="R190" i="48"/>
  <c r="H190" i="48" s="1"/>
  <c r="W190" i="48"/>
  <c r="V190" i="48"/>
  <c r="L190" i="48" s="1"/>
  <c r="Y205" i="48"/>
  <c r="Z205" i="48" s="1"/>
  <c r="H205" i="48"/>
  <c r="O205" i="48" s="1"/>
  <c r="P211" i="48"/>
  <c r="P210" i="48" s="1"/>
  <c r="G210" i="48"/>
  <c r="Y229" i="48"/>
  <c r="Z229" i="48" s="1"/>
  <c r="H229" i="48"/>
  <c r="O229" i="48" s="1"/>
  <c r="Y237" i="48"/>
  <c r="Z237" i="48" s="1"/>
  <c r="H237" i="48"/>
  <c r="O237" i="48" s="1"/>
  <c r="Y252" i="48"/>
  <c r="Z252" i="48" s="1"/>
  <c r="H252" i="48"/>
  <c r="O252" i="48" s="1"/>
  <c r="Y269" i="48"/>
  <c r="Z269" i="48" s="1"/>
  <c r="H269" i="48"/>
  <c r="O269" i="48" s="1"/>
  <c r="Y309" i="48"/>
  <c r="H309" i="48"/>
  <c r="O309" i="48" s="1"/>
  <c r="Y342" i="48"/>
  <c r="Z342" i="48" s="1"/>
  <c r="H342" i="48"/>
  <c r="O342" i="48" s="1"/>
  <c r="Y362" i="48"/>
  <c r="Z362" i="48" s="1"/>
  <c r="H362" i="48"/>
  <c r="O362" i="48" s="1"/>
  <c r="Y366" i="48"/>
  <c r="Z366" i="48" s="1"/>
  <c r="H366" i="48"/>
  <c r="O366" i="48" s="1"/>
  <c r="Y370" i="48"/>
  <c r="Z370" i="48" s="1"/>
  <c r="H370" i="48"/>
  <c r="O370" i="48" s="1"/>
  <c r="R431" i="48"/>
  <c r="R462" i="48"/>
  <c r="Y116" i="48"/>
  <c r="Z116" i="48" s="1"/>
  <c r="H116" i="48"/>
  <c r="O116" i="48" s="1"/>
  <c r="Y228" i="48"/>
  <c r="Z228" i="48" s="1"/>
  <c r="H228" i="48"/>
  <c r="O228" i="48" s="1"/>
  <c r="Y242" i="48"/>
  <c r="Z242" i="48" s="1"/>
  <c r="H242" i="48"/>
  <c r="O242" i="48" s="1"/>
  <c r="R337" i="48"/>
  <c r="Y348" i="48"/>
  <c r="Z348" i="48" s="1"/>
  <c r="H348" i="48"/>
  <c r="O348" i="48" s="1"/>
  <c r="R430" i="48"/>
  <c r="Y524" i="48"/>
  <c r="Z524" i="48" s="1"/>
  <c r="H524" i="48"/>
  <c r="O524" i="48" s="1"/>
  <c r="P11" i="48"/>
  <c r="G10" i="48"/>
  <c r="Y128" i="48"/>
  <c r="Z128" i="48" s="1"/>
  <c r="Y246" i="48"/>
  <c r="Z246" i="48" s="1"/>
  <c r="H246" i="48"/>
  <c r="Y257" i="48"/>
  <c r="Z257" i="48" s="1"/>
  <c r="H257" i="48"/>
  <c r="O257" i="48" s="1"/>
  <c r="Y289" i="48"/>
  <c r="Z289" i="48" s="1"/>
  <c r="H289" i="48"/>
  <c r="O289" i="48" s="1"/>
  <c r="Y293" i="48"/>
  <c r="Z293" i="48" s="1"/>
  <c r="H293" i="48"/>
  <c r="O293" i="48" s="1"/>
  <c r="Y305" i="48"/>
  <c r="H305" i="48"/>
  <c r="O305" i="48" s="1"/>
  <c r="Y315" i="48"/>
  <c r="H315" i="48"/>
  <c r="O315" i="48" s="1"/>
  <c r="Y445" i="48"/>
  <c r="H445" i="48"/>
  <c r="O445" i="48" s="1"/>
  <c r="Y455" i="48"/>
  <c r="H455" i="48"/>
  <c r="O455" i="48" s="1"/>
  <c r="X21" i="48"/>
  <c r="Y70" i="48"/>
  <c r="Z70" i="48" s="1"/>
  <c r="V220" i="48"/>
  <c r="J264" i="48"/>
  <c r="X325" i="48"/>
  <c r="K127" i="48"/>
  <c r="X141" i="48"/>
  <c r="K167" i="48"/>
  <c r="X297" i="48"/>
  <c r="U302" i="48"/>
  <c r="K14" i="48"/>
  <c r="T9" i="48"/>
  <c r="U167" i="48"/>
  <c r="U189" i="48"/>
  <c r="U206" i="48"/>
  <c r="K247" i="48"/>
  <c r="G265" i="48"/>
  <c r="K265" i="48"/>
  <c r="G279" i="48"/>
  <c r="P279" i="48" s="1"/>
  <c r="P275" i="48" s="1"/>
  <c r="V264" i="48"/>
  <c r="N297" i="48"/>
  <c r="V301" i="48"/>
  <c r="L301" i="48"/>
  <c r="G339" i="48"/>
  <c r="P339" i="48" s="1"/>
  <c r="R339" i="48" s="1"/>
  <c r="O373" i="48"/>
  <c r="U37" i="48"/>
  <c r="U157" i="48"/>
  <c r="X210" i="48"/>
  <c r="I301" i="48"/>
  <c r="W301" i="48"/>
  <c r="G318" i="48"/>
  <c r="X518" i="48"/>
  <c r="J9" i="48"/>
  <c r="N14" i="48"/>
  <c r="K37" i="48"/>
  <c r="N127" i="48"/>
  <c r="S143" i="48"/>
  <c r="J140" i="48"/>
  <c r="K157" i="48"/>
  <c r="N167" i="48"/>
  <c r="U199" i="48"/>
  <c r="T140" i="48"/>
  <c r="U221" i="48"/>
  <c r="X221" i="48"/>
  <c r="U251" i="48"/>
  <c r="P266" i="48"/>
  <c r="P265" i="48" s="1"/>
  <c r="W264" i="48"/>
  <c r="X275" i="48"/>
  <c r="K297" i="48"/>
  <c r="U297" i="48"/>
  <c r="K302" i="48"/>
  <c r="K318" i="48"/>
  <c r="X318" i="48"/>
  <c r="K325" i="48"/>
  <c r="Y373" i="48"/>
  <c r="Z373" i="48" s="1"/>
  <c r="V402" i="48"/>
  <c r="K518" i="48"/>
  <c r="K142" i="48"/>
  <c r="R171" i="48"/>
  <c r="R175" i="48"/>
  <c r="Y94" i="48"/>
  <c r="Z94" i="48" s="1"/>
  <c r="H94" i="48"/>
  <c r="O94" i="48" s="1"/>
  <c r="R169" i="48"/>
  <c r="R173" i="48"/>
  <c r="W165" i="48"/>
  <c r="W166" i="48"/>
  <c r="Y12" i="48"/>
  <c r="Z12" i="48" s="1"/>
  <c r="H12" i="48"/>
  <c r="O12" i="48" s="1"/>
  <c r="Y47" i="48"/>
  <c r="Z47" i="48" s="1"/>
  <c r="H47" i="48"/>
  <c r="O47" i="48" s="1"/>
  <c r="R53" i="48"/>
  <c r="R62" i="48"/>
  <c r="H63" i="48"/>
  <c r="O63" i="48" s="1"/>
  <c r="Y63" i="48"/>
  <c r="Z63" i="48" s="1"/>
  <c r="R19" i="48"/>
  <c r="P21" i="48"/>
  <c r="S22" i="48"/>
  <c r="R30" i="48"/>
  <c r="R36" i="48"/>
  <c r="R40" i="48"/>
  <c r="R42" i="48"/>
  <c r="Y43" i="48"/>
  <c r="Z43" i="48" s="1"/>
  <c r="H43" i="48"/>
  <c r="O43" i="48" s="1"/>
  <c r="R58" i="48"/>
  <c r="H59" i="48"/>
  <c r="O59" i="48" s="1"/>
  <c r="Y59" i="48"/>
  <c r="Z59" i="48" s="1"/>
  <c r="R65" i="48"/>
  <c r="R93" i="48"/>
  <c r="R106" i="48"/>
  <c r="R114" i="48"/>
  <c r="Y120" i="48"/>
  <c r="Z120" i="48" s="1"/>
  <c r="H120" i="48"/>
  <c r="O120" i="48" s="1"/>
  <c r="R122" i="48"/>
  <c r="R132" i="48"/>
  <c r="R136" i="48"/>
  <c r="R145" i="48"/>
  <c r="R150" i="48"/>
  <c r="R155" i="48"/>
  <c r="Y156" i="48"/>
  <c r="Z156" i="48" s="1"/>
  <c r="H156" i="48"/>
  <c r="O156" i="48" s="1"/>
  <c r="R160" i="48"/>
  <c r="R170" i="48"/>
  <c r="R172" i="48"/>
  <c r="R174" i="48"/>
  <c r="R176" i="48"/>
  <c r="R184" i="48"/>
  <c r="R193" i="48"/>
  <c r="Y194" i="48"/>
  <c r="Z194" i="48" s="1"/>
  <c r="H194" i="48"/>
  <c r="O194" i="48" s="1"/>
  <c r="Y224" i="48"/>
  <c r="Z224" i="48" s="1"/>
  <c r="H224" i="48"/>
  <c r="O224" i="48" s="1"/>
  <c r="W250" i="48"/>
  <c r="R250" i="48"/>
  <c r="Y262" i="48"/>
  <c r="Z262" i="48" s="1"/>
  <c r="H262" i="48"/>
  <c r="O262" i="48" s="1"/>
  <c r="R300" i="48"/>
  <c r="R335" i="48"/>
  <c r="R18" i="48"/>
  <c r="R25" i="48"/>
  <c r="Y26" i="48"/>
  <c r="Z26" i="48" s="1"/>
  <c r="H26" i="48"/>
  <c r="O26" i="48" s="1"/>
  <c r="R29" i="48"/>
  <c r="R32" i="48"/>
  <c r="Y33" i="48"/>
  <c r="Z33" i="48" s="1"/>
  <c r="H33" i="48"/>
  <c r="O33" i="48" s="1"/>
  <c r="R45" i="48"/>
  <c r="R54" i="48"/>
  <c r="Y55" i="48"/>
  <c r="Z55" i="48" s="1"/>
  <c r="H55" i="48"/>
  <c r="O55" i="48" s="1"/>
  <c r="R61" i="48"/>
  <c r="R75" i="48"/>
  <c r="R85" i="48"/>
  <c r="S88" i="48"/>
  <c r="R95" i="48"/>
  <c r="R103" i="48"/>
  <c r="R108" i="48"/>
  <c r="Y117" i="48"/>
  <c r="Z117" i="48" s="1"/>
  <c r="H117" i="48"/>
  <c r="O117" i="48" s="1"/>
  <c r="R125" i="48"/>
  <c r="W164" i="48"/>
  <c r="R186" i="48"/>
  <c r="R202" i="48"/>
  <c r="R238" i="48"/>
  <c r="W238" i="48"/>
  <c r="M69" i="48"/>
  <c r="N69" i="48" s="1"/>
  <c r="O69" i="48" s="1"/>
  <c r="Y74" i="48"/>
  <c r="Z74" i="48" s="1"/>
  <c r="G86" i="48"/>
  <c r="X102" i="48"/>
  <c r="O201" i="48"/>
  <c r="U14" i="48"/>
  <c r="Y27" i="48"/>
  <c r="Z27" i="48" s="1"/>
  <c r="Y34" i="48"/>
  <c r="Z34" i="48" s="1"/>
  <c r="Y56" i="48"/>
  <c r="Z56" i="48" s="1"/>
  <c r="O68" i="48"/>
  <c r="M70" i="48"/>
  <c r="N70" i="48" s="1"/>
  <c r="O70" i="48" s="1"/>
  <c r="N86" i="48"/>
  <c r="O98" i="48"/>
  <c r="R16" i="48"/>
  <c r="R20" i="48"/>
  <c r="S23" i="48"/>
  <c r="R31" i="48"/>
  <c r="R39" i="48"/>
  <c r="P37" i="48"/>
  <c r="V39" i="48"/>
  <c r="X40" i="48"/>
  <c r="L40" i="48"/>
  <c r="N40" i="48" s="1"/>
  <c r="R46" i="48"/>
  <c r="R76" i="48"/>
  <c r="Y77" i="48"/>
  <c r="Z77" i="48" s="1"/>
  <c r="H77" i="48"/>
  <c r="O77" i="48" s="1"/>
  <c r="R83" i="48"/>
  <c r="R90" i="48"/>
  <c r="Y91" i="48"/>
  <c r="Z91" i="48" s="1"/>
  <c r="H91" i="48"/>
  <c r="O91" i="48" s="1"/>
  <c r="R112" i="48"/>
  <c r="Y121" i="48"/>
  <c r="Z121" i="48" s="1"/>
  <c r="H121" i="48"/>
  <c r="O121" i="48" s="1"/>
  <c r="R131" i="48"/>
  <c r="R135" i="48"/>
  <c r="R139" i="48"/>
  <c r="R148" i="48"/>
  <c r="R177" i="48"/>
  <c r="R182" i="48"/>
  <c r="W197" i="48"/>
  <c r="R267" i="48"/>
  <c r="R284" i="48"/>
  <c r="Y344" i="48"/>
  <c r="Z344" i="48" s="1"/>
  <c r="H344" i="48"/>
  <c r="O344" i="48" s="1"/>
  <c r="G14" i="48"/>
  <c r="P15" i="48"/>
  <c r="R49" i="48"/>
  <c r="R79" i="48"/>
  <c r="S89" i="48"/>
  <c r="Y13" i="48"/>
  <c r="Z13" i="48" s="1"/>
  <c r="H13" i="48"/>
  <c r="O13" i="48" s="1"/>
  <c r="R17" i="48"/>
  <c r="S24" i="48"/>
  <c r="R28" i="48"/>
  <c r="R35" i="48"/>
  <c r="R41" i="48"/>
  <c r="R50" i="48"/>
  <c r="Y51" i="48"/>
  <c r="Z51" i="48" s="1"/>
  <c r="H51" i="48"/>
  <c r="O51" i="48" s="1"/>
  <c r="R57" i="48"/>
  <c r="R66" i="48"/>
  <c r="Y67" i="48"/>
  <c r="Z67" i="48" s="1"/>
  <c r="H67" i="48"/>
  <c r="O67" i="48" s="1"/>
  <c r="X68" i="48"/>
  <c r="Y68" i="48" s="1"/>
  <c r="Z68" i="48" s="1"/>
  <c r="R80" i="48"/>
  <c r="Y81" i="48"/>
  <c r="Z81" i="48" s="1"/>
  <c r="H81" i="48"/>
  <c r="O81" i="48" s="1"/>
  <c r="R84" i="48"/>
  <c r="P86" i="48"/>
  <c r="S87" i="48"/>
  <c r="R99" i="48"/>
  <c r="R110" i="48"/>
  <c r="R115" i="48"/>
  <c r="R118" i="48"/>
  <c r="U142" i="48"/>
  <c r="R151" i="48"/>
  <c r="Y152" i="48"/>
  <c r="Z152" i="48" s="1"/>
  <c r="H152" i="48"/>
  <c r="O152" i="48" s="1"/>
  <c r="R154" i="48"/>
  <c r="R180" i="48"/>
  <c r="R188" i="48"/>
  <c r="W198" i="48"/>
  <c r="R236" i="48"/>
  <c r="Y44" i="48"/>
  <c r="Z44" i="48" s="1"/>
  <c r="Y60" i="48"/>
  <c r="Z60" i="48" s="1"/>
  <c r="M73" i="48"/>
  <c r="N73" i="48" s="1"/>
  <c r="O73" i="48" s="1"/>
  <c r="G21" i="48"/>
  <c r="Y69" i="48"/>
  <c r="Z69" i="48" s="1"/>
  <c r="Y73" i="48"/>
  <c r="Z73" i="48" s="1"/>
  <c r="U102" i="48"/>
  <c r="X167" i="48"/>
  <c r="R214" i="48"/>
  <c r="R216" i="48"/>
  <c r="R218" i="48"/>
  <c r="G221" i="48"/>
  <c r="P222" i="48"/>
  <c r="R226" i="48"/>
  <c r="Y263" i="48"/>
  <c r="Z263" i="48" s="1"/>
  <c r="H263" i="48"/>
  <c r="O263" i="48" s="1"/>
  <c r="R272" i="48"/>
  <c r="S277" i="48"/>
  <c r="Y290" i="48"/>
  <c r="Z290" i="48" s="1"/>
  <c r="H290" i="48"/>
  <c r="O290" i="48" s="1"/>
  <c r="R296" i="48"/>
  <c r="R323" i="48"/>
  <c r="Y343" i="48"/>
  <c r="Z343" i="48" s="1"/>
  <c r="H343" i="48"/>
  <c r="O343" i="48" s="1"/>
  <c r="Y376" i="48"/>
  <c r="Z376" i="48" s="1"/>
  <c r="H376" i="48"/>
  <c r="O376" i="48" s="1"/>
  <c r="Y378" i="48"/>
  <c r="Z378" i="48" s="1"/>
  <c r="H378" i="48"/>
  <c r="O378" i="48" s="1"/>
  <c r="Y380" i="48"/>
  <c r="Z380" i="48" s="1"/>
  <c r="H380" i="48"/>
  <c r="O380" i="48" s="1"/>
  <c r="Y382" i="48"/>
  <c r="Z382" i="48" s="1"/>
  <c r="H382" i="48"/>
  <c r="O382" i="48" s="1"/>
  <c r="Y392" i="48"/>
  <c r="Z392" i="48" s="1"/>
  <c r="H392" i="48"/>
  <c r="O392" i="48" s="1"/>
  <c r="R398" i="48"/>
  <c r="R399" i="48"/>
  <c r="R421" i="48"/>
  <c r="T421" i="48"/>
  <c r="R441" i="48"/>
  <c r="R460" i="48"/>
  <c r="R486" i="48"/>
  <c r="R495" i="48"/>
  <c r="R519" i="48"/>
  <c r="P518" i="48"/>
  <c r="R96" i="48"/>
  <c r="R100" i="48"/>
  <c r="P104" i="48"/>
  <c r="G102" i="48"/>
  <c r="R137" i="48"/>
  <c r="R163" i="48"/>
  <c r="R178" i="48"/>
  <c r="V192" i="48"/>
  <c r="W192" i="48"/>
  <c r="M192" i="48" s="1"/>
  <c r="R203" i="48"/>
  <c r="G206" i="48"/>
  <c r="P207" i="48"/>
  <c r="R209" i="48"/>
  <c r="R268" i="48"/>
  <c r="Y286" i="48"/>
  <c r="Z286" i="48" s="1"/>
  <c r="H286" i="48"/>
  <c r="O286" i="48" s="1"/>
  <c r="G302" i="48"/>
  <c r="P303" i="48"/>
  <c r="R319" i="48"/>
  <c r="P318" i="48"/>
  <c r="R326" i="48"/>
  <c r="R349" i="48"/>
  <c r="R359" i="48"/>
  <c r="R377" i="48"/>
  <c r="R385" i="48"/>
  <c r="J422" i="48"/>
  <c r="K422" i="48" s="1"/>
  <c r="O422" i="48" s="1"/>
  <c r="Y454" i="48"/>
  <c r="H454" i="48"/>
  <c r="O454" i="48" s="1"/>
  <c r="I467" i="48"/>
  <c r="K467" i="48" s="1"/>
  <c r="O467" i="48" s="1"/>
  <c r="U467" i="48"/>
  <c r="Y467" i="48" s="1"/>
  <c r="Z467" i="48" s="1"/>
  <c r="R471" i="48"/>
  <c r="R472" i="48"/>
  <c r="R475" i="48"/>
  <c r="R480" i="48"/>
  <c r="R515" i="48"/>
  <c r="Y521" i="48"/>
  <c r="Z521" i="48" s="1"/>
  <c r="H521" i="48"/>
  <c r="O521" i="48" s="1"/>
  <c r="R523" i="48"/>
  <c r="R97" i="48"/>
  <c r="R101" i="48"/>
  <c r="R105" i="48"/>
  <c r="R107" i="48"/>
  <c r="R109" i="48"/>
  <c r="R111" i="48"/>
  <c r="R113" i="48"/>
  <c r="R124" i="48"/>
  <c r="R130" i="48"/>
  <c r="R134" i="48"/>
  <c r="R138" i="48"/>
  <c r="R147" i="48"/>
  <c r="R149" i="48"/>
  <c r="R158" i="48"/>
  <c r="P157" i="48"/>
  <c r="W162" i="48"/>
  <c r="R179" i="48"/>
  <c r="R181" i="48"/>
  <c r="R183" i="48"/>
  <c r="R185" i="48"/>
  <c r="R187" i="48"/>
  <c r="R204" i="48"/>
  <c r="W208" i="48"/>
  <c r="R213" i="48"/>
  <c r="R215" i="48"/>
  <c r="R217" i="48"/>
  <c r="R219" i="48"/>
  <c r="G231" i="48"/>
  <c r="P232" i="48"/>
  <c r="R235" i="48"/>
  <c r="R241" i="48"/>
  <c r="R245" i="48"/>
  <c r="Y274" i="48"/>
  <c r="Z274" i="48" s="1"/>
  <c r="H274" i="48"/>
  <c r="O274" i="48" s="1"/>
  <c r="S276" i="48"/>
  <c r="S278" i="48"/>
  <c r="Y282" i="48"/>
  <c r="Z282" i="48" s="1"/>
  <c r="H282" i="48"/>
  <c r="O282" i="48" s="1"/>
  <c r="R283" i="48"/>
  <c r="R288" i="48"/>
  <c r="Y298" i="48"/>
  <c r="H298" i="48"/>
  <c r="P299" i="48"/>
  <c r="G297" i="48"/>
  <c r="Y304" i="48"/>
  <c r="H304" i="48"/>
  <c r="O304" i="48" s="1"/>
  <c r="Y306" i="48"/>
  <c r="H306" i="48"/>
  <c r="O306" i="48" s="1"/>
  <c r="Y308" i="48"/>
  <c r="H308" i="48"/>
  <c r="O308" i="48" s="1"/>
  <c r="Y310" i="48"/>
  <c r="H310" i="48"/>
  <c r="O310" i="48" s="1"/>
  <c r="Y312" i="48"/>
  <c r="H312" i="48"/>
  <c r="O312" i="48" s="1"/>
  <c r="Y314" i="48"/>
  <c r="H314" i="48"/>
  <c r="O314" i="48" s="1"/>
  <c r="Y316" i="48"/>
  <c r="H316" i="48"/>
  <c r="O316" i="48" s="1"/>
  <c r="R340" i="48"/>
  <c r="R345" i="48"/>
  <c r="R361" i="48"/>
  <c r="R367" i="48"/>
  <c r="R400" i="48"/>
  <c r="R401" i="48"/>
  <c r="H404" i="48"/>
  <c r="Y404" i="48"/>
  <c r="H405" i="48"/>
  <c r="O405" i="48" s="1"/>
  <c r="Y405" i="48"/>
  <c r="Z405" i="48" s="1"/>
  <c r="R459" i="48"/>
  <c r="R461" i="48"/>
  <c r="R464" i="48"/>
  <c r="R482" i="48"/>
  <c r="R499" i="48"/>
  <c r="R509" i="48"/>
  <c r="R522" i="48"/>
  <c r="H526" i="48"/>
  <c r="O526" i="48" s="1"/>
  <c r="Y526" i="48"/>
  <c r="Z526" i="48" s="1"/>
  <c r="R239" i="48"/>
  <c r="R161" i="48"/>
  <c r="R243" i="48"/>
  <c r="O246" i="48"/>
  <c r="G247" i="48"/>
  <c r="N251" i="48"/>
  <c r="N265" i="48"/>
  <c r="X302" i="48"/>
  <c r="G329" i="48"/>
  <c r="H27" i="48"/>
  <c r="O27" i="48" s="1"/>
  <c r="H34" i="48"/>
  <c r="O34" i="48" s="1"/>
  <c r="V38" i="48"/>
  <c r="H56" i="48"/>
  <c r="O56" i="48" s="1"/>
  <c r="Y64" i="48"/>
  <c r="Z64" i="48" s="1"/>
  <c r="H74" i="48"/>
  <c r="O74" i="48" s="1"/>
  <c r="H78" i="48"/>
  <c r="O78" i="48" s="1"/>
  <c r="H82" i="48"/>
  <c r="O82" i="48" s="1"/>
  <c r="H92" i="48"/>
  <c r="O92" i="48" s="1"/>
  <c r="Y98" i="48"/>
  <c r="Z98" i="48" s="1"/>
  <c r="N102" i="48"/>
  <c r="R119" i="48"/>
  <c r="R123" i="48"/>
  <c r="X127" i="48"/>
  <c r="U127" i="48"/>
  <c r="N141" i="48"/>
  <c r="G167" i="48"/>
  <c r="P168" i="48"/>
  <c r="K189" i="48"/>
  <c r="G189" i="48"/>
  <c r="P191" i="48"/>
  <c r="Y201" i="48"/>
  <c r="Z201" i="48" s="1"/>
  <c r="J220" i="48"/>
  <c r="R223" i="48"/>
  <c r="S233" i="48"/>
  <c r="S234" i="48"/>
  <c r="M239" i="48"/>
  <c r="N239" i="48" s="1"/>
  <c r="P248" i="48"/>
  <c r="W249" i="48"/>
  <c r="R261" i="48"/>
  <c r="L264" i="48"/>
  <c r="Y317" i="48"/>
  <c r="U318" i="48"/>
  <c r="R331" i="48"/>
  <c r="G389" i="48"/>
  <c r="G518" i="48"/>
  <c r="R212" i="48"/>
  <c r="R291" i="48"/>
  <c r="R333" i="48"/>
  <c r="R341" i="48"/>
  <c r="R347" i="48"/>
  <c r="R358" i="48"/>
  <c r="R369" i="48"/>
  <c r="Y384" i="48"/>
  <c r="Z384" i="48" s="1"/>
  <c r="H384" i="48"/>
  <c r="O384" i="48" s="1"/>
  <c r="R394" i="48"/>
  <c r="H412" i="48"/>
  <c r="O412" i="48" s="1"/>
  <c r="Y412" i="48"/>
  <c r="Z412" i="48" s="1"/>
  <c r="H413" i="48"/>
  <c r="O413" i="48" s="1"/>
  <c r="Y413" i="48"/>
  <c r="Z413" i="48" s="1"/>
  <c r="R133" i="48"/>
  <c r="P146" i="48"/>
  <c r="P141" i="48" s="1"/>
  <c r="G141" i="48"/>
  <c r="R244" i="48"/>
  <c r="R287" i="48"/>
  <c r="R292" i="48"/>
  <c r="Y327" i="48"/>
  <c r="Z327" i="48" s="1"/>
  <c r="H327" i="48"/>
  <c r="O327" i="48" s="1"/>
  <c r="R355" i="48"/>
  <c r="Y356" i="48"/>
  <c r="Z356" i="48" s="1"/>
  <c r="H356" i="48"/>
  <c r="O356" i="48" s="1"/>
  <c r="R365" i="48"/>
  <c r="R371" i="48"/>
  <c r="R381" i="48"/>
  <c r="Y388" i="48"/>
  <c r="Z388" i="48" s="1"/>
  <c r="H388" i="48"/>
  <c r="O388" i="48" s="1"/>
  <c r="R437" i="48"/>
  <c r="Y446" i="48"/>
  <c r="H446" i="48"/>
  <c r="O446" i="48" s="1"/>
  <c r="Y463" i="48"/>
  <c r="Z463" i="48" s="1"/>
  <c r="H463" i="48"/>
  <c r="O463" i="48" s="1"/>
  <c r="R476" i="48"/>
  <c r="R479" i="48"/>
  <c r="R153" i="48"/>
  <c r="R195" i="48"/>
  <c r="R225" i="48"/>
  <c r="R240" i="48"/>
  <c r="Y270" i="48"/>
  <c r="Z270" i="48" s="1"/>
  <c r="H270" i="48"/>
  <c r="O270" i="48" s="1"/>
  <c r="R271" i="48"/>
  <c r="Y294" i="48"/>
  <c r="Z294" i="48" s="1"/>
  <c r="H294" i="48"/>
  <c r="O294" i="48" s="1"/>
  <c r="R295" i="48"/>
  <c r="R321" i="48"/>
  <c r="R351" i="48"/>
  <c r="R363" i="48"/>
  <c r="Y379" i="48"/>
  <c r="Z379" i="48" s="1"/>
  <c r="H379" i="48"/>
  <c r="O379" i="48" s="1"/>
  <c r="Y383" i="48"/>
  <c r="Z383" i="48" s="1"/>
  <c r="H383" i="48"/>
  <c r="O383" i="48" s="1"/>
  <c r="S468" i="48"/>
  <c r="R473" i="48"/>
  <c r="R474" i="48"/>
  <c r="R477" i="48"/>
  <c r="R478" i="48"/>
  <c r="R501" i="48"/>
  <c r="H491" i="48"/>
  <c r="O491" i="48" s="1"/>
  <c r="G260" i="48"/>
  <c r="P260" i="48" s="1"/>
  <c r="H426" i="48"/>
  <c r="X465" i="48"/>
  <c r="G37" i="48"/>
  <c r="H44" i="48"/>
  <c r="O44" i="48" s="1"/>
  <c r="H48" i="48"/>
  <c r="O48" i="48" s="1"/>
  <c r="H52" i="48"/>
  <c r="O52" i="48" s="1"/>
  <c r="H60" i="48"/>
  <c r="O60" i="48" s="1"/>
  <c r="K102" i="48"/>
  <c r="G157" i="48"/>
  <c r="M161" i="48"/>
  <c r="W163" i="48"/>
  <c r="W196" i="48"/>
  <c r="W209" i="48"/>
  <c r="K221" i="48"/>
  <c r="R227" i="48"/>
  <c r="H249" i="48"/>
  <c r="K251" i="48"/>
  <c r="R255" i="48"/>
  <c r="X251" i="48"/>
  <c r="R273" i="48"/>
  <c r="R281" i="48"/>
  <c r="N325" i="48"/>
  <c r="R332" i="48"/>
  <c r="N403" i="48"/>
  <c r="X403" i="48"/>
  <c r="R320" i="48"/>
  <c r="R324" i="48"/>
  <c r="R334" i="48"/>
  <c r="R336" i="48"/>
  <c r="R346" i="48"/>
  <c r="R350" i="48"/>
  <c r="R360" i="48"/>
  <c r="R364" i="48"/>
  <c r="R368" i="48"/>
  <c r="R372" i="48"/>
  <c r="R374" i="48"/>
  <c r="R386" i="48"/>
  <c r="R387" i="48"/>
  <c r="R390" i="48"/>
  <c r="P389" i="48"/>
  <c r="R393" i="48"/>
  <c r="H420" i="48"/>
  <c r="R442" i="48"/>
  <c r="Y448" i="48"/>
  <c r="H448" i="48"/>
  <c r="O448" i="48" s="1"/>
  <c r="Y449" i="48"/>
  <c r="H449" i="48"/>
  <c r="O449" i="48" s="1"/>
  <c r="Y456" i="48"/>
  <c r="H456" i="48"/>
  <c r="O456" i="48" s="1"/>
  <c r="Y457" i="48"/>
  <c r="H457" i="48"/>
  <c r="O457" i="48" s="1"/>
  <c r="P466" i="48"/>
  <c r="G465" i="48"/>
  <c r="R484" i="48"/>
  <c r="R490" i="48"/>
  <c r="R493" i="48"/>
  <c r="R503" i="48"/>
  <c r="R507" i="48"/>
  <c r="R513" i="48"/>
  <c r="H527" i="48"/>
  <c r="O527" i="48" s="1"/>
  <c r="Y527" i="48"/>
  <c r="Z527" i="48" s="1"/>
  <c r="K353" i="48"/>
  <c r="U353" i="48"/>
  <c r="X353" i="48"/>
  <c r="K389" i="48"/>
  <c r="N425" i="48"/>
  <c r="K505" i="48"/>
  <c r="R328" i="48"/>
  <c r="P357" i="48"/>
  <c r="G353" i="48"/>
  <c r="Y396" i="48"/>
  <c r="Z396" i="48" s="1"/>
  <c r="H396" i="48"/>
  <c r="O396" i="48" s="1"/>
  <c r="R397" i="48"/>
  <c r="H408" i="48"/>
  <c r="O408" i="48" s="1"/>
  <c r="Y408" i="48"/>
  <c r="Z408" i="48" s="1"/>
  <c r="H409" i="48"/>
  <c r="O409" i="48" s="1"/>
  <c r="Y409" i="48"/>
  <c r="Z409" i="48" s="1"/>
  <c r="H416" i="48"/>
  <c r="O416" i="48" s="1"/>
  <c r="Y416" i="48"/>
  <c r="Z416" i="48" s="1"/>
  <c r="H417" i="48"/>
  <c r="O417" i="48" s="1"/>
  <c r="Y417" i="48"/>
  <c r="Z417" i="48" s="1"/>
  <c r="R429" i="48"/>
  <c r="R438" i="48"/>
  <c r="Y469" i="48"/>
  <c r="Z469" i="48" s="1"/>
  <c r="H469" i="48"/>
  <c r="O469" i="48" s="1"/>
  <c r="R470" i="48"/>
  <c r="R488" i="48"/>
  <c r="R492" i="48"/>
  <c r="R497" i="48"/>
  <c r="R511" i="48"/>
  <c r="Y517" i="48"/>
  <c r="Z517" i="48" s="1"/>
  <c r="H517" i="48"/>
  <c r="O517" i="48" s="1"/>
  <c r="H528" i="48"/>
  <c r="O528" i="48" s="1"/>
  <c r="Y528" i="48"/>
  <c r="Z528" i="48" s="1"/>
  <c r="N318" i="48"/>
  <c r="W402" i="48"/>
  <c r="X505" i="48"/>
  <c r="U518" i="48"/>
  <c r="H407" i="48"/>
  <c r="O407" i="48" s="1"/>
  <c r="Y407" i="48"/>
  <c r="Z407" i="48" s="1"/>
  <c r="H411" i="48"/>
  <c r="O411" i="48" s="1"/>
  <c r="Y411" i="48"/>
  <c r="Z411" i="48" s="1"/>
  <c r="H415" i="48"/>
  <c r="O415" i="48" s="1"/>
  <c r="Y415" i="48"/>
  <c r="Z415" i="48" s="1"/>
  <c r="T420" i="48"/>
  <c r="P403" i="48"/>
  <c r="Y450" i="48"/>
  <c r="H450" i="48"/>
  <c r="O450" i="48" s="1"/>
  <c r="Y458" i="48"/>
  <c r="H458" i="48"/>
  <c r="O458" i="48" s="1"/>
  <c r="R483" i="48"/>
  <c r="R487" i="48"/>
  <c r="R494" i="48"/>
  <c r="R498" i="48"/>
  <c r="R502" i="48"/>
  <c r="P506" i="48"/>
  <c r="G505" i="48"/>
  <c r="R510" i="48"/>
  <c r="R514" i="48"/>
  <c r="U389" i="48"/>
  <c r="R391" i="48"/>
  <c r="R428" i="48"/>
  <c r="S432" i="48"/>
  <c r="S434" i="48"/>
  <c r="X425" i="48"/>
  <c r="N465" i="48"/>
  <c r="R481" i="48"/>
  <c r="R485" i="48"/>
  <c r="R489" i="48"/>
  <c r="R496" i="48"/>
  <c r="R500" i="48"/>
  <c r="R504" i="48"/>
  <c r="U505" i="48"/>
  <c r="R508" i="48"/>
  <c r="R512" i="48"/>
  <c r="R516" i="48"/>
  <c r="R520" i="48"/>
  <c r="H406" i="48"/>
  <c r="O406" i="48" s="1"/>
  <c r="Y406" i="48"/>
  <c r="Z406" i="48" s="1"/>
  <c r="H410" i="48"/>
  <c r="O410" i="48" s="1"/>
  <c r="Y410" i="48"/>
  <c r="Z410" i="48" s="1"/>
  <c r="H414" i="48"/>
  <c r="O414" i="48" s="1"/>
  <c r="Y414" i="48"/>
  <c r="Z414" i="48" s="1"/>
  <c r="H418" i="48"/>
  <c r="O418" i="48" s="1"/>
  <c r="Y418" i="48"/>
  <c r="Z418" i="48" s="1"/>
  <c r="U423" i="48"/>
  <c r="J423" i="48"/>
  <c r="K423" i="48" s="1"/>
  <c r="T424" i="48"/>
  <c r="Y435" i="48"/>
  <c r="Z435" i="48" s="1"/>
  <c r="H435" i="48"/>
  <c r="O435" i="48" s="1"/>
  <c r="P436" i="48"/>
  <c r="P425" i="48" s="1"/>
  <c r="G425" i="48"/>
  <c r="Y439" i="48"/>
  <c r="Z439" i="48" s="1"/>
  <c r="H439" i="48"/>
  <c r="O439" i="48" s="1"/>
  <c r="R440" i="48"/>
  <c r="Y443" i="48"/>
  <c r="Z443" i="48" s="1"/>
  <c r="H443" i="48"/>
  <c r="O443" i="48" s="1"/>
  <c r="Y444" i="48"/>
  <c r="H444" i="48"/>
  <c r="O444" i="48" s="1"/>
  <c r="Y452" i="48"/>
  <c r="H452" i="48"/>
  <c r="O452" i="48" s="1"/>
  <c r="T202" i="47"/>
  <c r="T204" i="47"/>
  <c r="T203" i="47"/>
  <c r="H17" i="47"/>
  <c r="I17" i="47"/>
  <c r="J17" i="47"/>
  <c r="K17" i="47"/>
  <c r="L17" i="47"/>
  <c r="M17" i="47"/>
  <c r="N17" i="47"/>
  <c r="O17" i="47"/>
  <c r="F18" i="47"/>
  <c r="G18" i="47" s="1"/>
  <c r="E18" i="47"/>
  <c r="R18" i="47"/>
  <c r="R17" i="47" s="1"/>
  <c r="Q18" i="47"/>
  <c r="Q17" i="47" s="1"/>
  <c r="M29" i="46"/>
  <c r="L29" i="46"/>
  <c r="K29" i="46"/>
  <c r="I29" i="46"/>
  <c r="H29" i="46"/>
  <c r="G29" i="46"/>
  <c r="E29" i="46"/>
  <c r="D29" i="46"/>
  <c r="C29" i="46"/>
  <c r="B29" i="46"/>
  <c r="M28" i="46"/>
  <c r="L28" i="46"/>
  <c r="K28" i="46"/>
  <c r="I28" i="46"/>
  <c r="H28" i="46"/>
  <c r="G28" i="46"/>
  <c r="E28" i="46"/>
  <c r="D28" i="46"/>
  <c r="C28" i="46"/>
  <c r="B28" i="46"/>
  <c r="M27" i="46"/>
  <c r="L27" i="46"/>
  <c r="K27" i="46"/>
  <c r="I27" i="46"/>
  <c r="H27" i="46"/>
  <c r="G27" i="46"/>
  <c r="E27" i="46"/>
  <c r="D27" i="46"/>
  <c r="C27" i="46"/>
  <c r="B27" i="46"/>
  <c r="E13" i="30"/>
  <c r="F14" i="30"/>
  <c r="E14" i="30" s="1"/>
  <c r="F13" i="30"/>
  <c r="E9" i="30"/>
  <c r="E8" i="30"/>
  <c r="F9" i="30"/>
  <c r="F10" i="30"/>
  <c r="E10" i="30" s="1"/>
  <c r="F11" i="30"/>
  <c r="E11" i="30" s="1"/>
  <c r="F12" i="30"/>
  <c r="E12" i="30" s="1"/>
  <c r="F8" i="30"/>
  <c r="S12" i="30"/>
  <c r="R12" i="30"/>
  <c r="Q12" i="30"/>
  <c r="G12" i="30" s="1"/>
  <c r="S11" i="30"/>
  <c r="R11" i="30"/>
  <c r="Q11" i="30"/>
  <c r="G11" i="30"/>
  <c r="S10" i="30"/>
  <c r="R10" i="30"/>
  <c r="Q10" i="30"/>
  <c r="P18" i="47" l="1"/>
  <c r="P17" i="47" s="1"/>
  <c r="C44" i="46"/>
  <c r="G10" i="30"/>
  <c r="J419" i="48"/>
  <c r="K419" i="48" s="1"/>
  <c r="Y423" i="48"/>
  <c r="Z423" i="48" s="1"/>
  <c r="R403" i="48"/>
  <c r="Z403" i="48" s="1"/>
  <c r="O423" i="48"/>
  <c r="S141" i="48"/>
  <c r="S140" i="48" s="1"/>
  <c r="R279" i="48"/>
  <c r="H279" i="48" s="1"/>
  <c r="P127" i="48"/>
  <c r="G275" i="48"/>
  <c r="G264" i="48" s="1"/>
  <c r="I144" i="48"/>
  <c r="K144" i="48" s="1"/>
  <c r="O144" i="48" s="1"/>
  <c r="K301" i="48"/>
  <c r="R266" i="48"/>
  <c r="H266" i="48" s="1"/>
  <c r="P199" i="48"/>
  <c r="G127" i="48"/>
  <c r="G9" i="48" s="1"/>
  <c r="X264" i="48"/>
  <c r="W9" i="48"/>
  <c r="N301" i="48"/>
  <c r="N264" i="48"/>
  <c r="X190" i="48"/>
  <c r="Y190" i="48" s="1"/>
  <c r="U433" i="48"/>
  <c r="Y433" i="48" s="1"/>
  <c r="Z433" i="48" s="1"/>
  <c r="I433" i="48"/>
  <c r="K433" i="48" s="1"/>
  <c r="O433" i="48" s="1"/>
  <c r="Y431" i="48"/>
  <c r="Z431" i="48" s="1"/>
  <c r="H431" i="48"/>
  <c r="O431" i="48" s="1"/>
  <c r="Y375" i="48"/>
  <c r="Z375" i="48" s="1"/>
  <c r="H375" i="48"/>
  <c r="O375" i="48" s="1"/>
  <c r="U143" i="48"/>
  <c r="Y143" i="48" s="1"/>
  <c r="Z143" i="48" s="1"/>
  <c r="I143" i="48"/>
  <c r="K143" i="48" s="1"/>
  <c r="O143" i="48" s="1"/>
  <c r="Y395" i="48"/>
  <c r="Z395" i="48" s="1"/>
  <c r="H395" i="48"/>
  <c r="O395" i="48" s="1"/>
  <c r="X71" i="48"/>
  <c r="Y71" i="48" s="1"/>
  <c r="Z71" i="48" s="1"/>
  <c r="M71" i="48"/>
  <c r="N71" i="48" s="1"/>
  <c r="O71" i="48" s="1"/>
  <c r="G251" i="48"/>
  <c r="G220" i="48" s="1"/>
  <c r="X301" i="48"/>
  <c r="R211" i="48"/>
  <c r="H211" i="48" s="1"/>
  <c r="M190" i="48"/>
  <c r="N190" i="48" s="1"/>
  <c r="Y430" i="48"/>
  <c r="Z430" i="48" s="1"/>
  <c r="H430" i="48"/>
  <c r="O430" i="48" s="1"/>
  <c r="Y462" i="48"/>
  <c r="Z462" i="48" s="1"/>
  <c r="H462" i="48"/>
  <c r="O462" i="48" s="1"/>
  <c r="R11" i="48"/>
  <c r="P10" i="48"/>
  <c r="Y337" i="48"/>
  <c r="Z337" i="48" s="1"/>
  <c r="H337" i="48"/>
  <c r="O337" i="48" s="1"/>
  <c r="G402" i="48"/>
  <c r="R127" i="48"/>
  <c r="Q29" i="46"/>
  <c r="P29" i="46"/>
  <c r="O29" i="46"/>
  <c r="J29" i="46"/>
  <c r="N29" i="46"/>
  <c r="J27" i="46"/>
  <c r="P28" i="46"/>
  <c r="F29" i="46"/>
  <c r="P27" i="46"/>
  <c r="J28" i="46"/>
  <c r="F27" i="46"/>
  <c r="Q28" i="46"/>
  <c r="N28" i="46"/>
  <c r="Q27" i="46"/>
  <c r="N27" i="46"/>
  <c r="F28" i="46"/>
  <c r="Y516" i="48"/>
  <c r="Z516" i="48" s="1"/>
  <c r="H516" i="48"/>
  <c r="O516" i="48" s="1"/>
  <c r="Y485" i="48"/>
  <c r="Z485" i="48" s="1"/>
  <c r="H485" i="48"/>
  <c r="O485" i="48" s="1"/>
  <c r="Y391" i="48"/>
  <c r="Z391" i="48" s="1"/>
  <c r="H391" i="48"/>
  <c r="O391" i="48" s="1"/>
  <c r="Y502" i="48"/>
  <c r="Z502" i="48" s="1"/>
  <c r="H502" i="48"/>
  <c r="O502" i="48" s="1"/>
  <c r="Y483" i="48"/>
  <c r="Z483" i="48" s="1"/>
  <c r="H483" i="48"/>
  <c r="O483" i="48" s="1"/>
  <c r="Y360" i="48"/>
  <c r="Z360" i="48" s="1"/>
  <c r="H360" i="48"/>
  <c r="O360" i="48" s="1"/>
  <c r="H273" i="48"/>
  <c r="O273" i="48" s="1"/>
  <c r="Y273" i="48"/>
  <c r="Z273" i="48" s="1"/>
  <c r="H474" i="48"/>
  <c r="O474" i="48" s="1"/>
  <c r="Y474" i="48"/>
  <c r="Z474" i="48" s="1"/>
  <c r="Y295" i="48"/>
  <c r="Z295" i="48" s="1"/>
  <c r="H295" i="48"/>
  <c r="O295" i="48" s="1"/>
  <c r="H476" i="48"/>
  <c r="O476" i="48" s="1"/>
  <c r="Y476" i="48"/>
  <c r="Z476" i="48" s="1"/>
  <c r="I233" i="48"/>
  <c r="K233" i="48" s="1"/>
  <c r="O233" i="48" s="1"/>
  <c r="U233" i="48"/>
  <c r="Y233" i="48" s="1"/>
  <c r="Z233" i="48" s="1"/>
  <c r="V191" i="48"/>
  <c r="W191" i="48"/>
  <c r="P189" i="48"/>
  <c r="R191" i="48"/>
  <c r="Y400" i="48"/>
  <c r="Z400" i="48" s="1"/>
  <c r="H400" i="48"/>
  <c r="O400" i="48" s="1"/>
  <c r="Y340" i="48"/>
  <c r="Z340" i="48" s="1"/>
  <c r="H340" i="48"/>
  <c r="O340" i="48" s="1"/>
  <c r="I276" i="48"/>
  <c r="S275" i="48"/>
  <c r="S264" i="48" s="1"/>
  <c r="U276" i="48"/>
  <c r="R199" i="48"/>
  <c r="Y200" i="48"/>
  <c r="H200" i="48"/>
  <c r="Y181" i="48"/>
  <c r="Z181" i="48" s="1"/>
  <c r="H181" i="48"/>
  <c r="O181" i="48" s="1"/>
  <c r="Y203" i="48"/>
  <c r="Z203" i="48" s="1"/>
  <c r="H203" i="48"/>
  <c r="O203" i="48" s="1"/>
  <c r="H163" i="48"/>
  <c r="H495" i="48"/>
  <c r="O495" i="48" s="1"/>
  <c r="Y495" i="48"/>
  <c r="Z495" i="48" s="1"/>
  <c r="U421" i="48"/>
  <c r="Y421" i="48" s="1"/>
  <c r="Z421" i="48" s="1"/>
  <c r="J421" i="48"/>
  <c r="K421" i="48" s="1"/>
  <c r="H236" i="48"/>
  <c r="O236" i="48" s="1"/>
  <c r="Y236" i="48"/>
  <c r="Z236" i="48" s="1"/>
  <c r="Y154" i="48"/>
  <c r="Z154" i="48" s="1"/>
  <c r="H154" i="48"/>
  <c r="O154" i="48" s="1"/>
  <c r="Y118" i="48"/>
  <c r="Z118" i="48" s="1"/>
  <c r="H118" i="48"/>
  <c r="O118" i="48" s="1"/>
  <c r="I87" i="48"/>
  <c r="U87" i="48"/>
  <c r="S86" i="48"/>
  <c r="Y177" i="48"/>
  <c r="Z177" i="48" s="1"/>
  <c r="H177" i="48"/>
  <c r="O177" i="48" s="1"/>
  <c r="H39" i="48"/>
  <c r="I23" i="48"/>
  <c r="K23" i="48" s="1"/>
  <c r="O23" i="48" s="1"/>
  <c r="U23" i="48"/>
  <c r="Y23" i="48" s="1"/>
  <c r="Z23" i="48" s="1"/>
  <c r="Y186" i="48"/>
  <c r="Z186" i="48" s="1"/>
  <c r="H186" i="48"/>
  <c r="O186" i="48" s="1"/>
  <c r="Y95" i="48"/>
  <c r="Z95" i="48" s="1"/>
  <c r="H95" i="48"/>
  <c r="O95" i="48" s="1"/>
  <c r="X250" i="48"/>
  <c r="Y250" i="48" s="1"/>
  <c r="Z250" i="48" s="1"/>
  <c r="M250" i="48"/>
  <c r="N250" i="48" s="1"/>
  <c r="Y184" i="48"/>
  <c r="Z184" i="48" s="1"/>
  <c r="H184" i="48"/>
  <c r="O184" i="48" s="1"/>
  <c r="H170" i="48"/>
  <c r="O170" i="48" s="1"/>
  <c r="Y170" i="48"/>
  <c r="Z170" i="48" s="1"/>
  <c r="Y150" i="48"/>
  <c r="Z150" i="48" s="1"/>
  <c r="H150" i="48"/>
  <c r="O150" i="48" s="1"/>
  <c r="Y440" i="48"/>
  <c r="Z440" i="48" s="1"/>
  <c r="H440" i="48"/>
  <c r="O440" i="48" s="1"/>
  <c r="U424" i="48"/>
  <c r="Y424" i="48" s="1"/>
  <c r="Z424" i="48" s="1"/>
  <c r="J424" i="48"/>
  <c r="K424" i="48" s="1"/>
  <c r="O424" i="48" s="1"/>
  <c r="Y520" i="48"/>
  <c r="Z520" i="48" s="1"/>
  <c r="H520" i="48"/>
  <c r="O520" i="48" s="1"/>
  <c r="Y489" i="48"/>
  <c r="Z489" i="48" s="1"/>
  <c r="H489" i="48"/>
  <c r="O489" i="48" s="1"/>
  <c r="R506" i="48"/>
  <c r="P505" i="48"/>
  <c r="U420" i="48"/>
  <c r="Y420" i="48" s="1"/>
  <c r="Z420" i="48" s="1"/>
  <c r="J420" i="48"/>
  <c r="K420" i="48" s="1"/>
  <c r="O420" i="48" s="1"/>
  <c r="Y397" i="48"/>
  <c r="Z397" i="48" s="1"/>
  <c r="H397" i="48"/>
  <c r="O397" i="48" s="1"/>
  <c r="H507" i="48"/>
  <c r="O507" i="48" s="1"/>
  <c r="Y507" i="48"/>
  <c r="Z507" i="48" s="1"/>
  <c r="H484" i="48"/>
  <c r="O484" i="48" s="1"/>
  <c r="Y484" i="48"/>
  <c r="Z484" i="48" s="1"/>
  <c r="Y393" i="48"/>
  <c r="Z393" i="48" s="1"/>
  <c r="H393" i="48"/>
  <c r="O393" i="48" s="1"/>
  <c r="Y332" i="48"/>
  <c r="Z332" i="48" s="1"/>
  <c r="H332" i="48"/>
  <c r="O332" i="48" s="1"/>
  <c r="H255" i="48"/>
  <c r="Y255" i="48"/>
  <c r="N161" i="48"/>
  <c r="R260" i="48"/>
  <c r="R251" i="48" s="1"/>
  <c r="Y287" i="48"/>
  <c r="Z287" i="48" s="1"/>
  <c r="H287" i="48"/>
  <c r="O287" i="48" s="1"/>
  <c r="H258" i="48"/>
  <c r="O258" i="48" s="1"/>
  <c r="Y258" i="48"/>
  <c r="Z258" i="48" s="1"/>
  <c r="Y394" i="48"/>
  <c r="Z394" i="48" s="1"/>
  <c r="H394" i="48"/>
  <c r="O394" i="48" s="1"/>
  <c r="H369" i="48"/>
  <c r="O369" i="48" s="1"/>
  <c r="Y369" i="48"/>
  <c r="Z369" i="48" s="1"/>
  <c r="H347" i="48"/>
  <c r="O347" i="48" s="1"/>
  <c r="Y347" i="48"/>
  <c r="Z347" i="48" s="1"/>
  <c r="Y333" i="48"/>
  <c r="Z333" i="48" s="1"/>
  <c r="H333" i="48"/>
  <c r="O333" i="48" s="1"/>
  <c r="Y212" i="48"/>
  <c r="Z212" i="48" s="1"/>
  <c r="H212" i="48"/>
  <c r="O212" i="48" s="1"/>
  <c r="Y261" i="48"/>
  <c r="Z261" i="48" s="1"/>
  <c r="H261" i="48"/>
  <c r="O261" i="48" s="1"/>
  <c r="X249" i="48"/>
  <c r="Y249" i="48" s="1"/>
  <c r="Z249" i="48" s="1"/>
  <c r="M249" i="48"/>
  <c r="N249" i="48" s="1"/>
  <c r="O249" i="48" s="1"/>
  <c r="I234" i="48"/>
  <c r="K234" i="48" s="1"/>
  <c r="O234" i="48" s="1"/>
  <c r="U234" i="48"/>
  <c r="Y234" i="48" s="1"/>
  <c r="Z234" i="48" s="1"/>
  <c r="Y223" i="48"/>
  <c r="Z223" i="48" s="1"/>
  <c r="H223" i="48"/>
  <c r="O223" i="48" s="1"/>
  <c r="H239" i="48"/>
  <c r="O239" i="48" s="1"/>
  <c r="Y239" i="48"/>
  <c r="Z239" i="48" s="1"/>
  <c r="H499" i="48"/>
  <c r="O499" i="48" s="1"/>
  <c r="Y499" i="48"/>
  <c r="Z499" i="48" s="1"/>
  <c r="Y464" i="48"/>
  <c r="Z464" i="48" s="1"/>
  <c r="H464" i="48"/>
  <c r="O464" i="48" s="1"/>
  <c r="Y459" i="48"/>
  <c r="Z459" i="48" s="1"/>
  <c r="H459" i="48"/>
  <c r="O459" i="48" s="1"/>
  <c r="Z298" i="48"/>
  <c r="Y241" i="48"/>
  <c r="Z241" i="48" s="1"/>
  <c r="H241" i="48"/>
  <c r="O241" i="48" s="1"/>
  <c r="Y217" i="48"/>
  <c r="Z217" i="48" s="1"/>
  <c r="H217" i="48"/>
  <c r="O217" i="48" s="1"/>
  <c r="Y147" i="48"/>
  <c r="Z147" i="48" s="1"/>
  <c r="H147" i="48"/>
  <c r="O147" i="48" s="1"/>
  <c r="Y124" i="48"/>
  <c r="Z124" i="48" s="1"/>
  <c r="H124" i="48"/>
  <c r="O124" i="48" s="1"/>
  <c r="Y107" i="48"/>
  <c r="Z107" i="48" s="1"/>
  <c r="H107" i="48"/>
  <c r="O107" i="48" s="1"/>
  <c r="H515" i="48"/>
  <c r="O515" i="48" s="1"/>
  <c r="Y515" i="48"/>
  <c r="Z515" i="48" s="1"/>
  <c r="Y385" i="48"/>
  <c r="Z385" i="48" s="1"/>
  <c r="H385" i="48"/>
  <c r="O385" i="48" s="1"/>
  <c r="Y339" i="48"/>
  <c r="Z339" i="48" s="1"/>
  <c r="H339" i="48"/>
  <c r="O339" i="48" s="1"/>
  <c r="Y96" i="48"/>
  <c r="Z96" i="48" s="1"/>
  <c r="H96" i="48"/>
  <c r="O96" i="48" s="1"/>
  <c r="H399" i="48"/>
  <c r="O399" i="48" s="1"/>
  <c r="Y399" i="48"/>
  <c r="Z399" i="48" s="1"/>
  <c r="Y323" i="48"/>
  <c r="Z323" i="48" s="1"/>
  <c r="H323" i="48"/>
  <c r="O323" i="48" s="1"/>
  <c r="H272" i="48"/>
  <c r="O272" i="48" s="1"/>
  <c r="Y272" i="48"/>
  <c r="Z272" i="48" s="1"/>
  <c r="H226" i="48"/>
  <c r="O226" i="48" s="1"/>
  <c r="Y226" i="48"/>
  <c r="Z226" i="48" s="1"/>
  <c r="H214" i="48"/>
  <c r="O214" i="48" s="1"/>
  <c r="Y214" i="48"/>
  <c r="Z214" i="48" s="1"/>
  <c r="Y142" i="48"/>
  <c r="Y84" i="48"/>
  <c r="Z84" i="48" s="1"/>
  <c r="H84" i="48"/>
  <c r="O84" i="48" s="1"/>
  <c r="Y50" i="48"/>
  <c r="Z50" i="48" s="1"/>
  <c r="H50" i="48"/>
  <c r="O50" i="48" s="1"/>
  <c r="Y35" i="48"/>
  <c r="Z35" i="48" s="1"/>
  <c r="H35" i="48"/>
  <c r="O35" i="48" s="1"/>
  <c r="I24" i="48"/>
  <c r="K24" i="48" s="1"/>
  <c r="O24" i="48" s="1"/>
  <c r="U24" i="48"/>
  <c r="Y24" i="48" s="1"/>
  <c r="Z24" i="48" s="1"/>
  <c r="Y79" i="48"/>
  <c r="Z79" i="48" s="1"/>
  <c r="H79" i="48"/>
  <c r="O79" i="48" s="1"/>
  <c r="X197" i="48"/>
  <c r="Y197" i="48" s="1"/>
  <c r="Z197" i="48" s="1"/>
  <c r="M197" i="48"/>
  <c r="N197" i="48" s="1"/>
  <c r="O197" i="48" s="1"/>
  <c r="Y139" i="48"/>
  <c r="Z139" i="48" s="1"/>
  <c r="H139" i="48"/>
  <c r="O139" i="48" s="1"/>
  <c r="H238" i="48"/>
  <c r="X164" i="48"/>
  <c r="Y164" i="48" s="1"/>
  <c r="Z164" i="48" s="1"/>
  <c r="M164" i="48"/>
  <c r="N164" i="48" s="1"/>
  <c r="O164" i="48" s="1"/>
  <c r="Y85" i="48"/>
  <c r="Z85" i="48" s="1"/>
  <c r="H85" i="48"/>
  <c r="O85" i="48" s="1"/>
  <c r="R21" i="48"/>
  <c r="Y25" i="48"/>
  <c r="Z25" i="48" s="1"/>
  <c r="H25" i="48"/>
  <c r="H335" i="48"/>
  <c r="O335" i="48" s="1"/>
  <c r="Y335" i="48"/>
  <c r="Z335" i="48" s="1"/>
  <c r="H250" i="48"/>
  <c r="Y172" i="48"/>
  <c r="Z172" i="48" s="1"/>
  <c r="H172" i="48"/>
  <c r="O172" i="48" s="1"/>
  <c r="Y30" i="48"/>
  <c r="Z30" i="48" s="1"/>
  <c r="H30" i="48"/>
  <c r="O30" i="48" s="1"/>
  <c r="Y19" i="48"/>
  <c r="Z19" i="48" s="1"/>
  <c r="H19" i="48"/>
  <c r="O19" i="48" s="1"/>
  <c r="M166" i="48"/>
  <c r="N166" i="48" s="1"/>
  <c r="O166" i="48" s="1"/>
  <c r="X166" i="48"/>
  <c r="Y166" i="48" s="1"/>
  <c r="Z166" i="48" s="1"/>
  <c r="H173" i="48"/>
  <c r="O173" i="48" s="1"/>
  <c r="Y173" i="48"/>
  <c r="Z173" i="48" s="1"/>
  <c r="H175" i="48"/>
  <c r="O175" i="48" s="1"/>
  <c r="Y175" i="48"/>
  <c r="Z175" i="48" s="1"/>
  <c r="Y514" i="48"/>
  <c r="Z514" i="48" s="1"/>
  <c r="H514" i="48"/>
  <c r="O514" i="48" s="1"/>
  <c r="Y498" i="48"/>
  <c r="Z498" i="48" s="1"/>
  <c r="H498" i="48"/>
  <c r="O498" i="48" s="1"/>
  <c r="H511" i="48"/>
  <c r="O511" i="48" s="1"/>
  <c r="Y511" i="48"/>
  <c r="Z511" i="48" s="1"/>
  <c r="Y470" i="48"/>
  <c r="Z470" i="48" s="1"/>
  <c r="H470" i="48"/>
  <c r="O470" i="48" s="1"/>
  <c r="S466" i="48"/>
  <c r="P465" i="48"/>
  <c r="R389" i="48"/>
  <c r="H390" i="48"/>
  <c r="Y390" i="48"/>
  <c r="Y386" i="48"/>
  <c r="Z386" i="48" s="1"/>
  <c r="H386" i="48"/>
  <c r="O386" i="48" s="1"/>
  <c r="Y372" i="48"/>
  <c r="Z372" i="48" s="1"/>
  <c r="H372" i="48"/>
  <c r="O372" i="48" s="1"/>
  <c r="Y364" i="48"/>
  <c r="Z364" i="48" s="1"/>
  <c r="H364" i="48"/>
  <c r="O364" i="48" s="1"/>
  <c r="Y350" i="48"/>
  <c r="Z350" i="48" s="1"/>
  <c r="H350" i="48"/>
  <c r="O350" i="48" s="1"/>
  <c r="Y336" i="48"/>
  <c r="Z336" i="48" s="1"/>
  <c r="H336" i="48"/>
  <c r="O336" i="48" s="1"/>
  <c r="Y324" i="48"/>
  <c r="Z324" i="48" s="1"/>
  <c r="H324" i="48"/>
  <c r="O324" i="48" s="1"/>
  <c r="H281" i="48"/>
  <c r="O281" i="48" s="1"/>
  <c r="Y281" i="48"/>
  <c r="Z281" i="48" s="1"/>
  <c r="H227" i="48"/>
  <c r="O227" i="48" s="1"/>
  <c r="Y227" i="48"/>
  <c r="Z227" i="48" s="1"/>
  <c r="M163" i="48"/>
  <c r="N163" i="48" s="1"/>
  <c r="X163" i="48"/>
  <c r="Y163" i="48" s="1"/>
  <c r="Z163" i="48" s="1"/>
  <c r="O426" i="48"/>
  <c r="Y501" i="48"/>
  <c r="Z501" i="48" s="1"/>
  <c r="H501" i="48"/>
  <c r="O501" i="48" s="1"/>
  <c r="Y477" i="48"/>
  <c r="Z477" i="48" s="1"/>
  <c r="H477" i="48"/>
  <c r="O477" i="48" s="1"/>
  <c r="Y473" i="48"/>
  <c r="Z473" i="48" s="1"/>
  <c r="H473" i="48"/>
  <c r="O473" i="48" s="1"/>
  <c r="Y363" i="48"/>
  <c r="Z363" i="48" s="1"/>
  <c r="H363" i="48"/>
  <c r="O363" i="48" s="1"/>
  <c r="H321" i="48"/>
  <c r="O321" i="48" s="1"/>
  <c r="Y321" i="48"/>
  <c r="Z321" i="48" s="1"/>
  <c r="Y225" i="48"/>
  <c r="Z225" i="48" s="1"/>
  <c r="H225" i="48"/>
  <c r="O225" i="48" s="1"/>
  <c r="Y479" i="48"/>
  <c r="Z479" i="48" s="1"/>
  <c r="H479" i="48"/>
  <c r="O479" i="48" s="1"/>
  <c r="Y437" i="48"/>
  <c r="Z437" i="48" s="1"/>
  <c r="H437" i="48"/>
  <c r="O437" i="48" s="1"/>
  <c r="Y381" i="48"/>
  <c r="Z381" i="48" s="1"/>
  <c r="H381" i="48"/>
  <c r="O381" i="48" s="1"/>
  <c r="H365" i="48"/>
  <c r="O365" i="48" s="1"/>
  <c r="Y365" i="48"/>
  <c r="Z365" i="48" s="1"/>
  <c r="H355" i="48"/>
  <c r="Y355" i="48"/>
  <c r="Y119" i="48"/>
  <c r="Z119" i="48" s="1"/>
  <c r="H119" i="48"/>
  <c r="O119" i="48" s="1"/>
  <c r="P329" i="48"/>
  <c r="G325" i="48"/>
  <c r="G301" i="48" s="1"/>
  <c r="Y243" i="48"/>
  <c r="Z243" i="48" s="1"/>
  <c r="H243" i="48"/>
  <c r="O243" i="48" s="1"/>
  <c r="H161" i="48"/>
  <c r="Y161" i="48"/>
  <c r="Z161" i="48" s="1"/>
  <c r="H401" i="48"/>
  <c r="O401" i="48" s="1"/>
  <c r="Y401" i="48"/>
  <c r="Z401" i="48" s="1"/>
  <c r="Y367" i="48"/>
  <c r="Z367" i="48" s="1"/>
  <c r="H367" i="48"/>
  <c r="O367" i="48" s="1"/>
  <c r="Y345" i="48"/>
  <c r="Z345" i="48" s="1"/>
  <c r="H345" i="48"/>
  <c r="O345" i="48" s="1"/>
  <c r="O298" i="48"/>
  <c r="Y283" i="48"/>
  <c r="Z283" i="48" s="1"/>
  <c r="H283" i="48"/>
  <c r="O283" i="48" s="1"/>
  <c r="I278" i="48"/>
  <c r="K278" i="48" s="1"/>
  <c r="O278" i="48" s="1"/>
  <c r="U278" i="48"/>
  <c r="Y278" i="48" s="1"/>
  <c r="Z278" i="48" s="1"/>
  <c r="Y187" i="48"/>
  <c r="Z187" i="48" s="1"/>
  <c r="H187" i="48"/>
  <c r="O187" i="48" s="1"/>
  <c r="Y183" i="48"/>
  <c r="Z183" i="48" s="1"/>
  <c r="H183" i="48"/>
  <c r="O183" i="48" s="1"/>
  <c r="Y179" i="48"/>
  <c r="Z179" i="48" s="1"/>
  <c r="H179" i="48"/>
  <c r="O179" i="48" s="1"/>
  <c r="P302" i="48"/>
  <c r="R303" i="48"/>
  <c r="H268" i="48"/>
  <c r="O268" i="48" s="1"/>
  <c r="Y268" i="48"/>
  <c r="Z268" i="48" s="1"/>
  <c r="W207" i="48"/>
  <c r="P206" i="48"/>
  <c r="R207" i="48"/>
  <c r="R518" i="48"/>
  <c r="H519" i="48"/>
  <c r="Y519" i="48"/>
  <c r="Y486" i="48"/>
  <c r="Z486" i="48" s="1"/>
  <c r="H486" i="48"/>
  <c r="O486" i="48" s="1"/>
  <c r="Y441" i="48"/>
  <c r="Z441" i="48" s="1"/>
  <c r="H441" i="48"/>
  <c r="O441" i="48" s="1"/>
  <c r="H421" i="48"/>
  <c r="H403" i="48" s="1"/>
  <c r="X198" i="48"/>
  <c r="Y198" i="48" s="1"/>
  <c r="Z198" i="48" s="1"/>
  <c r="M198" i="48"/>
  <c r="N198" i="48" s="1"/>
  <c r="O198" i="48" s="1"/>
  <c r="Y180" i="48"/>
  <c r="Z180" i="48" s="1"/>
  <c r="H180" i="48"/>
  <c r="O180" i="48" s="1"/>
  <c r="H115" i="48"/>
  <c r="O115" i="48" s="1"/>
  <c r="Y115" i="48"/>
  <c r="Z115" i="48" s="1"/>
  <c r="Y41" i="48"/>
  <c r="Z41" i="48" s="1"/>
  <c r="H41" i="48"/>
  <c r="O41" i="48" s="1"/>
  <c r="H28" i="48"/>
  <c r="O28" i="48" s="1"/>
  <c r="Y28" i="48"/>
  <c r="Z28" i="48" s="1"/>
  <c r="Y17" i="48"/>
  <c r="Z17" i="48" s="1"/>
  <c r="H17" i="48"/>
  <c r="O17" i="48" s="1"/>
  <c r="Y49" i="48"/>
  <c r="Z49" i="48" s="1"/>
  <c r="H49" i="48"/>
  <c r="O49" i="48" s="1"/>
  <c r="Y31" i="48"/>
  <c r="Z31" i="48" s="1"/>
  <c r="H31" i="48"/>
  <c r="O31" i="48" s="1"/>
  <c r="Y20" i="48"/>
  <c r="Z20" i="48" s="1"/>
  <c r="H20" i="48"/>
  <c r="O20" i="48" s="1"/>
  <c r="H125" i="48"/>
  <c r="O125" i="48" s="1"/>
  <c r="Y125" i="48"/>
  <c r="Z125" i="48" s="1"/>
  <c r="Y108" i="48"/>
  <c r="Z108" i="48" s="1"/>
  <c r="H108" i="48"/>
  <c r="O108" i="48" s="1"/>
  <c r="Y103" i="48"/>
  <c r="H103" i="48"/>
  <c r="Y18" i="48"/>
  <c r="Z18" i="48" s="1"/>
  <c r="H18" i="48"/>
  <c r="O18" i="48" s="1"/>
  <c r="H193" i="48"/>
  <c r="O193" i="48" s="1"/>
  <c r="Y193" i="48"/>
  <c r="Z193" i="48" s="1"/>
  <c r="H155" i="48"/>
  <c r="O155" i="48" s="1"/>
  <c r="Y155" i="48"/>
  <c r="Z155" i="48" s="1"/>
  <c r="Y145" i="48"/>
  <c r="Z145" i="48" s="1"/>
  <c r="H145" i="48"/>
  <c r="Y132" i="48"/>
  <c r="Z132" i="48" s="1"/>
  <c r="H132" i="48"/>
  <c r="O132" i="48" s="1"/>
  <c r="Y106" i="48"/>
  <c r="Z106" i="48" s="1"/>
  <c r="H106" i="48"/>
  <c r="O106" i="48" s="1"/>
  <c r="Y65" i="48"/>
  <c r="Z65" i="48" s="1"/>
  <c r="H65" i="48"/>
  <c r="O65" i="48" s="1"/>
  <c r="Y58" i="48"/>
  <c r="Z58" i="48" s="1"/>
  <c r="H58" i="48"/>
  <c r="O58" i="48" s="1"/>
  <c r="H42" i="48"/>
  <c r="O42" i="48" s="1"/>
  <c r="Y42" i="48"/>
  <c r="Z42" i="48" s="1"/>
  <c r="X165" i="48"/>
  <c r="Y165" i="48" s="1"/>
  <c r="Z165" i="48" s="1"/>
  <c r="M165" i="48"/>
  <c r="N165" i="48" s="1"/>
  <c r="O165" i="48" s="1"/>
  <c r="N402" i="48"/>
  <c r="X402" i="48"/>
  <c r="O142" i="48"/>
  <c r="G140" i="48"/>
  <c r="P251" i="48"/>
  <c r="U301" i="48"/>
  <c r="R436" i="48"/>
  <c r="Y504" i="48"/>
  <c r="Z504" i="48" s="1"/>
  <c r="H504" i="48"/>
  <c r="O504" i="48" s="1"/>
  <c r="U434" i="48"/>
  <c r="Y434" i="48" s="1"/>
  <c r="Z434" i="48" s="1"/>
  <c r="I434" i="48"/>
  <c r="K434" i="48" s="1"/>
  <c r="O434" i="48" s="1"/>
  <c r="Y510" i="48"/>
  <c r="Z510" i="48" s="1"/>
  <c r="H510" i="48"/>
  <c r="O510" i="48" s="1"/>
  <c r="Y494" i="48"/>
  <c r="Z494" i="48" s="1"/>
  <c r="H494" i="48"/>
  <c r="O494" i="48" s="1"/>
  <c r="Y497" i="48"/>
  <c r="Z497" i="48" s="1"/>
  <c r="H497" i="48"/>
  <c r="O497" i="48" s="1"/>
  <c r="H488" i="48"/>
  <c r="O488" i="48" s="1"/>
  <c r="Y488" i="48"/>
  <c r="Z488" i="48" s="1"/>
  <c r="R357" i="48"/>
  <c r="R353" i="48" s="1"/>
  <c r="Y387" i="48"/>
  <c r="Z387" i="48" s="1"/>
  <c r="H387" i="48"/>
  <c r="O387" i="48" s="1"/>
  <c r="Y374" i="48"/>
  <c r="Z374" i="48" s="1"/>
  <c r="H374" i="48"/>
  <c r="O374" i="48" s="1"/>
  <c r="Y368" i="48"/>
  <c r="Z368" i="48" s="1"/>
  <c r="H368" i="48"/>
  <c r="O368" i="48" s="1"/>
  <c r="Y346" i="48"/>
  <c r="Z346" i="48" s="1"/>
  <c r="H346" i="48"/>
  <c r="O346" i="48" s="1"/>
  <c r="Y334" i="48"/>
  <c r="Z334" i="48" s="1"/>
  <c r="H334" i="48"/>
  <c r="O334" i="48" s="1"/>
  <c r="Y320" i="48"/>
  <c r="Z320" i="48" s="1"/>
  <c r="H320" i="48"/>
  <c r="O320" i="48" s="1"/>
  <c r="M209" i="48"/>
  <c r="N209" i="48" s="1"/>
  <c r="X209" i="48"/>
  <c r="Y209" i="48" s="1"/>
  <c r="Z209" i="48" s="1"/>
  <c r="H478" i="48"/>
  <c r="O478" i="48" s="1"/>
  <c r="Y478" i="48"/>
  <c r="Z478" i="48" s="1"/>
  <c r="H351" i="48"/>
  <c r="O351" i="48" s="1"/>
  <c r="Y351" i="48"/>
  <c r="Z351" i="48" s="1"/>
  <c r="Y271" i="48"/>
  <c r="Z271" i="48" s="1"/>
  <c r="H271" i="48"/>
  <c r="O271" i="48" s="1"/>
  <c r="Y195" i="48"/>
  <c r="Z195" i="48" s="1"/>
  <c r="H195" i="48"/>
  <c r="O195" i="48" s="1"/>
  <c r="Y153" i="48"/>
  <c r="Z153" i="48" s="1"/>
  <c r="H153" i="48"/>
  <c r="O153" i="48" s="1"/>
  <c r="Y371" i="48"/>
  <c r="Z371" i="48" s="1"/>
  <c r="H371" i="48"/>
  <c r="O371" i="48" s="1"/>
  <c r="R146" i="48"/>
  <c r="R141" i="48" s="1"/>
  <c r="W248" i="48"/>
  <c r="P247" i="48"/>
  <c r="R248" i="48"/>
  <c r="Z404" i="48"/>
  <c r="H361" i="48"/>
  <c r="O361" i="48" s="1"/>
  <c r="Y361" i="48"/>
  <c r="Z361" i="48" s="1"/>
  <c r="Y288" i="48"/>
  <c r="Z288" i="48" s="1"/>
  <c r="H288" i="48"/>
  <c r="O288" i="48" s="1"/>
  <c r="Y185" i="48"/>
  <c r="Z185" i="48" s="1"/>
  <c r="H185" i="48"/>
  <c r="O185" i="48" s="1"/>
  <c r="X162" i="48"/>
  <c r="M162" i="48"/>
  <c r="N162" i="48" s="1"/>
  <c r="O162" i="48" s="1"/>
  <c r="W157" i="48"/>
  <c r="Y319" i="48"/>
  <c r="H319" i="48"/>
  <c r="R318" i="48"/>
  <c r="R104" i="48"/>
  <c r="Y460" i="48"/>
  <c r="Z460" i="48" s="1"/>
  <c r="H460" i="48"/>
  <c r="O460" i="48" s="1"/>
  <c r="Y188" i="48"/>
  <c r="Z188" i="48" s="1"/>
  <c r="H188" i="48"/>
  <c r="O188" i="48" s="1"/>
  <c r="H151" i="48"/>
  <c r="O151" i="48" s="1"/>
  <c r="Y151" i="48"/>
  <c r="Z151" i="48" s="1"/>
  <c r="Y110" i="48"/>
  <c r="Z110" i="48" s="1"/>
  <c r="H110" i="48"/>
  <c r="O110" i="48" s="1"/>
  <c r="Y83" i="48"/>
  <c r="Z83" i="48" s="1"/>
  <c r="H83" i="48"/>
  <c r="O83" i="48" s="1"/>
  <c r="Y129" i="48"/>
  <c r="H129" i="48"/>
  <c r="H174" i="48"/>
  <c r="O174" i="48" s="1"/>
  <c r="Y174" i="48"/>
  <c r="Z174" i="48" s="1"/>
  <c r="Y136" i="48"/>
  <c r="Z136" i="48" s="1"/>
  <c r="H136" i="48"/>
  <c r="O136" i="48" s="1"/>
  <c r="Y114" i="48"/>
  <c r="Z114" i="48" s="1"/>
  <c r="H114" i="48"/>
  <c r="O114" i="48" s="1"/>
  <c r="Y93" i="48"/>
  <c r="Z93" i="48" s="1"/>
  <c r="H93" i="48"/>
  <c r="O93" i="48" s="1"/>
  <c r="H36" i="48"/>
  <c r="O36" i="48" s="1"/>
  <c r="Y36" i="48"/>
  <c r="Z36" i="48" s="1"/>
  <c r="Y53" i="48"/>
  <c r="Z53" i="48" s="1"/>
  <c r="H53" i="48"/>
  <c r="O53" i="48" s="1"/>
  <c r="H438" i="48"/>
  <c r="O438" i="48" s="1"/>
  <c r="Y438" i="48"/>
  <c r="Z438" i="48" s="1"/>
  <c r="Y493" i="48"/>
  <c r="Z493" i="48" s="1"/>
  <c r="H493" i="48"/>
  <c r="O493" i="48" s="1"/>
  <c r="H442" i="48"/>
  <c r="O442" i="48" s="1"/>
  <c r="Y442" i="48"/>
  <c r="Z442" i="48" s="1"/>
  <c r="P167" i="48"/>
  <c r="R168" i="48"/>
  <c r="X38" i="48"/>
  <c r="L38" i="48"/>
  <c r="V37" i="48"/>
  <c r="Y522" i="48"/>
  <c r="Z522" i="48" s="1"/>
  <c r="H522" i="48"/>
  <c r="O522" i="48" s="1"/>
  <c r="P231" i="48"/>
  <c r="S232" i="48"/>
  <c r="Y213" i="48"/>
  <c r="Z213" i="48" s="1"/>
  <c r="H213" i="48"/>
  <c r="O213" i="48" s="1"/>
  <c r="X208" i="48"/>
  <c r="Y208" i="48" s="1"/>
  <c r="Z208" i="48" s="1"/>
  <c r="M208" i="48"/>
  <c r="N208" i="48" s="1"/>
  <c r="O208" i="48" s="1"/>
  <c r="R157" i="48"/>
  <c r="Y158" i="48"/>
  <c r="H158" i="48"/>
  <c r="Y134" i="48"/>
  <c r="Z134" i="48" s="1"/>
  <c r="H134" i="48"/>
  <c r="O134" i="48" s="1"/>
  <c r="Y111" i="48"/>
  <c r="Z111" i="48" s="1"/>
  <c r="H111" i="48"/>
  <c r="O111" i="48" s="1"/>
  <c r="Y101" i="48"/>
  <c r="Z101" i="48" s="1"/>
  <c r="H101" i="48"/>
  <c r="O101" i="48" s="1"/>
  <c r="Y523" i="48"/>
  <c r="Z523" i="48" s="1"/>
  <c r="H523" i="48"/>
  <c r="O523" i="48" s="1"/>
  <c r="Y475" i="48"/>
  <c r="Z475" i="48" s="1"/>
  <c r="H475" i="48"/>
  <c r="O475" i="48" s="1"/>
  <c r="Y471" i="48"/>
  <c r="Z471" i="48" s="1"/>
  <c r="H471" i="48"/>
  <c r="O471" i="48" s="1"/>
  <c r="Y359" i="48"/>
  <c r="Z359" i="48" s="1"/>
  <c r="H359" i="48"/>
  <c r="O359" i="48" s="1"/>
  <c r="L192" i="48"/>
  <c r="N192" i="48" s="1"/>
  <c r="O192" i="48" s="1"/>
  <c r="X192" i="48"/>
  <c r="Y192" i="48" s="1"/>
  <c r="Z192" i="48" s="1"/>
  <c r="H218" i="48"/>
  <c r="O218" i="48" s="1"/>
  <c r="Y218" i="48"/>
  <c r="Z218" i="48" s="1"/>
  <c r="Y99" i="48"/>
  <c r="Z99" i="48" s="1"/>
  <c r="H99" i="48"/>
  <c r="O99" i="48" s="1"/>
  <c r="Y80" i="48"/>
  <c r="Z80" i="48" s="1"/>
  <c r="H80" i="48"/>
  <c r="O80" i="48" s="1"/>
  <c r="Y57" i="48"/>
  <c r="Z57" i="48" s="1"/>
  <c r="H57" i="48"/>
  <c r="O57" i="48" s="1"/>
  <c r="H267" i="48"/>
  <c r="O267" i="48" s="1"/>
  <c r="Y267" i="48"/>
  <c r="Z267" i="48" s="1"/>
  <c r="Y131" i="48"/>
  <c r="Z131" i="48" s="1"/>
  <c r="H131" i="48"/>
  <c r="O131" i="48" s="1"/>
  <c r="H76" i="48"/>
  <c r="O76" i="48" s="1"/>
  <c r="Y76" i="48"/>
  <c r="Z76" i="48" s="1"/>
  <c r="Y16" i="48"/>
  <c r="Z16" i="48" s="1"/>
  <c r="H16" i="48"/>
  <c r="O16" i="48" s="1"/>
  <c r="Y61" i="48"/>
  <c r="Z61" i="48" s="1"/>
  <c r="H61" i="48"/>
  <c r="O61" i="48" s="1"/>
  <c r="Y54" i="48"/>
  <c r="Z54" i="48" s="1"/>
  <c r="H54" i="48"/>
  <c r="O54" i="48" s="1"/>
  <c r="Y29" i="48"/>
  <c r="Z29" i="48" s="1"/>
  <c r="H29" i="48"/>
  <c r="O29" i="48" s="1"/>
  <c r="H300" i="48"/>
  <c r="O300" i="48" s="1"/>
  <c r="Y300" i="48"/>
  <c r="Z300" i="48" s="1"/>
  <c r="H176" i="48"/>
  <c r="O176" i="48" s="1"/>
  <c r="Y176" i="48"/>
  <c r="Z176" i="48" s="1"/>
  <c r="Y160" i="48"/>
  <c r="Z160" i="48" s="1"/>
  <c r="H160" i="48"/>
  <c r="O160" i="48" s="1"/>
  <c r="Y508" i="48"/>
  <c r="Z508" i="48" s="1"/>
  <c r="H508" i="48"/>
  <c r="O508" i="48" s="1"/>
  <c r="Y496" i="48"/>
  <c r="Z496" i="48" s="1"/>
  <c r="H496" i="48"/>
  <c r="O496" i="48" s="1"/>
  <c r="Y428" i="48"/>
  <c r="H428" i="48"/>
  <c r="O428" i="48" s="1"/>
  <c r="Y487" i="48"/>
  <c r="Z487" i="48" s="1"/>
  <c r="H487" i="48"/>
  <c r="O487" i="48" s="1"/>
  <c r="Y492" i="48"/>
  <c r="Z492" i="48" s="1"/>
  <c r="H492" i="48"/>
  <c r="O492" i="48" s="1"/>
  <c r="Y512" i="48"/>
  <c r="Z512" i="48" s="1"/>
  <c r="H512" i="48"/>
  <c r="O512" i="48" s="1"/>
  <c r="Y500" i="48"/>
  <c r="Z500" i="48" s="1"/>
  <c r="H500" i="48"/>
  <c r="O500" i="48" s="1"/>
  <c r="Y481" i="48"/>
  <c r="Z481" i="48" s="1"/>
  <c r="H481" i="48"/>
  <c r="O481" i="48" s="1"/>
  <c r="U432" i="48"/>
  <c r="S425" i="48"/>
  <c r="I432" i="48"/>
  <c r="H429" i="48"/>
  <c r="O429" i="48" s="1"/>
  <c r="Y429" i="48"/>
  <c r="Z429" i="48" s="1"/>
  <c r="Y328" i="48"/>
  <c r="Z328" i="48" s="1"/>
  <c r="H328" i="48"/>
  <c r="O328" i="48" s="1"/>
  <c r="Y513" i="48"/>
  <c r="Z513" i="48" s="1"/>
  <c r="H513" i="48"/>
  <c r="O513" i="48" s="1"/>
  <c r="H503" i="48"/>
  <c r="O503" i="48" s="1"/>
  <c r="Y503" i="48"/>
  <c r="Z503" i="48" s="1"/>
  <c r="H490" i="48"/>
  <c r="O490" i="48" s="1"/>
  <c r="Y490" i="48"/>
  <c r="Z490" i="48" s="1"/>
  <c r="M196" i="48"/>
  <c r="N196" i="48" s="1"/>
  <c r="O196" i="48" s="1"/>
  <c r="X196" i="48"/>
  <c r="Y196" i="48" s="1"/>
  <c r="Z196" i="48" s="1"/>
  <c r="U468" i="48"/>
  <c r="Y468" i="48" s="1"/>
  <c r="Z468" i="48" s="1"/>
  <c r="I468" i="48"/>
  <c r="K468" i="48" s="1"/>
  <c r="O468" i="48" s="1"/>
  <c r="Y240" i="48"/>
  <c r="Z240" i="48" s="1"/>
  <c r="H240" i="48"/>
  <c r="O240" i="48" s="1"/>
  <c r="Y338" i="48"/>
  <c r="Z338" i="48" s="1"/>
  <c r="H338" i="48"/>
  <c r="O338" i="48" s="1"/>
  <c r="Y292" i="48"/>
  <c r="Z292" i="48" s="1"/>
  <c r="H292" i="48"/>
  <c r="O292" i="48" s="1"/>
  <c r="Y244" i="48"/>
  <c r="Z244" i="48" s="1"/>
  <c r="H244" i="48"/>
  <c r="O244" i="48" s="1"/>
  <c r="Y133" i="48"/>
  <c r="Z133" i="48" s="1"/>
  <c r="H133" i="48"/>
  <c r="O133" i="48" s="1"/>
  <c r="Y358" i="48"/>
  <c r="Z358" i="48" s="1"/>
  <c r="H358" i="48"/>
  <c r="O358" i="48" s="1"/>
  <c r="Y341" i="48"/>
  <c r="Z341" i="48" s="1"/>
  <c r="H341" i="48"/>
  <c r="O341" i="48" s="1"/>
  <c r="Y291" i="48"/>
  <c r="Z291" i="48" s="1"/>
  <c r="H291" i="48"/>
  <c r="O291" i="48" s="1"/>
  <c r="Y331" i="48"/>
  <c r="Z331" i="48" s="1"/>
  <c r="H331" i="48"/>
  <c r="O331" i="48" s="1"/>
  <c r="Y123" i="48"/>
  <c r="Z123" i="48" s="1"/>
  <c r="H123" i="48"/>
  <c r="O123" i="48" s="1"/>
  <c r="Y509" i="48"/>
  <c r="Z509" i="48" s="1"/>
  <c r="H509" i="48"/>
  <c r="O509" i="48" s="1"/>
  <c r="Y482" i="48"/>
  <c r="Z482" i="48" s="1"/>
  <c r="H482" i="48"/>
  <c r="O482" i="48" s="1"/>
  <c r="Y461" i="48"/>
  <c r="Z461" i="48" s="1"/>
  <c r="H461" i="48"/>
  <c r="O461" i="48" s="1"/>
  <c r="O404" i="48"/>
  <c r="R299" i="48"/>
  <c r="P297" i="48"/>
  <c r="P264" i="48" s="1"/>
  <c r="Y245" i="48"/>
  <c r="Z245" i="48" s="1"/>
  <c r="H245" i="48"/>
  <c r="O245" i="48" s="1"/>
  <c r="Y235" i="48"/>
  <c r="Z235" i="48" s="1"/>
  <c r="H235" i="48"/>
  <c r="R231" i="48"/>
  <c r="Y219" i="48"/>
  <c r="Z219" i="48" s="1"/>
  <c r="H219" i="48"/>
  <c r="O219" i="48" s="1"/>
  <c r="Y215" i="48"/>
  <c r="Z215" i="48" s="1"/>
  <c r="H215" i="48"/>
  <c r="O215" i="48" s="1"/>
  <c r="Y204" i="48"/>
  <c r="Z204" i="48" s="1"/>
  <c r="H204" i="48"/>
  <c r="O204" i="48" s="1"/>
  <c r="Y149" i="48"/>
  <c r="Z149" i="48" s="1"/>
  <c r="H149" i="48"/>
  <c r="O149" i="48" s="1"/>
  <c r="Y138" i="48"/>
  <c r="Z138" i="48" s="1"/>
  <c r="H138" i="48"/>
  <c r="O138" i="48" s="1"/>
  <c r="Y130" i="48"/>
  <c r="Z130" i="48" s="1"/>
  <c r="H130" i="48"/>
  <c r="O130" i="48" s="1"/>
  <c r="Y113" i="48"/>
  <c r="Z113" i="48" s="1"/>
  <c r="H113" i="48"/>
  <c r="O113" i="48" s="1"/>
  <c r="Y109" i="48"/>
  <c r="Z109" i="48" s="1"/>
  <c r="H109" i="48"/>
  <c r="O109" i="48" s="1"/>
  <c r="Y105" i="48"/>
  <c r="Z105" i="48" s="1"/>
  <c r="H105" i="48"/>
  <c r="O105" i="48" s="1"/>
  <c r="Y97" i="48"/>
  <c r="Z97" i="48" s="1"/>
  <c r="H97" i="48"/>
  <c r="O97" i="48" s="1"/>
  <c r="H480" i="48"/>
  <c r="O480" i="48" s="1"/>
  <c r="Y480" i="48"/>
  <c r="Z480" i="48" s="1"/>
  <c r="H472" i="48"/>
  <c r="O472" i="48" s="1"/>
  <c r="Y472" i="48"/>
  <c r="Z472" i="48" s="1"/>
  <c r="Y377" i="48"/>
  <c r="Z377" i="48" s="1"/>
  <c r="H377" i="48"/>
  <c r="O377" i="48" s="1"/>
  <c r="Y349" i="48"/>
  <c r="Z349" i="48" s="1"/>
  <c r="H349" i="48"/>
  <c r="O349" i="48" s="1"/>
  <c r="H326" i="48"/>
  <c r="Y326" i="48"/>
  <c r="H209" i="48"/>
  <c r="Y178" i="48"/>
  <c r="Z178" i="48" s="1"/>
  <c r="H178" i="48"/>
  <c r="O178" i="48" s="1"/>
  <c r="Y137" i="48"/>
  <c r="Z137" i="48" s="1"/>
  <c r="H137" i="48"/>
  <c r="O137" i="48" s="1"/>
  <c r="Y100" i="48"/>
  <c r="Z100" i="48" s="1"/>
  <c r="H100" i="48"/>
  <c r="O100" i="48" s="1"/>
  <c r="Y398" i="48"/>
  <c r="Z398" i="48" s="1"/>
  <c r="H398" i="48"/>
  <c r="O398" i="48" s="1"/>
  <c r="H296" i="48"/>
  <c r="O296" i="48" s="1"/>
  <c r="Y296" i="48"/>
  <c r="Z296" i="48" s="1"/>
  <c r="I277" i="48"/>
  <c r="K277" i="48" s="1"/>
  <c r="O277" i="48" s="1"/>
  <c r="U277" i="48"/>
  <c r="Y277" i="48" s="1"/>
  <c r="Z277" i="48" s="1"/>
  <c r="P221" i="48"/>
  <c r="R222" i="48"/>
  <c r="Y216" i="48"/>
  <c r="Z216" i="48" s="1"/>
  <c r="H216" i="48"/>
  <c r="O216" i="48" s="1"/>
  <c r="H66" i="48"/>
  <c r="O66" i="48" s="1"/>
  <c r="Y66" i="48"/>
  <c r="Z66" i="48" s="1"/>
  <c r="I89" i="48"/>
  <c r="K89" i="48" s="1"/>
  <c r="O89" i="48" s="1"/>
  <c r="U89" i="48"/>
  <c r="Y89" i="48" s="1"/>
  <c r="Z89" i="48" s="1"/>
  <c r="P14" i="48"/>
  <c r="R15" i="48"/>
  <c r="H284" i="48"/>
  <c r="O284" i="48" s="1"/>
  <c r="Y284" i="48"/>
  <c r="Z284" i="48" s="1"/>
  <c r="Y182" i="48"/>
  <c r="Z182" i="48" s="1"/>
  <c r="H182" i="48"/>
  <c r="O182" i="48" s="1"/>
  <c r="Y148" i="48"/>
  <c r="Z148" i="48" s="1"/>
  <c r="H148" i="48"/>
  <c r="O148" i="48" s="1"/>
  <c r="Y135" i="48"/>
  <c r="Z135" i="48" s="1"/>
  <c r="H135" i="48"/>
  <c r="O135" i="48" s="1"/>
  <c r="Y112" i="48"/>
  <c r="Z112" i="48" s="1"/>
  <c r="H112" i="48"/>
  <c r="O112" i="48" s="1"/>
  <c r="R86" i="48"/>
  <c r="H90" i="48"/>
  <c r="Y90" i="48"/>
  <c r="Z90" i="48" s="1"/>
  <c r="H46" i="48"/>
  <c r="O46" i="48" s="1"/>
  <c r="Y46" i="48"/>
  <c r="Z46" i="48" s="1"/>
  <c r="L39" i="48"/>
  <c r="N39" i="48" s="1"/>
  <c r="X39" i="48"/>
  <c r="Y39" i="48" s="1"/>
  <c r="Z39" i="48" s="1"/>
  <c r="M238" i="48"/>
  <c r="X238" i="48"/>
  <c r="X231" i="48" s="1"/>
  <c r="W231" i="48"/>
  <c r="Y202" i="48"/>
  <c r="Z202" i="48" s="1"/>
  <c r="H202" i="48"/>
  <c r="O202" i="48" s="1"/>
  <c r="I88" i="48"/>
  <c r="K88" i="48" s="1"/>
  <c r="O88" i="48" s="1"/>
  <c r="U88" i="48"/>
  <c r="Y88" i="48" s="1"/>
  <c r="Z88" i="48" s="1"/>
  <c r="Y75" i="48"/>
  <c r="Z75" i="48" s="1"/>
  <c r="H75" i="48"/>
  <c r="O75" i="48" s="1"/>
  <c r="Y45" i="48"/>
  <c r="Z45" i="48" s="1"/>
  <c r="H45" i="48"/>
  <c r="O45" i="48" s="1"/>
  <c r="Y32" i="48"/>
  <c r="Z32" i="48" s="1"/>
  <c r="H32" i="48"/>
  <c r="O32" i="48" s="1"/>
  <c r="H330" i="48"/>
  <c r="O330" i="48" s="1"/>
  <c r="Y330" i="48"/>
  <c r="Z330" i="48" s="1"/>
  <c r="Y280" i="48"/>
  <c r="Z280" i="48" s="1"/>
  <c r="H280" i="48"/>
  <c r="O280" i="48" s="1"/>
  <c r="Y259" i="48"/>
  <c r="Z259" i="48" s="1"/>
  <c r="H259" i="48"/>
  <c r="O259" i="48" s="1"/>
  <c r="Y122" i="48"/>
  <c r="Z122" i="48" s="1"/>
  <c r="H122" i="48"/>
  <c r="O122" i="48" s="1"/>
  <c r="Y40" i="48"/>
  <c r="Z40" i="48" s="1"/>
  <c r="H40" i="48"/>
  <c r="O40" i="48" s="1"/>
  <c r="I22" i="48"/>
  <c r="S21" i="48"/>
  <c r="U22" i="48"/>
  <c r="H62" i="48"/>
  <c r="O62" i="48" s="1"/>
  <c r="Y62" i="48"/>
  <c r="Z62" i="48" s="1"/>
  <c r="H169" i="48"/>
  <c r="O169" i="48" s="1"/>
  <c r="Y169" i="48"/>
  <c r="Z169" i="48" s="1"/>
  <c r="H171" i="48"/>
  <c r="O171" i="48" s="1"/>
  <c r="Y171" i="48"/>
  <c r="Z171" i="48" s="1"/>
  <c r="P353" i="48"/>
  <c r="R37" i="48"/>
  <c r="T403" i="48"/>
  <c r="T402" i="48" s="1"/>
  <c r="R465" i="48"/>
  <c r="P102" i="48"/>
  <c r="F17" i="47"/>
  <c r="G17" i="47"/>
  <c r="S17" i="47"/>
  <c r="O28" i="46"/>
  <c r="O27" i="46"/>
  <c r="G531" i="48" l="1"/>
  <c r="O209" i="48"/>
  <c r="O44" i="46"/>
  <c r="R44" i="46" s="1"/>
  <c r="T43" i="46" s="1"/>
  <c r="F44" i="46"/>
  <c r="Y211" i="48"/>
  <c r="Z211" i="48" s="1"/>
  <c r="R210" i="48"/>
  <c r="M37" i="48"/>
  <c r="R275" i="48"/>
  <c r="R265" i="48"/>
  <c r="Y279" i="48"/>
  <c r="Z279" i="48" s="1"/>
  <c r="O421" i="48"/>
  <c r="Y266" i="48"/>
  <c r="Y265" i="48" s="1"/>
  <c r="I141" i="48"/>
  <c r="I140" i="48" s="1"/>
  <c r="Y238" i="48"/>
  <c r="Z238" i="48" s="1"/>
  <c r="U141" i="48"/>
  <c r="U140" i="48" s="1"/>
  <c r="P402" i="48"/>
  <c r="K141" i="48"/>
  <c r="K140" i="48" s="1"/>
  <c r="R10" i="48"/>
  <c r="H11" i="48"/>
  <c r="Y11" i="48"/>
  <c r="O161" i="48"/>
  <c r="R29" i="46"/>
  <c r="R28" i="46"/>
  <c r="R27" i="46"/>
  <c r="S9" i="48"/>
  <c r="N238" i="48"/>
  <c r="N231" i="48" s="1"/>
  <c r="M231" i="48"/>
  <c r="P9" i="48"/>
  <c r="Y210" i="48"/>
  <c r="Z210" i="48" s="1"/>
  <c r="Y299" i="48"/>
  <c r="H299" i="48"/>
  <c r="R297" i="48"/>
  <c r="O266" i="48"/>
  <c r="O265" i="48" s="1"/>
  <c r="H265" i="48"/>
  <c r="O90" i="48"/>
  <c r="H86" i="48"/>
  <c r="I425" i="48"/>
  <c r="K432" i="48"/>
  <c r="V9" i="48"/>
  <c r="Y168" i="48"/>
  <c r="R167" i="48"/>
  <c r="H168" i="48"/>
  <c r="O129" i="48"/>
  <c r="O127" i="48" s="1"/>
  <c r="H127" i="48"/>
  <c r="Y104" i="48"/>
  <c r="Z104" i="48" s="1"/>
  <c r="H104" i="48"/>
  <c r="O104" i="48" s="1"/>
  <c r="Y318" i="48"/>
  <c r="Z318" i="48" s="1"/>
  <c r="Z319" i="48"/>
  <c r="H248" i="48"/>
  <c r="R247" i="48"/>
  <c r="Y146" i="48"/>
  <c r="Z146" i="48" s="1"/>
  <c r="H146" i="48"/>
  <c r="O146" i="48" s="1"/>
  <c r="Y357" i="48"/>
  <c r="Z357" i="48" s="1"/>
  <c r="H357" i="48"/>
  <c r="O357" i="48" s="1"/>
  <c r="O103" i="48"/>
  <c r="Y518" i="48"/>
  <c r="Z518" i="48" s="1"/>
  <c r="Z519" i="48"/>
  <c r="O25" i="48"/>
  <c r="H21" i="48"/>
  <c r="Y506" i="48"/>
  <c r="H506" i="48"/>
  <c r="R505" i="48"/>
  <c r="O39" i="48"/>
  <c r="H37" i="48"/>
  <c r="Y199" i="48"/>
  <c r="Z199" i="48" s="1"/>
  <c r="Z200" i="48"/>
  <c r="K276" i="48"/>
  <c r="I275" i="48"/>
  <c r="I264" i="48" s="1"/>
  <c r="X191" i="48"/>
  <c r="X189" i="48" s="1"/>
  <c r="L191" i="48"/>
  <c r="V189" i="48"/>
  <c r="V140" i="48" s="1"/>
  <c r="K22" i="48"/>
  <c r="I21" i="48"/>
  <c r="P220" i="48"/>
  <c r="O326" i="48"/>
  <c r="Z428" i="48"/>
  <c r="Z158" i="48"/>
  <c r="O319" i="48"/>
  <c r="O318" i="48" s="1"/>
  <c r="H318" i="48"/>
  <c r="X157" i="48"/>
  <c r="Y162" i="48"/>
  <c r="Z162" i="48" s="1"/>
  <c r="G525" i="48"/>
  <c r="G529" i="48" s="1"/>
  <c r="O145" i="48"/>
  <c r="H207" i="48"/>
  <c r="R206" i="48"/>
  <c r="O355" i="48"/>
  <c r="H389" i="48"/>
  <c r="O390" i="48"/>
  <c r="O389" i="48" s="1"/>
  <c r="Z142" i="48"/>
  <c r="H199" i="48"/>
  <c r="O200" i="48"/>
  <c r="O199" i="48" s="1"/>
  <c r="M191" i="48"/>
  <c r="M189" i="48" s="1"/>
  <c r="W189" i="48"/>
  <c r="O190" i="48"/>
  <c r="M157" i="48"/>
  <c r="J403" i="48"/>
  <c r="J402" i="48" s="1"/>
  <c r="Y403" i="48"/>
  <c r="R102" i="48"/>
  <c r="N157" i="48"/>
  <c r="Z326" i="48"/>
  <c r="O279" i="48"/>
  <c r="H275" i="48"/>
  <c r="O419" i="48"/>
  <c r="K403" i="48"/>
  <c r="U425" i="48"/>
  <c r="Y432" i="48"/>
  <c r="Z432" i="48" s="1"/>
  <c r="H157" i="48"/>
  <c r="O158" i="48"/>
  <c r="X37" i="48"/>
  <c r="Y38" i="48"/>
  <c r="X248" i="48"/>
  <c r="X247" i="48" s="1"/>
  <c r="X220" i="48" s="1"/>
  <c r="M248" i="48"/>
  <c r="W247" i="48"/>
  <c r="W220" i="48" s="1"/>
  <c r="Y436" i="48"/>
  <c r="Z436" i="48" s="1"/>
  <c r="H436" i="48"/>
  <c r="O436" i="48" s="1"/>
  <c r="X207" i="48"/>
  <c r="X206" i="48" s="1"/>
  <c r="M207" i="48"/>
  <c r="W206" i="48"/>
  <c r="R329" i="48"/>
  <c r="P325" i="48"/>
  <c r="Y389" i="48"/>
  <c r="Z389" i="48" s="1"/>
  <c r="Z390" i="48"/>
  <c r="I466" i="48"/>
  <c r="S465" i="48"/>
  <c r="U466" i="48"/>
  <c r="Y260" i="48"/>
  <c r="Z260" i="48" s="1"/>
  <c r="H260" i="48"/>
  <c r="O260" i="48" s="1"/>
  <c r="O255" i="48"/>
  <c r="K87" i="48"/>
  <c r="I86" i="48"/>
  <c r="Y276" i="48"/>
  <c r="U275" i="48"/>
  <c r="U264" i="48" s="1"/>
  <c r="T525" i="48"/>
  <c r="T529" i="48" s="1"/>
  <c r="Y22" i="48"/>
  <c r="U21" i="48"/>
  <c r="Y15" i="48"/>
  <c r="H15" i="48"/>
  <c r="R14" i="48"/>
  <c r="Y222" i="48"/>
  <c r="H222" i="48"/>
  <c r="R221" i="48"/>
  <c r="O211" i="48"/>
  <c r="O210" i="48" s="1"/>
  <c r="H210" i="48"/>
  <c r="H231" i="48"/>
  <c r="O235" i="48"/>
  <c r="I232" i="48"/>
  <c r="S231" i="48"/>
  <c r="S220" i="48" s="1"/>
  <c r="U232" i="48"/>
  <c r="N38" i="48"/>
  <c r="L37" i="48"/>
  <c r="Z129" i="48"/>
  <c r="Y127" i="48"/>
  <c r="Z127" i="48" s="1"/>
  <c r="Z190" i="48"/>
  <c r="Z103" i="48"/>
  <c r="H518" i="48"/>
  <c r="O519" i="48"/>
  <c r="O518" i="48" s="1"/>
  <c r="Y303" i="48"/>
  <c r="Y302" i="48" s="1"/>
  <c r="H303" i="48"/>
  <c r="R302" i="48"/>
  <c r="Z355" i="48"/>
  <c r="Z255" i="48"/>
  <c r="Y87" i="48"/>
  <c r="U86" i="48"/>
  <c r="H191" i="48"/>
  <c r="R189" i="48"/>
  <c r="H465" i="48"/>
  <c r="U403" i="48"/>
  <c r="S402" i="48"/>
  <c r="R425" i="48"/>
  <c r="O250" i="48"/>
  <c r="O163" i="48"/>
  <c r="P140" i="48"/>
  <c r="T17" i="47"/>
  <c r="L9" i="48" l="1"/>
  <c r="J525" i="48"/>
  <c r="J529" i="48" s="1"/>
  <c r="J531" i="48"/>
  <c r="M9" i="48"/>
  <c r="O238" i="48"/>
  <c r="Z266" i="48"/>
  <c r="O403" i="48"/>
  <c r="R264" i="48"/>
  <c r="Y248" i="48"/>
  <c r="Z248" i="48" s="1"/>
  <c r="H425" i="48"/>
  <c r="Y353" i="48"/>
  <c r="Z353" i="48" s="1"/>
  <c r="H251" i="48"/>
  <c r="O102" i="48"/>
  <c r="R220" i="48"/>
  <c r="O251" i="48"/>
  <c r="O157" i="48"/>
  <c r="O141" i="48"/>
  <c r="Y251" i="48"/>
  <c r="Z251" i="48" s="1"/>
  <c r="T531" i="48"/>
  <c r="Y425" i="48"/>
  <c r="Z425" i="48" s="1"/>
  <c r="H141" i="48"/>
  <c r="O11" i="48"/>
  <c r="O10" i="48" s="1"/>
  <c r="H10" i="48"/>
  <c r="H353" i="48"/>
  <c r="Y102" i="48"/>
  <c r="Z102" i="48" s="1"/>
  <c r="Z11" i="48"/>
  <c r="Y10" i="48"/>
  <c r="R402" i="48"/>
  <c r="R140" i="48"/>
  <c r="W140" i="48"/>
  <c r="O303" i="48"/>
  <c r="O302" i="48" s="1"/>
  <c r="H302" i="48"/>
  <c r="Y232" i="48"/>
  <c r="U231" i="48"/>
  <c r="U220" i="48" s="1"/>
  <c r="O222" i="48"/>
  <c r="O221" i="48" s="1"/>
  <c r="H221" i="48"/>
  <c r="Y14" i="48"/>
  <c r="Z15" i="48"/>
  <c r="X9" i="48"/>
  <c r="N191" i="48"/>
  <c r="N189" i="48" s="1"/>
  <c r="L189" i="48"/>
  <c r="L140" i="48" s="1"/>
  <c r="L525" i="48" s="1"/>
  <c r="L529" i="48" s="1"/>
  <c r="Y167" i="48"/>
  <c r="Z167" i="48" s="1"/>
  <c r="Z168" i="48"/>
  <c r="H189" i="48"/>
  <c r="N37" i="48"/>
  <c r="O38" i="48"/>
  <c r="O37" i="48" s="1"/>
  <c r="O15" i="48"/>
  <c r="O14" i="48" s="1"/>
  <c r="H14" i="48"/>
  <c r="I465" i="48"/>
  <c r="I402" i="48" s="1"/>
  <c r="K466" i="48"/>
  <c r="Y329" i="48"/>
  <c r="H329" i="48"/>
  <c r="R325" i="48"/>
  <c r="R301" i="48" s="1"/>
  <c r="Y37" i="48"/>
  <c r="Z37" i="48" s="1"/>
  <c r="Z38" i="48"/>
  <c r="K275" i="48"/>
  <c r="K264" i="48" s="1"/>
  <c r="O276" i="48"/>
  <c r="O275" i="48" s="1"/>
  <c r="H247" i="48"/>
  <c r="O432" i="48"/>
  <c r="O425" i="48" s="1"/>
  <c r="K425" i="48"/>
  <c r="Y191" i="48"/>
  <c r="I9" i="48"/>
  <c r="H102" i="48"/>
  <c r="Y221" i="48"/>
  <c r="Z222" i="48"/>
  <c r="U9" i="48"/>
  <c r="Y466" i="48"/>
  <c r="U465" i="48"/>
  <c r="U402" i="48" s="1"/>
  <c r="N248" i="48"/>
  <c r="N247" i="48" s="1"/>
  <c r="N220" i="48" s="1"/>
  <c r="M247" i="48"/>
  <c r="M220" i="48" s="1"/>
  <c r="H206" i="48"/>
  <c r="H505" i="48"/>
  <c r="O506" i="48"/>
  <c r="O505" i="48" s="1"/>
  <c r="V525" i="48"/>
  <c r="Y297" i="48"/>
  <c r="Z297" i="48" s="1"/>
  <c r="Z299" i="48"/>
  <c r="K86" i="48"/>
  <c r="O87" i="48"/>
  <c r="O86" i="48" s="1"/>
  <c r="M206" i="48"/>
  <c r="M140" i="48" s="1"/>
  <c r="N207" i="48"/>
  <c r="N206" i="48" s="1"/>
  <c r="K21" i="48"/>
  <c r="O22" i="48"/>
  <c r="O21" i="48" s="1"/>
  <c r="O299" i="48"/>
  <c r="O297" i="48" s="1"/>
  <c r="H297" i="48"/>
  <c r="H264" i="48" s="1"/>
  <c r="Y86" i="48"/>
  <c r="Z86" i="48" s="1"/>
  <c r="Z87" i="48"/>
  <c r="I231" i="48"/>
  <c r="I220" i="48" s="1"/>
  <c r="K232" i="48"/>
  <c r="R9" i="48"/>
  <c r="Y21" i="48"/>
  <c r="Z21" i="48" s="1"/>
  <c r="Z22" i="48"/>
  <c r="Y275" i="48"/>
  <c r="Z275" i="48" s="1"/>
  <c r="Z276" i="48"/>
  <c r="Z265" i="48"/>
  <c r="Y505" i="48"/>
  <c r="Z505" i="48" s="1"/>
  <c r="Z506" i="48"/>
  <c r="O168" i="48"/>
  <c r="O167" i="48" s="1"/>
  <c r="H167" i="48"/>
  <c r="S525" i="48"/>
  <c r="S529" i="48" s="1"/>
  <c r="Z302" i="48"/>
  <c r="Y207" i="48"/>
  <c r="P301" i="48"/>
  <c r="P525" i="48" s="1"/>
  <c r="Y141" i="48"/>
  <c r="O353" i="48"/>
  <c r="X140" i="48"/>
  <c r="Y157" i="48"/>
  <c r="Z157" i="48" s="1"/>
  <c r="O191" i="48" l="1"/>
  <c r="O189" i="48" s="1"/>
  <c r="L531" i="48"/>
  <c r="N140" i="48"/>
  <c r="H402" i="48"/>
  <c r="Y247" i="48"/>
  <c r="Z247" i="48" s="1"/>
  <c r="S531" i="48"/>
  <c r="O264" i="48"/>
  <c r="W525" i="48"/>
  <c r="W529" i="48" s="1"/>
  <c r="V529" i="48"/>
  <c r="V531" i="48" s="1"/>
  <c r="Z10" i="48"/>
  <c r="P531" i="48"/>
  <c r="H140" i="48"/>
  <c r="H220" i="48"/>
  <c r="O248" i="48"/>
  <c r="O247" i="48" s="1"/>
  <c r="Z141" i="48"/>
  <c r="K9" i="48"/>
  <c r="I525" i="48"/>
  <c r="I529" i="48" s="1"/>
  <c r="I531" i="48" s="1"/>
  <c r="Y325" i="48"/>
  <c r="Z329" i="48"/>
  <c r="O9" i="48"/>
  <c r="Z14" i="48"/>
  <c r="Y9" i="48"/>
  <c r="Y231" i="48"/>
  <c r="Z231" i="48" s="1"/>
  <c r="Z232" i="48"/>
  <c r="P529" i="48"/>
  <c r="Z191" i="48"/>
  <c r="Y189" i="48"/>
  <c r="Z189" i="48" s="1"/>
  <c r="O329" i="48"/>
  <c r="O325" i="48" s="1"/>
  <c r="O301" i="48" s="1"/>
  <c r="H325" i="48"/>
  <c r="H301" i="48" s="1"/>
  <c r="H9" i="48"/>
  <c r="Y264" i="48"/>
  <c r="Z264" i="48" s="1"/>
  <c r="Y465" i="48"/>
  <c r="Z466" i="48"/>
  <c r="Z221" i="48"/>
  <c r="M525" i="48"/>
  <c r="M529" i="48" s="1"/>
  <c r="M531" i="48" s="1"/>
  <c r="O466" i="48"/>
  <c r="O465" i="48" s="1"/>
  <c r="O402" i="48" s="1"/>
  <c r="K465" i="48"/>
  <c r="K402" i="48" s="1"/>
  <c r="K231" i="48"/>
  <c r="K220" i="48" s="1"/>
  <c r="O232" i="48"/>
  <c r="O231" i="48" s="1"/>
  <c r="Y206" i="48"/>
  <c r="Z206" i="48" s="1"/>
  <c r="Z207" i="48"/>
  <c r="R525" i="48"/>
  <c r="U525" i="48"/>
  <c r="U529" i="48" s="1"/>
  <c r="U531" i="48" s="1"/>
  <c r="N9" i="48"/>
  <c r="X525" i="48"/>
  <c r="O207" i="48"/>
  <c r="O206" i="48" s="1"/>
  <c r="O140" i="48" s="1"/>
  <c r="W531" i="48" l="1"/>
  <c r="Y220" i="48"/>
  <c r="Z220" i="48" s="1"/>
  <c r="O531" i="48"/>
  <c r="O220" i="48"/>
  <c r="X529" i="48"/>
  <c r="X531" i="48" s="1"/>
  <c r="Z9" i="48"/>
  <c r="Y140" i="48"/>
  <c r="N525" i="48"/>
  <c r="Z465" i="48"/>
  <c r="Y402" i="48"/>
  <c r="Z402" i="48" s="1"/>
  <c r="H525" i="48"/>
  <c r="H529" i="48" s="1"/>
  <c r="Z325" i="48"/>
  <c r="Y301" i="48"/>
  <c r="Z301" i="48" s="1"/>
  <c r="K525" i="48"/>
  <c r="K529" i="48" s="1"/>
  <c r="K531" i="48" s="1"/>
  <c r="R529" i="48"/>
  <c r="R531" i="48" s="1"/>
  <c r="O525" i="48"/>
  <c r="O529" i="48" s="1"/>
  <c r="H531" i="48" l="1"/>
  <c r="Y525" i="48"/>
  <c r="Z525" i="48" s="1"/>
  <c r="Z140" i="48"/>
  <c r="N529" i="48"/>
  <c r="N531" i="48" s="1"/>
  <c r="Y529" i="48" l="1"/>
  <c r="K47" i="46"/>
  <c r="L47" i="46"/>
  <c r="M47" i="46"/>
  <c r="G47" i="46"/>
  <c r="H47" i="46"/>
  <c r="I47" i="46"/>
  <c r="D47" i="46"/>
  <c r="E47" i="46"/>
  <c r="B47" i="46"/>
  <c r="R21" i="47"/>
  <c r="Q21" i="47"/>
  <c r="F21" i="47"/>
  <c r="G21" i="47" s="1"/>
  <c r="M19" i="46"/>
  <c r="L19" i="46"/>
  <c r="K19" i="46"/>
  <c r="I19" i="46"/>
  <c r="H19" i="46"/>
  <c r="G19" i="46"/>
  <c r="M18" i="46"/>
  <c r="L18" i="46"/>
  <c r="K18" i="46"/>
  <c r="I18" i="46"/>
  <c r="H18" i="46"/>
  <c r="G18" i="46"/>
  <c r="M17" i="46"/>
  <c r="L17" i="46"/>
  <c r="K17" i="46"/>
  <c r="I17" i="46"/>
  <c r="H17" i="46"/>
  <c r="G17" i="46"/>
  <c r="M16" i="46"/>
  <c r="L16" i="46"/>
  <c r="K16" i="46"/>
  <c r="I16" i="46"/>
  <c r="H16" i="46"/>
  <c r="G16" i="46"/>
  <c r="M15" i="46"/>
  <c r="L15" i="46"/>
  <c r="K15" i="46"/>
  <c r="I15" i="46"/>
  <c r="H15" i="46"/>
  <c r="G15" i="46"/>
  <c r="D15" i="46"/>
  <c r="E15" i="46"/>
  <c r="D16" i="46"/>
  <c r="E16" i="46"/>
  <c r="D17" i="46"/>
  <c r="E17" i="46"/>
  <c r="D18" i="46"/>
  <c r="E18" i="46"/>
  <c r="D19" i="46"/>
  <c r="E19" i="46"/>
  <c r="B19" i="46"/>
  <c r="B15" i="46"/>
  <c r="B16" i="46"/>
  <c r="B17" i="46"/>
  <c r="B18" i="46"/>
  <c r="R18" i="45"/>
  <c r="Q18" i="45"/>
  <c r="R17" i="45"/>
  <c r="Q17" i="45"/>
  <c r="R16" i="45"/>
  <c r="Q16" i="45"/>
  <c r="R15" i="45"/>
  <c r="Q15" i="45"/>
  <c r="R14" i="45"/>
  <c r="Q14" i="45"/>
  <c r="F18" i="45"/>
  <c r="G18" i="45" s="1"/>
  <c r="F17" i="45"/>
  <c r="G17" i="45" s="1"/>
  <c r="P17" i="45" s="1"/>
  <c r="F16" i="45"/>
  <c r="G16" i="45" s="1"/>
  <c r="F15" i="45"/>
  <c r="G15" i="45" s="1"/>
  <c r="F14" i="45"/>
  <c r="G14" i="45" s="1"/>
  <c r="M37" i="46"/>
  <c r="L37" i="46"/>
  <c r="K37" i="46"/>
  <c r="I37" i="46"/>
  <c r="H37" i="46"/>
  <c r="G37" i="46"/>
  <c r="E37" i="46"/>
  <c r="D37" i="46"/>
  <c r="C37" i="46"/>
  <c r="M36" i="46"/>
  <c r="L36" i="46"/>
  <c r="K36" i="46"/>
  <c r="I36" i="46"/>
  <c r="H36" i="46"/>
  <c r="G36" i="46"/>
  <c r="E36" i="46"/>
  <c r="D36" i="46"/>
  <c r="C36" i="46"/>
  <c r="M35" i="46"/>
  <c r="L35" i="46"/>
  <c r="K35" i="46"/>
  <c r="I35" i="46"/>
  <c r="H35" i="46"/>
  <c r="G35" i="46"/>
  <c r="E35" i="46"/>
  <c r="D35" i="46"/>
  <c r="C35" i="46"/>
  <c r="L34" i="46"/>
  <c r="M34" i="46"/>
  <c r="H34" i="46"/>
  <c r="I34" i="46"/>
  <c r="D34" i="46"/>
  <c r="E34" i="46"/>
  <c r="K34" i="46"/>
  <c r="G34" i="46"/>
  <c r="C34" i="46"/>
  <c r="B35" i="46"/>
  <c r="B36" i="46"/>
  <c r="B37" i="46"/>
  <c r="B34" i="46"/>
  <c r="P12" i="49"/>
  <c r="Q12" i="49"/>
  <c r="R12" i="49"/>
  <c r="P13" i="49"/>
  <c r="Q13" i="49"/>
  <c r="R13" i="49"/>
  <c r="P14" i="49"/>
  <c r="Q14" i="49"/>
  <c r="R14" i="49"/>
  <c r="F12" i="49"/>
  <c r="F13" i="49"/>
  <c r="F14" i="49"/>
  <c r="F11" i="49"/>
  <c r="L223" i="46"/>
  <c r="M223" i="46"/>
  <c r="K223" i="46"/>
  <c r="H223" i="46"/>
  <c r="I223" i="46"/>
  <c r="G223" i="46"/>
  <c r="D223" i="46"/>
  <c r="E223" i="46"/>
  <c r="C223" i="46"/>
  <c r="M219" i="46"/>
  <c r="L219" i="46"/>
  <c r="K219" i="46"/>
  <c r="I219" i="46"/>
  <c r="H219" i="46"/>
  <c r="G219" i="46"/>
  <c r="E219" i="46"/>
  <c r="D219" i="46"/>
  <c r="C219" i="46"/>
  <c r="L218" i="46"/>
  <c r="L217" i="46" s="1"/>
  <c r="M218" i="46"/>
  <c r="H218" i="46"/>
  <c r="I218" i="46"/>
  <c r="D218" i="46"/>
  <c r="E218" i="46"/>
  <c r="K218" i="46"/>
  <c r="G218" i="46"/>
  <c r="C218" i="46"/>
  <c r="B219" i="46"/>
  <c r="B218" i="46"/>
  <c r="M215" i="46"/>
  <c r="L215" i="46"/>
  <c r="K215" i="46"/>
  <c r="I215" i="46"/>
  <c r="H215" i="46"/>
  <c r="G215" i="46"/>
  <c r="E215" i="46"/>
  <c r="D215" i="46"/>
  <c r="C215" i="46"/>
  <c r="M214" i="46"/>
  <c r="L214" i="46"/>
  <c r="K214" i="46"/>
  <c r="I214" i="46"/>
  <c r="H214" i="46"/>
  <c r="G214" i="46"/>
  <c r="E214" i="46"/>
  <c r="D214" i="46"/>
  <c r="C214" i="46"/>
  <c r="M213" i="46"/>
  <c r="L213" i="46"/>
  <c r="K213" i="46"/>
  <c r="I213" i="46"/>
  <c r="H213" i="46"/>
  <c r="G213" i="46"/>
  <c r="E213" i="46"/>
  <c r="D213" i="46"/>
  <c r="C213" i="46"/>
  <c r="M212" i="46"/>
  <c r="L212" i="46"/>
  <c r="K212" i="46"/>
  <c r="I212" i="46"/>
  <c r="H212" i="46"/>
  <c r="G212" i="46"/>
  <c r="E212" i="46"/>
  <c r="D212" i="46"/>
  <c r="C212" i="46"/>
  <c r="M211" i="46"/>
  <c r="L211" i="46"/>
  <c r="K211" i="46"/>
  <c r="I211" i="46"/>
  <c r="H211" i="46"/>
  <c r="G211" i="46"/>
  <c r="E211" i="46"/>
  <c r="D211" i="46"/>
  <c r="C211" i="46"/>
  <c r="M210" i="46"/>
  <c r="L210" i="46"/>
  <c r="K210" i="46"/>
  <c r="I210" i="46"/>
  <c r="H210" i="46"/>
  <c r="G210" i="46"/>
  <c r="E210" i="46"/>
  <c r="D210" i="46"/>
  <c r="C210" i="46"/>
  <c r="M209" i="46"/>
  <c r="L209" i="46"/>
  <c r="K209" i="46"/>
  <c r="I209" i="46"/>
  <c r="H209" i="46"/>
  <c r="G209" i="46"/>
  <c r="E209" i="46"/>
  <c r="D209" i="46"/>
  <c r="C209" i="46"/>
  <c r="M208" i="46"/>
  <c r="L208" i="46"/>
  <c r="K208" i="46"/>
  <c r="I208" i="46"/>
  <c r="H208" i="46"/>
  <c r="G208" i="46"/>
  <c r="E208" i="46"/>
  <c r="D208" i="46"/>
  <c r="C208" i="46"/>
  <c r="M207" i="46"/>
  <c r="L207" i="46"/>
  <c r="K207" i="46"/>
  <c r="I207" i="46"/>
  <c r="H207" i="46"/>
  <c r="G207" i="46"/>
  <c r="E207" i="46"/>
  <c r="D207" i="46"/>
  <c r="C207" i="46"/>
  <c r="M206" i="46"/>
  <c r="L206" i="46"/>
  <c r="K206" i="46"/>
  <c r="I206" i="46"/>
  <c r="H206" i="46"/>
  <c r="E206" i="46"/>
  <c r="D206" i="46"/>
  <c r="C206" i="46"/>
  <c r="M205" i="46"/>
  <c r="L205" i="46"/>
  <c r="K205" i="46"/>
  <c r="I205" i="46"/>
  <c r="H205" i="46"/>
  <c r="G205" i="46"/>
  <c r="E205" i="46"/>
  <c r="D205" i="46"/>
  <c r="C205" i="46"/>
  <c r="M204" i="46"/>
  <c r="L204" i="46"/>
  <c r="K204" i="46"/>
  <c r="I204" i="46"/>
  <c r="H204" i="46"/>
  <c r="G204" i="46"/>
  <c r="E204" i="46"/>
  <c r="D204" i="46"/>
  <c r="C204" i="46"/>
  <c r="M203" i="46"/>
  <c r="L203" i="46"/>
  <c r="K203" i="46"/>
  <c r="I203" i="46"/>
  <c r="H203" i="46"/>
  <c r="G203" i="46"/>
  <c r="E203" i="46"/>
  <c r="D203" i="46"/>
  <c r="C203" i="46"/>
  <c r="M202" i="46"/>
  <c r="L202" i="46"/>
  <c r="K202" i="46"/>
  <c r="I202" i="46"/>
  <c r="H202" i="46"/>
  <c r="G202" i="46"/>
  <c r="E202" i="46"/>
  <c r="D202" i="46"/>
  <c r="C202" i="46"/>
  <c r="L201" i="46"/>
  <c r="M201" i="46"/>
  <c r="H201" i="46"/>
  <c r="I201" i="46"/>
  <c r="D201" i="46"/>
  <c r="E201" i="46"/>
  <c r="K201" i="46"/>
  <c r="G201" i="46"/>
  <c r="C201" i="46"/>
  <c r="B202" i="46"/>
  <c r="B203" i="46"/>
  <c r="B204" i="46"/>
  <c r="B205" i="46"/>
  <c r="B206" i="46"/>
  <c r="B207" i="46"/>
  <c r="B208" i="46"/>
  <c r="B209" i="46"/>
  <c r="B210" i="46"/>
  <c r="B211" i="46"/>
  <c r="B212" i="46"/>
  <c r="B213" i="46"/>
  <c r="B214" i="46"/>
  <c r="B215" i="46"/>
  <c r="B201" i="46"/>
  <c r="M192" i="46"/>
  <c r="L192" i="46"/>
  <c r="K192" i="46"/>
  <c r="I192" i="46"/>
  <c r="H192" i="46"/>
  <c r="G192" i="46"/>
  <c r="M191" i="46"/>
  <c r="L191" i="46"/>
  <c r="K191" i="46"/>
  <c r="I191" i="46"/>
  <c r="H191" i="46"/>
  <c r="G191" i="46"/>
  <c r="M190" i="46"/>
  <c r="L190" i="46"/>
  <c r="K190" i="46"/>
  <c r="I190" i="46"/>
  <c r="H190" i="46"/>
  <c r="G190" i="46"/>
  <c r="M189" i="46"/>
  <c r="L189" i="46"/>
  <c r="K189" i="46"/>
  <c r="I189" i="46"/>
  <c r="H189" i="46"/>
  <c r="G189" i="46"/>
  <c r="M184" i="46"/>
  <c r="Q184" i="46" s="1"/>
  <c r="L184" i="46"/>
  <c r="P184" i="46" s="1"/>
  <c r="K184" i="46"/>
  <c r="O184" i="46" s="1"/>
  <c r="M183" i="46"/>
  <c r="Q183" i="46" s="1"/>
  <c r="L183" i="46"/>
  <c r="P183" i="46" s="1"/>
  <c r="K183" i="46"/>
  <c r="O183" i="46" s="1"/>
  <c r="M182" i="46"/>
  <c r="Q182" i="46" s="1"/>
  <c r="L182" i="46"/>
  <c r="P182" i="46" s="1"/>
  <c r="K182" i="46"/>
  <c r="O182" i="46" s="1"/>
  <c r="M181" i="46"/>
  <c r="Q181" i="46" s="1"/>
  <c r="L181" i="46"/>
  <c r="P181" i="46" s="1"/>
  <c r="K181" i="46"/>
  <c r="O181" i="46" s="1"/>
  <c r="R181" i="46" s="1"/>
  <c r="M180" i="46"/>
  <c r="Q180" i="46" s="1"/>
  <c r="L180" i="46"/>
  <c r="P180" i="46" s="1"/>
  <c r="K180" i="46"/>
  <c r="O180" i="46" s="1"/>
  <c r="M179" i="46"/>
  <c r="Q179" i="46" s="1"/>
  <c r="L179" i="46"/>
  <c r="P179" i="46" s="1"/>
  <c r="K179" i="46"/>
  <c r="O179" i="46" s="1"/>
  <c r="M178" i="46"/>
  <c r="Q178" i="46" s="1"/>
  <c r="L178" i="46"/>
  <c r="P178" i="46" s="1"/>
  <c r="K178" i="46"/>
  <c r="O178" i="46" s="1"/>
  <c r="M177" i="46"/>
  <c r="L177" i="46"/>
  <c r="K177" i="46"/>
  <c r="I177" i="46"/>
  <c r="H177" i="46"/>
  <c r="G177" i="46"/>
  <c r="E177" i="46"/>
  <c r="D177" i="46"/>
  <c r="C177" i="46"/>
  <c r="M175" i="46"/>
  <c r="L175" i="46"/>
  <c r="K175" i="46"/>
  <c r="I175" i="46"/>
  <c r="H175" i="46"/>
  <c r="G175" i="46"/>
  <c r="E175" i="46"/>
  <c r="D175" i="46"/>
  <c r="C175" i="46"/>
  <c r="M174" i="46"/>
  <c r="L174" i="46"/>
  <c r="K174" i="46"/>
  <c r="I174" i="46"/>
  <c r="H174" i="46"/>
  <c r="G174" i="46"/>
  <c r="E174" i="46"/>
  <c r="D174" i="46"/>
  <c r="C174" i="46"/>
  <c r="M173" i="46"/>
  <c r="L173" i="46"/>
  <c r="K173" i="46"/>
  <c r="I173" i="46"/>
  <c r="H173" i="46"/>
  <c r="G173" i="46"/>
  <c r="E173" i="46"/>
  <c r="D173" i="46"/>
  <c r="C173" i="46"/>
  <c r="M172" i="46"/>
  <c r="L172" i="46"/>
  <c r="K172" i="46"/>
  <c r="I172" i="46"/>
  <c r="H172" i="46"/>
  <c r="G172" i="46"/>
  <c r="E172" i="46"/>
  <c r="D172" i="46"/>
  <c r="C172" i="46"/>
  <c r="M171" i="46"/>
  <c r="L171" i="46"/>
  <c r="K171" i="46"/>
  <c r="I171" i="46"/>
  <c r="H171" i="46"/>
  <c r="G171" i="46"/>
  <c r="E171" i="46"/>
  <c r="D171" i="46"/>
  <c r="C171" i="46"/>
  <c r="M170" i="46"/>
  <c r="L170" i="46"/>
  <c r="K170" i="46"/>
  <c r="I170" i="46"/>
  <c r="H170" i="46"/>
  <c r="G170" i="46"/>
  <c r="E170" i="46"/>
  <c r="D170" i="46"/>
  <c r="C170" i="46"/>
  <c r="M169" i="46"/>
  <c r="L169" i="46"/>
  <c r="K169" i="46"/>
  <c r="I169" i="46"/>
  <c r="H169" i="46"/>
  <c r="G169" i="46"/>
  <c r="E169" i="46"/>
  <c r="D169" i="46"/>
  <c r="C169" i="46"/>
  <c r="M168" i="46"/>
  <c r="L168" i="46"/>
  <c r="K168" i="46"/>
  <c r="I168" i="46"/>
  <c r="H168" i="46"/>
  <c r="G168" i="46"/>
  <c r="E168" i="46"/>
  <c r="D168" i="46"/>
  <c r="C168" i="46"/>
  <c r="M167" i="46"/>
  <c r="L167" i="46"/>
  <c r="K167" i="46"/>
  <c r="I167" i="46"/>
  <c r="H167" i="46"/>
  <c r="G167" i="46"/>
  <c r="E167" i="46"/>
  <c r="D167" i="46"/>
  <c r="C167" i="46"/>
  <c r="M165" i="46"/>
  <c r="L165" i="46"/>
  <c r="K165" i="46"/>
  <c r="I165" i="46"/>
  <c r="H165" i="46"/>
  <c r="G165" i="46"/>
  <c r="E165" i="46"/>
  <c r="D165" i="46"/>
  <c r="C165" i="46"/>
  <c r="M164" i="46"/>
  <c r="L164" i="46"/>
  <c r="K164" i="46"/>
  <c r="I164" i="46"/>
  <c r="H164" i="46"/>
  <c r="G164" i="46"/>
  <c r="E164" i="46"/>
  <c r="D164" i="46"/>
  <c r="C164" i="46"/>
  <c r="M162" i="46"/>
  <c r="L162" i="46"/>
  <c r="K162" i="46"/>
  <c r="I162" i="46"/>
  <c r="H162" i="46"/>
  <c r="G162" i="46"/>
  <c r="E162" i="46"/>
  <c r="D162" i="46"/>
  <c r="C162" i="46"/>
  <c r="M161" i="46"/>
  <c r="L161" i="46"/>
  <c r="K161" i="46"/>
  <c r="I161" i="46"/>
  <c r="H161" i="46"/>
  <c r="G161" i="46"/>
  <c r="E161" i="46"/>
  <c r="D161" i="46"/>
  <c r="C161" i="46"/>
  <c r="M160" i="46"/>
  <c r="L160" i="46"/>
  <c r="K160" i="46"/>
  <c r="I160" i="46"/>
  <c r="H160" i="46"/>
  <c r="G160" i="46"/>
  <c r="E160" i="46"/>
  <c r="D160" i="46"/>
  <c r="C160" i="46"/>
  <c r="M159" i="46"/>
  <c r="L159" i="46"/>
  <c r="K159" i="46"/>
  <c r="I159" i="46"/>
  <c r="H159" i="46"/>
  <c r="G159" i="46"/>
  <c r="E159" i="46"/>
  <c r="D159" i="46"/>
  <c r="C159" i="46"/>
  <c r="L158" i="46"/>
  <c r="M158" i="46"/>
  <c r="H158" i="46"/>
  <c r="I158" i="46"/>
  <c r="D158" i="46"/>
  <c r="E158" i="46"/>
  <c r="K158" i="46"/>
  <c r="G158" i="46"/>
  <c r="C158" i="46"/>
  <c r="B190" i="46"/>
  <c r="B191" i="46"/>
  <c r="B192" i="46"/>
  <c r="B189" i="46"/>
  <c r="B177" i="46"/>
  <c r="B168" i="46"/>
  <c r="B169" i="46"/>
  <c r="B170" i="46"/>
  <c r="B171" i="46"/>
  <c r="B172" i="46"/>
  <c r="B173" i="46"/>
  <c r="B174" i="46"/>
  <c r="B175" i="46"/>
  <c r="B167" i="46"/>
  <c r="B165" i="46"/>
  <c r="B164" i="46"/>
  <c r="B159" i="46"/>
  <c r="B160" i="46"/>
  <c r="B161" i="46"/>
  <c r="B162" i="46"/>
  <c r="B158" i="46"/>
  <c r="M155" i="46"/>
  <c r="L155" i="46"/>
  <c r="K155" i="46"/>
  <c r="I155" i="46"/>
  <c r="H155" i="46"/>
  <c r="G155" i="46"/>
  <c r="E155" i="46"/>
  <c r="D155" i="46"/>
  <c r="C155" i="46"/>
  <c r="M153" i="46"/>
  <c r="L153" i="46"/>
  <c r="K153" i="46"/>
  <c r="I153" i="46"/>
  <c r="H153" i="46"/>
  <c r="G153" i="46"/>
  <c r="E153" i="46"/>
  <c r="D153" i="46"/>
  <c r="C153" i="46"/>
  <c r="M152" i="46"/>
  <c r="L152" i="46"/>
  <c r="K152" i="46"/>
  <c r="I152" i="46"/>
  <c r="H152" i="46"/>
  <c r="G152" i="46"/>
  <c r="E152" i="46"/>
  <c r="D152" i="46"/>
  <c r="C152" i="46"/>
  <c r="M151" i="46"/>
  <c r="L151" i="46"/>
  <c r="K151" i="46"/>
  <c r="I151" i="46"/>
  <c r="H151" i="46"/>
  <c r="G151" i="46"/>
  <c r="E151" i="46"/>
  <c r="D151" i="46"/>
  <c r="C151" i="46"/>
  <c r="M150" i="46"/>
  <c r="L150" i="46"/>
  <c r="K150" i="46"/>
  <c r="I150" i="46"/>
  <c r="H150" i="46"/>
  <c r="G150" i="46"/>
  <c r="E150" i="46"/>
  <c r="D150" i="46"/>
  <c r="C150" i="46"/>
  <c r="M149" i="46"/>
  <c r="L149" i="46"/>
  <c r="K149" i="46"/>
  <c r="I149" i="46"/>
  <c r="H149" i="46"/>
  <c r="G149" i="46"/>
  <c r="E149" i="46"/>
  <c r="D149" i="46"/>
  <c r="C149" i="46"/>
  <c r="M148" i="46"/>
  <c r="L148" i="46"/>
  <c r="K148" i="46"/>
  <c r="I148" i="46"/>
  <c r="H148" i="46"/>
  <c r="G148" i="46"/>
  <c r="E148" i="46"/>
  <c r="D148" i="46"/>
  <c r="C148" i="46"/>
  <c r="M147" i="46"/>
  <c r="L147" i="46"/>
  <c r="K147" i="46"/>
  <c r="I147" i="46"/>
  <c r="H147" i="46"/>
  <c r="G147" i="46"/>
  <c r="E147" i="46"/>
  <c r="D147" i="46"/>
  <c r="C147" i="46"/>
  <c r="M145" i="46"/>
  <c r="L145" i="46"/>
  <c r="K145" i="46"/>
  <c r="I145" i="46"/>
  <c r="H145" i="46"/>
  <c r="G145" i="46"/>
  <c r="E145" i="46"/>
  <c r="D145" i="46"/>
  <c r="C145" i="46"/>
  <c r="M144" i="46"/>
  <c r="L144" i="46"/>
  <c r="K144" i="46"/>
  <c r="I144" i="46"/>
  <c r="H144" i="46"/>
  <c r="G144" i="46"/>
  <c r="E144" i="46"/>
  <c r="D144" i="46"/>
  <c r="C144" i="46"/>
  <c r="L143" i="46"/>
  <c r="M143" i="46"/>
  <c r="H143" i="46"/>
  <c r="I143" i="46"/>
  <c r="D143" i="46"/>
  <c r="E143" i="46"/>
  <c r="K143" i="46"/>
  <c r="G143" i="46"/>
  <c r="C143" i="46"/>
  <c r="B155" i="46"/>
  <c r="B148" i="46"/>
  <c r="B149" i="46"/>
  <c r="B150" i="46"/>
  <c r="B151" i="46"/>
  <c r="B152" i="46"/>
  <c r="B153" i="46"/>
  <c r="B147" i="46"/>
  <c r="B144" i="46"/>
  <c r="B145" i="46"/>
  <c r="B143" i="46"/>
  <c r="L137" i="46"/>
  <c r="M137" i="46"/>
  <c r="L138" i="46"/>
  <c r="M138" i="46"/>
  <c r="L139" i="46"/>
  <c r="M139" i="46"/>
  <c r="L140" i="46"/>
  <c r="M140" i="46"/>
  <c r="H137" i="46"/>
  <c r="I137" i="46"/>
  <c r="H138" i="46"/>
  <c r="I138" i="46"/>
  <c r="H139" i="46"/>
  <c r="I139" i="46"/>
  <c r="H140" i="46"/>
  <c r="I140" i="46"/>
  <c r="D137" i="46"/>
  <c r="P137" i="46" s="1"/>
  <c r="E137" i="46"/>
  <c r="Q137" i="46" s="1"/>
  <c r="D138" i="46"/>
  <c r="P138" i="46" s="1"/>
  <c r="E138" i="46"/>
  <c r="Q138" i="46" s="1"/>
  <c r="D139" i="46"/>
  <c r="P139" i="46" s="1"/>
  <c r="E139" i="46"/>
  <c r="Q139" i="46" s="1"/>
  <c r="D140" i="46"/>
  <c r="P140" i="46" s="1"/>
  <c r="E140" i="46"/>
  <c r="C138" i="46"/>
  <c r="G138" i="46"/>
  <c r="K138" i="46"/>
  <c r="C139" i="46"/>
  <c r="G139" i="46"/>
  <c r="K139" i="46"/>
  <c r="C140" i="46"/>
  <c r="G140" i="46"/>
  <c r="K140" i="46"/>
  <c r="K137" i="46"/>
  <c r="G137" i="46"/>
  <c r="C137" i="46"/>
  <c r="B138" i="46"/>
  <c r="B139" i="46"/>
  <c r="B140" i="46"/>
  <c r="B137" i="46"/>
  <c r="L135" i="46"/>
  <c r="M135" i="46"/>
  <c r="H135" i="46"/>
  <c r="I135" i="46"/>
  <c r="D135" i="46"/>
  <c r="E135" i="46"/>
  <c r="K135" i="46"/>
  <c r="G135" i="46"/>
  <c r="C135" i="46"/>
  <c r="B135" i="46"/>
  <c r="C130" i="46"/>
  <c r="D130" i="46"/>
  <c r="E130" i="46"/>
  <c r="G130" i="46"/>
  <c r="H130" i="46"/>
  <c r="I130" i="46"/>
  <c r="K130" i="46"/>
  <c r="L130" i="46"/>
  <c r="M130" i="46"/>
  <c r="C131" i="46"/>
  <c r="D131" i="46"/>
  <c r="E131" i="46"/>
  <c r="G131" i="46"/>
  <c r="H131" i="46"/>
  <c r="I131" i="46"/>
  <c r="K131" i="46"/>
  <c r="L131" i="46"/>
  <c r="M131" i="46"/>
  <c r="C132" i="46"/>
  <c r="D132" i="46"/>
  <c r="E132" i="46"/>
  <c r="G132" i="46"/>
  <c r="H132" i="46"/>
  <c r="I132" i="46"/>
  <c r="K132" i="46"/>
  <c r="L132" i="46"/>
  <c r="M132" i="46"/>
  <c r="C133" i="46"/>
  <c r="D133" i="46"/>
  <c r="E133" i="46"/>
  <c r="G133" i="46"/>
  <c r="H133" i="46"/>
  <c r="I133" i="46"/>
  <c r="K133" i="46"/>
  <c r="L133" i="46"/>
  <c r="M133" i="46"/>
  <c r="L129" i="46"/>
  <c r="M129" i="46"/>
  <c r="L125" i="46"/>
  <c r="M125" i="46"/>
  <c r="L126" i="46"/>
  <c r="M126" i="46"/>
  <c r="L127" i="46"/>
  <c r="M127" i="46"/>
  <c r="H125" i="46"/>
  <c r="I125" i="46"/>
  <c r="H126" i="46"/>
  <c r="I126" i="46"/>
  <c r="H127" i="46"/>
  <c r="I127" i="46"/>
  <c r="H129" i="46"/>
  <c r="I129" i="46"/>
  <c r="D129" i="46"/>
  <c r="E129" i="46"/>
  <c r="K129" i="46"/>
  <c r="G129" i="46"/>
  <c r="C129" i="46"/>
  <c r="B130" i="46"/>
  <c r="B131" i="46"/>
  <c r="B132" i="46"/>
  <c r="B133" i="46"/>
  <c r="B129" i="46"/>
  <c r="C126" i="46"/>
  <c r="D126" i="46"/>
  <c r="E126" i="46"/>
  <c r="G126" i="46"/>
  <c r="K126" i="46"/>
  <c r="C127" i="46"/>
  <c r="D127" i="46"/>
  <c r="E127" i="46"/>
  <c r="G127" i="46"/>
  <c r="K127" i="46"/>
  <c r="D125" i="46"/>
  <c r="E125" i="46"/>
  <c r="K125" i="46"/>
  <c r="G125" i="46"/>
  <c r="C125" i="46"/>
  <c r="B126" i="46"/>
  <c r="B127" i="46"/>
  <c r="B125" i="46"/>
  <c r="C121" i="46"/>
  <c r="D121" i="46"/>
  <c r="E121" i="46"/>
  <c r="G121" i="46"/>
  <c r="H121" i="46"/>
  <c r="I121" i="46"/>
  <c r="K121" i="46"/>
  <c r="L121" i="46"/>
  <c r="M121" i="46"/>
  <c r="C122" i="46"/>
  <c r="D122" i="46"/>
  <c r="E122" i="46"/>
  <c r="G122" i="46"/>
  <c r="H122" i="46"/>
  <c r="I122" i="46"/>
  <c r="K122" i="46"/>
  <c r="L122" i="46"/>
  <c r="M122" i="46"/>
  <c r="B121" i="46"/>
  <c r="B122" i="46"/>
  <c r="B120" i="46"/>
  <c r="M120" i="46"/>
  <c r="L120" i="46"/>
  <c r="K120" i="46"/>
  <c r="I120" i="46"/>
  <c r="H120" i="46"/>
  <c r="G120" i="46"/>
  <c r="E120" i="46"/>
  <c r="D120" i="46"/>
  <c r="C120" i="46"/>
  <c r="B118" i="46"/>
  <c r="M118" i="46"/>
  <c r="L118" i="46"/>
  <c r="K118" i="46"/>
  <c r="I118" i="46"/>
  <c r="H118" i="46"/>
  <c r="G118" i="46"/>
  <c r="E118" i="46"/>
  <c r="D118" i="46"/>
  <c r="C118" i="46"/>
  <c r="C116" i="46"/>
  <c r="D116" i="46"/>
  <c r="E116" i="46"/>
  <c r="G116" i="46"/>
  <c r="H116" i="46"/>
  <c r="I116" i="46"/>
  <c r="K116" i="46"/>
  <c r="L116" i="46"/>
  <c r="M116" i="46"/>
  <c r="L115" i="46"/>
  <c r="M115" i="46"/>
  <c r="H115" i="46"/>
  <c r="I115" i="46"/>
  <c r="K115" i="46"/>
  <c r="G115" i="46"/>
  <c r="B116" i="46"/>
  <c r="B115" i="46"/>
  <c r="E115" i="46"/>
  <c r="D115" i="46"/>
  <c r="C115" i="46"/>
  <c r="C112" i="46"/>
  <c r="D112" i="46"/>
  <c r="E112" i="46"/>
  <c r="G112" i="46"/>
  <c r="H112" i="46"/>
  <c r="I112" i="46"/>
  <c r="K112" i="46"/>
  <c r="L112" i="46"/>
  <c r="M112" i="46"/>
  <c r="C113" i="46"/>
  <c r="D113" i="46"/>
  <c r="E113" i="46"/>
  <c r="G113" i="46"/>
  <c r="H113" i="46"/>
  <c r="I113" i="46"/>
  <c r="K113" i="46"/>
  <c r="L113" i="46"/>
  <c r="M113" i="46"/>
  <c r="B113" i="46"/>
  <c r="L111" i="46"/>
  <c r="M111" i="46"/>
  <c r="H111" i="46"/>
  <c r="I111" i="46"/>
  <c r="D111" i="46"/>
  <c r="E111" i="46"/>
  <c r="K111" i="46"/>
  <c r="G111" i="46"/>
  <c r="C111" i="46"/>
  <c r="B112" i="46"/>
  <c r="B111" i="46"/>
  <c r="C106" i="46"/>
  <c r="D106" i="46"/>
  <c r="E106" i="46"/>
  <c r="G106" i="46"/>
  <c r="H106" i="46"/>
  <c r="I106" i="46"/>
  <c r="K106" i="46"/>
  <c r="L106" i="46"/>
  <c r="M106" i="46"/>
  <c r="C107" i="46"/>
  <c r="D107" i="46"/>
  <c r="E107" i="46"/>
  <c r="G107" i="46"/>
  <c r="H107" i="46"/>
  <c r="I107" i="46"/>
  <c r="K107" i="46"/>
  <c r="L107" i="46"/>
  <c r="M107" i="46"/>
  <c r="C108" i="46"/>
  <c r="D108" i="46"/>
  <c r="E108" i="46"/>
  <c r="G108" i="46"/>
  <c r="H108" i="46"/>
  <c r="I108" i="46"/>
  <c r="K108" i="46"/>
  <c r="L108" i="46"/>
  <c r="M108" i="46"/>
  <c r="C109" i="46"/>
  <c r="D109" i="46"/>
  <c r="E109" i="46"/>
  <c r="G109" i="46"/>
  <c r="H109" i="46"/>
  <c r="I109" i="46"/>
  <c r="K109" i="46"/>
  <c r="L109" i="46"/>
  <c r="M109" i="46"/>
  <c r="C104" i="46"/>
  <c r="D104" i="46"/>
  <c r="E104" i="46"/>
  <c r="G104" i="46"/>
  <c r="H104" i="46"/>
  <c r="I104" i="46"/>
  <c r="K104" i="46"/>
  <c r="L104" i="46"/>
  <c r="M104" i="46"/>
  <c r="C105" i="46"/>
  <c r="D105" i="46"/>
  <c r="E105" i="46"/>
  <c r="G105" i="46"/>
  <c r="H105" i="46"/>
  <c r="I105" i="46"/>
  <c r="K105" i="46"/>
  <c r="L105" i="46"/>
  <c r="M105" i="46"/>
  <c r="L103" i="46"/>
  <c r="M103" i="46"/>
  <c r="H103" i="46"/>
  <c r="I103" i="46"/>
  <c r="D103" i="46"/>
  <c r="E103" i="46"/>
  <c r="K103" i="46"/>
  <c r="G103" i="46"/>
  <c r="C103" i="46"/>
  <c r="B109" i="46"/>
  <c r="B104" i="46"/>
  <c r="B105" i="46"/>
  <c r="B106" i="46"/>
  <c r="B107" i="46"/>
  <c r="B108" i="46"/>
  <c r="B103" i="46"/>
  <c r="C100" i="46"/>
  <c r="D100" i="46"/>
  <c r="E100" i="46"/>
  <c r="G100" i="46"/>
  <c r="H100" i="46"/>
  <c r="I100" i="46"/>
  <c r="K100" i="46"/>
  <c r="L100" i="46"/>
  <c r="M100" i="46"/>
  <c r="C101" i="46"/>
  <c r="D101" i="46"/>
  <c r="E101" i="46"/>
  <c r="G101" i="46"/>
  <c r="H101" i="46"/>
  <c r="I101" i="46"/>
  <c r="K101" i="46"/>
  <c r="L101" i="46"/>
  <c r="M101" i="46"/>
  <c r="L99" i="46"/>
  <c r="M99" i="46"/>
  <c r="H99" i="46"/>
  <c r="I99" i="46"/>
  <c r="D99" i="46"/>
  <c r="E99" i="46"/>
  <c r="K99" i="46"/>
  <c r="G99" i="46"/>
  <c r="C99" i="46"/>
  <c r="B100" i="46"/>
  <c r="B101" i="46"/>
  <c r="B99" i="46"/>
  <c r="C94" i="46"/>
  <c r="D94" i="46"/>
  <c r="E94" i="46"/>
  <c r="G94" i="46"/>
  <c r="H94" i="46"/>
  <c r="I94" i="46"/>
  <c r="K94" i="46"/>
  <c r="L94" i="46"/>
  <c r="M94" i="46"/>
  <c r="C95" i="46"/>
  <c r="D95" i="46"/>
  <c r="E95" i="46"/>
  <c r="G95" i="46"/>
  <c r="H95" i="46"/>
  <c r="I95" i="46"/>
  <c r="K95" i="46"/>
  <c r="L95" i="46"/>
  <c r="M95" i="46"/>
  <c r="C96" i="46"/>
  <c r="D96" i="46"/>
  <c r="E96" i="46"/>
  <c r="G96" i="46"/>
  <c r="H96" i="46"/>
  <c r="I96" i="46"/>
  <c r="K96" i="46"/>
  <c r="L96" i="46"/>
  <c r="M96" i="46"/>
  <c r="C97" i="46"/>
  <c r="D97" i="46"/>
  <c r="E97" i="46"/>
  <c r="G97" i="46"/>
  <c r="H97" i="46"/>
  <c r="I97" i="46"/>
  <c r="K97" i="46"/>
  <c r="L97" i="46"/>
  <c r="M97" i="46"/>
  <c r="L93" i="46"/>
  <c r="M93" i="46"/>
  <c r="H93" i="46"/>
  <c r="I93" i="46"/>
  <c r="D93" i="46"/>
  <c r="E93" i="46"/>
  <c r="K93" i="46"/>
  <c r="G93" i="46"/>
  <c r="C93" i="46"/>
  <c r="B94" i="46"/>
  <c r="B95" i="46"/>
  <c r="B96" i="46"/>
  <c r="B97" i="46"/>
  <c r="B93" i="46"/>
  <c r="C88" i="46"/>
  <c r="D88" i="46"/>
  <c r="E88" i="46"/>
  <c r="G88" i="46"/>
  <c r="H88" i="46"/>
  <c r="I88" i="46"/>
  <c r="K88" i="46"/>
  <c r="L88" i="46"/>
  <c r="M88" i="46"/>
  <c r="C89" i="46"/>
  <c r="D89" i="46"/>
  <c r="E89" i="46"/>
  <c r="G89" i="46"/>
  <c r="H89" i="46"/>
  <c r="I89" i="46"/>
  <c r="K89" i="46"/>
  <c r="L89" i="46"/>
  <c r="M89" i="46"/>
  <c r="C90" i="46"/>
  <c r="D90" i="46"/>
  <c r="E90" i="46"/>
  <c r="G90" i="46"/>
  <c r="H90" i="46"/>
  <c r="I90" i="46"/>
  <c r="K90" i="46"/>
  <c r="L90" i="46"/>
  <c r="M90" i="46"/>
  <c r="L87" i="46"/>
  <c r="M87" i="46"/>
  <c r="H87" i="46"/>
  <c r="I87" i="46"/>
  <c r="D87" i="46"/>
  <c r="E87" i="46"/>
  <c r="K87" i="46"/>
  <c r="G87" i="46"/>
  <c r="C87" i="46"/>
  <c r="B88" i="46"/>
  <c r="B89" i="46"/>
  <c r="B90" i="46"/>
  <c r="B87" i="46"/>
  <c r="K79" i="46"/>
  <c r="L79" i="46"/>
  <c r="M79" i="46"/>
  <c r="K80" i="46"/>
  <c r="L80" i="46"/>
  <c r="M80" i="46"/>
  <c r="K81" i="46"/>
  <c r="L81" i="46"/>
  <c r="M81" i="46"/>
  <c r="K82" i="46"/>
  <c r="L82" i="46"/>
  <c r="M82" i="46"/>
  <c r="K83" i="46"/>
  <c r="L83" i="46"/>
  <c r="M83" i="46"/>
  <c r="K84" i="46"/>
  <c r="L84" i="46"/>
  <c r="M84" i="46"/>
  <c r="K85" i="46"/>
  <c r="L85" i="46"/>
  <c r="M85" i="46"/>
  <c r="L78" i="46"/>
  <c r="M78" i="46"/>
  <c r="G79" i="46"/>
  <c r="H79" i="46"/>
  <c r="I79" i="46"/>
  <c r="G80" i="46"/>
  <c r="H80" i="46"/>
  <c r="I80" i="46"/>
  <c r="G81" i="46"/>
  <c r="H81" i="46"/>
  <c r="I81" i="46"/>
  <c r="G82" i="46"/>
  <c r="H82" i="46"/>
  <c r="I82" i="46"/>
  <c r="G83" i="46"/>
  <c r="H83" i="46"/>
  <c r="I83" i="46"/>
  <c r="G84" i="46"/>
  <c r="H84" i="46"/>
  <c r="I84" i="46"/>
  <c r="G85" i="46"/>
  <c r="H85" i="46"/>
  <c r="I85" i="46"/>
  <c r="H78" i="46"/>
  <c r="I78" i="46"/>
  <c r="C79" i="46"/>
  <c r="D79" i="46"/>
  <c r="E79" i="46"/>
  <c r="C80" i="46"/>
  <c r="D80" i="46"/>
  <c r="E80" i="46"/>
  <c r="C81" i="46"/>
  <c r="D81" i="46"/>
  <c r="E81" i="46"/>
  <c r="C82" i="46"/>
  <c r="D82" i="46"/>
  <c r="E82" i="46"/>
  <c r="C83" i="46"/>
  <c r="D83" i="46"/>
  <c r="E83" i="46"/>
  <c r="C84" i="46"/>
  <c r="D84" i="46"/>
  <c r="E84" i="46"/>
  <c r="C85" i="46"/>
  <c r="D85" i="46"/>
  <c r="E85" i="46"/>
  <c r="D78" i="46"/>
  <c r="E78" i="46"/>
  <c r="K78" i="46"/>
  <c r="G78" i="46"/>
  <c r="C78" i="46"/>
  <c r="B79" i="46"/>
  <c r="B80" i="46"/>
  <c r="B81" i="46"/>
  <c r="B82" i="46"/>
  <c r="B83" i="46"/>
  <c r="B84" i="46"/>
  <c r="B85" i="46"/>
  <c r="B78" i="46"/>
  <c r="K73" i="46"/>
  <c r="L73" i="46"/>
  <c r="M73" i="46"/>
  <c r="K74" i="46"/>
  <c r="L74" i="46"/>
  <c r="M74" i="46"/>
  <c r="K75" i="46"/>
  <c r="L75" i="46"/>
  <c r="M75" i="46"/>
  <c r="K76" i="46"/>
  <c r="L76" i="46"/>
  <c r="M76" i="46"/>
  <c r="L72" i="46"/>
  <c r="M72" i="46"/>
  <c r="G73" i="46"/>
  <c r="H73" i="46"/>
  <c r="I73" i="46"/>
  <c r="G74" i="46"/>
  <c r="H74" i="46"/>
  <c r="I74" i="46"/>
  <c r="G75" i="46"/>
  <c r="H75" i="46"/>
  <c r="I75" i="46"/>
  <c r="G76" i="46"/>
  <c r="H76" i="46"/>
  <c r="I76" i="46"/>
  <c r="H72" i="46"/>
  <c r="I72" i="46"/>
  <c r="C73" i="46"/>
  <c r="D73" i="46"/>
  <c r="E73" i="46"/>
  <c r="C74" i="46"/>
  <c r="D74" i="46"/>
  <c r="E74" i="46"/>
  <c r="C75" i="46"/>
  <c r="D75" i="46"/>
  <c r="E75" i="46"/>
  <c r="C76" i="46"/>
  <c r="D76" i="46"/>
  <c r="E76" i="46"/>
  <c r="D72" i="46"/>
  <c r="E72" i="46"/>
  <c r="K72" i="46"/>
  <c r="G72" i="46"/>
  <c r="C72" i="46"/>
  <c r="B73" i="46"/>
  <c r="B74" i="46"/>
  <c r="B75" i="46"/>
  <c r="B76" i="46"/>
  <c r="B72" i="46"/>
  <c r="K56" i="46"/>
  <c r="L56" i="46"/>
  <c r="M56" i="46"/>
  <c r="K57" i="46"/>
  <c r="L57" i="46"/>
  <c r="M57" i="46"/>
  <c r="K58" i="46"/>
  <c r="L58" i="46"/>
  <c r="M58" i="46"/>
  <c r="K59" i="46"/>
  <c r="L59" i="46"/>
  <c r="M59" i="46"/>
  <c r="K60" i="46"/>
  <c r="L60" i="46"/>
  <c r="M60" i="46"/>
  <c r="K61" i="46"/>
  <c r="L61" i="46"/>
  <c r="M61" i="46"/>
  <c r="K62" i="46"/>
  <c r="L62" i="46"/>
  <c r="M62" i="46"/>
  <c r="K63" i="46"/>
  <c r="L63" i="46"/>
  <c r="M63" i="46"/>
  <c r="K64" i="46"/>
  <c r="L64" i="46"/>
  <c r="M64" i="46"/>
  <c r="K65" i="46"/>
  <c r="L65" i="46"/>
  <c r="M65" i="46"/>
  <c r="K66" i="46"/>
  <c r="L66" i="46"/>
  <c r="M66" i="46"/>
  <c r="K67" i="46"/>
  <c r="L67" i="46"/>
  <c r="M67" i="46"/>
  <c r="K68" i="46"/>
  <c r="L68" i="46"/>
  <c r="M68" i="46"/>
  <c r="K69" i="46"/>
  <c r="L69" i="46"/>
  <c r="M69" i="46"/>
  <c r="K70" i="46"/>
  <c r="L70" i="46"/>
  <c r="M70" i="46"/>
  <c r="L55" i="46"/>
  <c r="M55" i="46"/>
  <c r="G56" i="46"/>
  <c r="H56" i="46"/>
  <c r="I56" i="46"/>
  <c r="G57" i="46"/>
  <c r="H57" i="46"/>
  <c r="I57" i="46"/>
  <c r="G58" i="46"/>
  <c r="H58" i="46"/>
  <c r="I58" i="46"/>
  <c r="G59" i="46"/>
  <c r="H59" i="46"/>
  <c r="I59" i="46"/>
  <c r="G60" i="46"/>
  <c r="H60" i="46"/>
  <c r="I60" i="46"/>
  <c r="G61" i="46"/>
  <c r="H61" i="46"/>
  <c r="I61" i="46"/>
  <c r="G62" i="46"/>
  <c r="H62" i="46"/>
  <c r="I62" i="46"/>
  <c r="G63" i="46"/>
  <c r="H63" i="46"/>
  <c r="I63" i="46"/>
  <c r="G64" i="46"/>
  <c r="H64" i="46"/>
  <c r="I64" i="46"/>
  <c r="G65" i="46"/>
  <c r="H65" i="46"/>
  <c r="I65" i="46"/>
  <c r="G66" i="46"/>
  <c r="H66" i="46"/>
  <c r="I66" i="46"/>
  <c r="G67" i="46"/>
  <c r="H67" i="46"/>
  <c r="I67" i="46"/>
  <c r="G68" i="46"/>
  <c r="H68" i="46"/>
  <c r="I68" i="46"/>
  <c r="G69" i="46"/>
  <c r="H69" i="46"/>
  <c r="I69" i="46"/>
  <c r="G70" i="46"/>
  <c r="H70" i="46"/>
  <c r="I70" i="46"/>
  <c r="H55" i="46"/>
  <c r="I55" i="46"/>
  <c r="C56" i="46"/>
  <c r="D56" i="46"/>
  <c r="E56" i="46"/>
  <c r="C57" i="46"/>
  <c r="D57" i="46"/>
  <c r="E57" i="46"/>
  <c r="C58" i="46"/>
  <c r="D58" i="46"/>
  <c r="E58" i="46"/>
  <c r="C59" i="46"/>
  <c r="D59" i="46"/>
  <c r="E59" i="46"/>
  <c r="C60" i="46"/>
  <c r="D60" i="46"/>
  <c r="E60" i="46"/>
  <c r="C61" i="46"/>
  <c r="D61" i="46"/>
  <c r="E61" i="46"/>
  <c r="C62" i="46"/>
  <c r="D62" i="46"/>
  <c r="E62" i="46"/>
  <c r="C63" i="46"/>
  <c r="D63" i="46"/>
  <c r="E63" i="46"/>
  <c r="C64" i="46"/>
  <c r="D64" i="46"/>
  <c r="E64" i="46"/>
  <c r="C65" i="46"/>
  <c r="D65" i="46"/>
  <c r="E65" i="46"/>
  <c r="C66" i="46"/>
  <c r="D66" i="46"/>
  <c r="E66" i="46"/>
  <c r="C67" i="46"/>
  <c r="D67" i="46"/>
  <c r="E67" i="46"/>
  <c r="C68" i="46"/>
  <c r="D68" i="46"/>
  <c r="E68" i="46"/>
  <c r="C69" i="46"/>
  <c r="D69" i="46"/>
  <c r="E69" i="46"/>
  <c r="C70" i="46"/>
  <c r="D70" i="46"/>
  <c r="E70" i="46"/>
  <c r="D55" i="46"/>
  <c r="E55" i="46"/>
  <c r="K55" i="46"/>
  <c r="G55" i="46"/>
  <c r="C55" i="46"/>
  <c r="B56" i="46"/>
  <c r="B57" i="46"/>
  <c r="B58" i="46"/>
  <c r="B59" i="46"/>
  <c r="B60" i="46"/>
  <c r="B61" i="46"/>
  <c r="B62" i="46"/>
  <c r="B63" i="46"/>
  <c r="B64" i="46"/>
  <c r="B65" i="46"/>
  <c r="B66" i="46"/>
  <c r="B67" i="46"/>
  <c r="B68" i="46"/>
  <c r="B69" i="46"/>
  <c r="B70" i="46"/>
  <c r="B55" i="46"/>
  <c r="K50" i="46"/>
  <c r="L50" i="46"/>
  <c r="M50" i="46"/>
  <c r="K51" i="46"/>
  <c r="L51" i="46"/>
  <c r="M51" i="46"/>
  <c r="K52" i="46"/>
  <c r="L52" i="46"/>
  <c r="M52" i="46"/>
  <c r="K53" i="46"/>
  <c r="L53" i="46"/>
  <c r="M53" i="46"/>
  <c r="L49" i="46"/>
  <c r="M49" i="46"/>
  <c r="G50" i="46"/>
  <c r="H50" i="46"/>
  <c r="I50" i="46"/>
  <c r="G51" i="46"/>
  <c r="H51" i="46"/>
  <c r="I51" i="46"/>
  <c r="G52" i="46"/>
  <c r="H52" i="46"/>
  <c r="I52" i="46"/>
  <c r="G53" i="46"/>
  <c r="H53" i="46"/>
  <c r="I53" i="46"/>
  <c r="H49" i="46"/>
  <c r="I49" i="46"/>
  <c r="K49" i="46"/>
  <c r="G49" i="46"/>
  <c r="C49" i="46"/>
  <c r="B50" i="46"/>
  <c r="B51" i="46"/>
  <c r="B52" i="46"/>
  <c r="B53" i="46"/>
  <c r="B49" i="46"/>
  <c r="L46" i="46"/>
  <c r="M46" i="46"/>
  <c r="H46" i="46"/>
  <c r="I46" i="46"/>
  <c r="K46" i="46"/>
  <c r="G46" i="46"/>
  <c r="D46" i="46"/>
  <c r="E46" i="46"/>
  <c r="B46" i="46"/>
  <c r="K26" i="46"/>
  <c r="L26" i="46"/>
  <c r="M26" i="46"/>
  <c r="K30" i="46"/>
  <c r="L30" i="46"/>
  <c r="M30" i="46"/>
  <c r="K31" i="46"/>
  <c r="L31" i="46"/>
  <c r="M31" i="46"/>
  <c r="L25" i="46"/>
  <c r="M25" i="46"/>
  <c r="K25" i="46"/>
  <c r="G26" i="46"/>
  <c r="H26" i="46"/>
  <c r="I26" i="46"/>
  <c r="G30" i="46"/>
  <c r="H30" i="46"/>
  <c r="I30" i="46"/>
  <c r="G31" i="46"/>
  <c r="H31" i="46"/>
  <c r="I31" i="46"/>
  <c r="H25" i="46"/>
  <c r="I25" i="46"/>
  <c r="G25" i="46"/>
  <c r="C26" i="46"/>
  <c r="D26" i="46"/>
  <c r="E26" i="46"/>
  <c r="C30" i="46"/>
  <c r="D30" i="46"/>
  <c r="E30" i="46"/>
  <c r="C31" i="46"/>
  <c r="D31" i="46"/>
  <c r="E31" i="46"/>
  <c r="D25" i="46"/>
  <c r="E25" i="46"/>
  <c r="C25" i="46"/>
  <c r="B26" i="46"/>
  <c r="B30" i="46"/>
  <c r="B31" i="46"/>
  <c r="B25" i="46"/>
  <c r="K10" i="46"/>
  <c r="L10" i="46"/>
  <c r="M10" i="46"/>
  <c r="K11" i="46"/>
  <c r="L11" i="46"/>
  <c r="M11" i="46"/>
  <c r="K12" i="46"/>
  <c r="L12" i="46"/>
  <c r="M12" i="46"/>
  <c r="K13" i="46"/>
  <c r="L13" i="46"/>
  <c r="M13" i="46"/>
  <c r="K14" i="46"/>
  <c r="L14" i="46"/>
  <c r="M14" i="46"/>
  <c r="L9" i="46"/>
  <c r="M9" i="46"/>
  <c r="K9" i="46"/>
  <c r="G10" i="46"/>
  <c r="H10" i="46"/>
  <c r="I10" i="46"/>
  <c r="G11" i="46"/>
  <c r="H11" i="46"/>
  <c r="I11" i="46"/>
  <c r="G12" i="46"/>
  <c r="H12" i="46"/>
  <c r="I12" i="46"/>
  <c r="G13" i="46"/>
  <c r="H13" i="46"/>
  <c r="I13" i="46"/>
  <c r="G14" i="46"/>
  <c r="H14" i="46"/>
  <c r="I14" i="46"/>
  <c r="H9" i="46"/>
  <c r="I9" i="46"/>
  <c r="G9" i="46"/>
  <c r="D10" i="46"/>
  <c r="E10" i="46"/>
  <c r="C11" i="46"/>
  <c r="E11" i="46"/>
  <c r="D12" i="46"/>
  <c r="E12" i="46"/>
  <c r="D13" i="46"/>
  <c r="E13" i="46"/>
  <c r="D14" i="46"/>
  <c r="E14" i="46"/>
  <c r="D9" i="46"/>
  <c r="E9" i="46"/>
  <c r="B10" i="46"/>
  <c r="B11" i="46"/>
  <c r="B12" i="46"/>
  <c r="B13" i="46"/>
  <c r="B14" i="46"/>
  <c r="B9" i="46"/>
  <c r="P16" i="28"/>
  <c r="Q16" i="28"/>
  <c r="R16" i="28"/>
  <c r="P17" i="28"/>
  <c r="Q17" i="28"/>
  <c r="R17" i="28"/>
  <c r="F16" i="28"/>
  <c r="F17" i="28"/>
  <c r="F201" i="47"/>
  <c r="E138" i="47"/>
  <c r="F138" i="47" s="1"/>
  <c r="F214" i="47"/>
  <c r="F213" i="47"/>
  <c r="F212" i="47"/>
  <c r="F211" i="47"/>
  <c r="F209" i="47"/>
  <c r="F208" i="47"/>
  <c r="F207" i="47"/>
  <c r="F206" i="47"/>
  <c r="F205" i="47"/>
  <c r="F200" i="47"/>
  <c r="F199" i="47"/>
  <c r="F197" i="47"/>
  <c r="F196" i="47"/>
  <c r="F195" i="47"/>
  <c r="F194" i="47"/>
  <c r="F193" i="47"/>
  <c r="F192" i="47"/>
  <c r="F191" i="47"/>
  <c r="F190" i="47"/>
  <c r="F189" i="47"/>
  <c r="F187" i="47"/>
  <c r="F186" i="47"/>
  <c r="F184" i="47"/>
  <c r="F183" i="47"/>
  <c r="F182" i="47"/>
  <c r="F181" i="47"/>
  <c r="F180" i="47"/>
  <c r="F165" i="47"/>
  <c r="F163" i="47"/>
  <c r="F162" i="47"/>
  <c r="F161" i="47"/>
  <c r="F160" i="47"/>
  <c r="F159" i="47"/>
  <c r="F158" i="47"/>
  <c r="F157" i="47"/>
  <c r="F155" i="47"/>
  <c r="F154" i="47"/>
  <c r="F153" i="47"/>
  <c r="F139" i="47"/>
  <c r="F137" i="47"/>
  <c r="F136" i="47"/>
  <c r="F134" i="47"/>
  <c r="F132" i="47"/>
  <c r="F131" i="47"/>
  <c r="F130" i="47"/>
  <c r="F129" i="47"/>
  <c r="F128" i="47"/>
  <c r="F126" i="47"/>
  <c r="F125" i="47"/>
  <c r="F124" i="47"/>
  <c r="F110" i="47"/>
  <c r="F109" i="47"/>
  <c r="F108" i="47"/>
  <c r="F106" i="47"/>
  <c r="F104" i="47"/>
  <c r="F103" i="47"/>
  <c r="F101" i="47"/>
  <c r="F100" i="47"/>
  <c r="F99" i="47"/>
  <c r="F97" i="47"/>
  <c r="F96" i="47"/>
  <c r="F95" i="47"/>
  <c r="F94" i="47"/>
  <c r="F93" i="47"/>
  <c r="F92" i="47"/>
  <c r="F91" i="47"/>
  <c r="F89" i="47"/>
  <c r="F88" i="47"/>
  <c r="F87" i="47"/>
  <c r="F85" i="47"/>
  <c r="F84" i="47"/>
  <c r="F83" i="47"/>
  <c r="F82" i="47"/>
  <c r="F81" i="47"/>
  <c r="F64" i="47"/>
  <c r="F63" i="47"/>
  <c r="F62" i="47"/>
  <c r="F61" i="47"/>
  <c r="F59" i="47"/>
  <c r="F58" i="47"/>
  <c r="F57" i="47"/>
  <c r="F56" i="47"/>
  <c r="F55" i="47"/>
  <c r="F54" i="47"/>
  <c r="F53" i="47"/>
  <c r="F52" i="47"/>
  <c r="F50" i="47"/>
  <c r="F49" i="47"/>
  <c r="F48" i="47"/>
  <c r="F47" i="47"/>
  <c r="F46" i="47"/>
  <c r="F44" i="47"/>
  <c r="F43" i="47"/>
  <c r="F42" i="47"/>
  <c r="F41" i="47"/>
  <c r="F40" i="47"/>
  <c r="F39" i="47"/>
  <c r="F38" i="47"/>
  <c r="F37" i="47"/>
  <c r="F36" i="47"/>
  <c r="F35" i="47"/>
  <c r="F34" i="47"/>
  <c r="F33" i="47"/>
  <c r="F32" i="47"/>
  <c r="F31" i="47"/>
  <c r="F30" i="47"/>
  <c r="F29" i="47"/>
  <c r="F27" i="47"/>
  <c r="F26" i="47"/>
  <c r="F25" i="47"/>
  <c r="F24" i="47"/>
  <c r="F23" i="47"/>
  <c r="F20" i="47"/>
  <c r="G20" i="47" s="1"/>
  <c r="C46" i="46" s="1"/>
  <c r="R179" i="46" l="1"/>
  <c r="R183" i="46"/>
  <c r="R180" i="46"/>
  <c r="R184" i="46"/>
  <c r="R178" i="46"/>
  <c r="R182" i="46"/>
  <c r="Z529" i="48"/>
  <c r="Y531" i="48"/>
  <c r="J16" i="46"/>
  <c r="J18" i="46"/>
  <c r="Q47" i="46"/>
  <c r="P21" i="47"/>
  <c r="C47" i="46"/>
  <c r="F47" i="46" s="1"/>
  <c r="P47" i="46"/>
  <c r="J47" i="46"/>
  <c r="Q15" i="46"/>
  <c r="N47" i="46"/>
  <c r="C16" i="46"/>
  <c r="F16" i="46" s="1"/>
  <c r="P15" i="45"/>
  <c r="P14" i="45"/>
  <c r="C15" i="46"/>
  <c r="F15" i="46" s="1"/>
  <c r="P18" i="45"/>
  <c r="C19" i="46"/>
  <c r="F19" i="46" s="1"/>
  <c r="P16" i="45"/>
  <c r="C17" i="46"/>
  <c r="F17" i="46" s="1"/>
  <c r="N18" i="46"/>
  <c r="J15" i="46"/>
  <c r="Q16" i="46"/>
  <c r="J17" i="46"/>
  <c r="Q18" i="46"/>
  <c r="J19" i="46"/>
  <c r="C18" i="46"/>
  <c r="F18" i="46" s="1"/>
  <c r="Q19" i="46"/>
  <c r="N16" i="46"/>
  <c r="N15" i="46"/>
  <c r="N17" i="46"/>
  <c r="N19" i="46"/>
  <c r="P15" i="46"/>
  <c r="P16" i="46"/>
  <c r="P17" i="46"/>
  <c r="P18" i="46"/>
  <c r="P19" i="46"/>
  <c r="Q17" i="46"/>
  <c r="J37" i="46"/>
  <c r="G33" i="46"/>
  <c r="Q37" i="46"/>
  <c r="N37" i="46"/>
  <c r="D217" i="46"/>
  <c r="E33" i="46"/>
  <c r="M33" i="46"/>
  <c r="K33" i="46"/>
  <c r="H33" i="46"/>
  <c r="P35" i="46"/>
  <c r="P37" i="46"/>
  <c r="O36" i="46"/>
  <c r="C33" i="46"/>
  <c r="D33" i="46"/>
  <c r="L33" i="46"/>
  <c r="I33" i="46"/>
  <c r="J35" i="46"/>
  <c r="Q36" i="46"/>
  <c r="M217" i="46"/>
  <c r="F34" i="46"/>
  <c r="Q34" i="46"/>
  <c r="Q35" i="46"/>
  <c r="N35" i="46"/>
  <c r="P36" i="46"/>
  <c r="O37" i="46"/>
  <c r="J34" i="46"/>
  <c r="P34" i="46"/>
  <c r="O34" i="46"/>
  <c r="O35" i="46"/>
  <c r="J36" i="46"/>
  <c r="N34" i="46"/>
  <c r="N36" i="46"/>
  <c r="F35" i="46"/>
  <c r="F36" i="46"/>
  <c r="F37" i="46"/>
  <c r="L193" i="46"/>
  <c r="G200" i="46"/>
  <c r="I200" i="46"/>
  <c r="C217" i="46"/>
  <c r="E200" i="46"/>
  <c r="M200" i="46"/>
  <c r="K217" i="46"/>
  <c r="H193" i="46"/>
  <c r="M193" i="46"/>
  <c r="D200" i="46"/>
  <c r="L200" i="46"/>
  <c r="J202" i="46"/>
  <c r="Q203" i="46"/>
  <c r="N203" i="46"/>
  <c r="P204" i="46"/>
  <c r="O205" i="46"/>
  <c r="J206" i="46"/>
  <c r="Q207" i="46"/>
  <c r="N207" i="46"/>
  <c r="P208" i="46"/>
  <c r="O209" i="46"/>
  <c r="J210" i="46"/>
  <c r="Q211" i="46"/>
  <c r="N211" i="46"/>
  <c r="P212" i="46"/>
  <c r="O213" i="46"/>
  <c r="J214" i="46"/>
  <c r="Q215" i="46"/>
  <c r="N215" i="46"/>
  <c r="F218" i="46"/>
  <c r="Q219" i="46"/>
  <c r="N219" i="46"/>
  <c r="I193" i="46"/>
  <c r="K193" i="46"/>
  <c r="G193" i="46"/>
  <c r="K200" i="46"/>
  <c r="H200" i="46"/>
  <c r="G217" i="46"/>
  <c r="I217" i="46"/>
  <c r="H217" i="46"/>
  <c r="F158" i="46"/>
  <c r="J203" i="46"/>
  <c r="N204" i="46"/>
  <c r="J207" i="46"/>
  <c r="N208" i="46"/>
  <c r="J211" i="46"/>
  <c r="N212" i="46"/>
  <c r="J215" i="46"/>
  <c r="O218" i="46"/>
  <c r="J219" i="46"/>
  <c r="P159" i="46"/>
  <c r="O160" i="46"/>
  <c r="J161" i="46"/>
  <c r="Q162" i="46"/>
  <c r="N162" i="46"/>
  <c r="P164" i="46"/>
  <c r="O165" i="46"/>
  <c r="J167" i="46"/>
  <c r="Q168" i="46"/>
  <c r="N168" i="46"/>
  <c r="P169" i="46"/>
  <c r="O170" i="46"/>
  <c r="J171" i="46"/>
  <c r="Q172" i="46"/>
  <c r="P219" i="46"/>
  <c r="J223" i="46"/>
  <c r="E217" i="46"/>
  <c r="O202" i="46"/>
  <c r="Q204" i="46"/>
  <c r="P205" i="46"/>
  <c r="O206" i="46"/>
  <c r="Q208" i="46"/>
  <c r="P209" i="46"/>
  <c r="O210" i="46"/>
  <c r="Q212" i="46"/>
  <c r="P213" i="46"/>
  <c r="O214" i="46"/>
  <c r="N218" i="46"/>
  <c r="Q202" i="46"/>
  <c r="N202" i="46"/>
  <c r="P203" i="46"/>
  <c r="O204" i="46"/>
  <c r="J205" i="46"/>
  <c r="Q206" i="46"/>
  <c r="N206" i="46"/>
  <c r="P207" i="46"/>
  <c r="O208" i="46"/>
  <c r="J209" i="46"/>
  <c r="Q210" i="46"/>
  <c r="N210" i="46"/>
  <c r="P211" i="46"/>
  <c r="O212" i="46"/>
  <c r="J213" i="46"/>
  <c r="Q214" i="46"/>
  <c r="N214" i="46"/>
  <c r="P215" i="46"/>
  <c r="J218" i="46"/>
  <c r="O219" i="46"/>
  <c r="P202" i="46"/>
  <c r="O203" i="46"/>
  <c r="J204" i="46"/>
  <c r="Q205" i="46"/>
  <c r="N205" i="46"/>
  <c r="P206" i="46"/>
  <c r="O207" i="46"/>
  <c r="J208" i="46"/>
  <c r="Q209" i="46"/>
  <c r="N209" i="46"/>
  <c r="P210" i="46"/>
  <c r="O211" i="46"/>
  <c r="J212" i="46"/>
  <c r="Q213" i="46"/>
  <c r="N213" i="46"/>
  <c r="P214" i="46"/>
  <c r="O215" i="46"/>
  <c r="F219" i="46"/>
  <c r="P218" i="46"/>
  <c r="Q218" i="46"/>
  <c r="F202" i="46"/>
  <c r="F203" i="46"/>
  <c r="F204" i="46"/>
  <c r="F205" i="46"/>
  <c r="F206" i="46"/>
  <c r="F207" i="46"/>
  <c r="F208" i="46"/>
  <c r="F209" i="46"/>
  <c r="F210" i="46"/>
  <c r="F211" i="46"/>
  <c r="F212" i="46"/>
  <c r="F213" i="46"/>
  <c r="F214" i="46"/>
  <c r="F215" i="46"/>
  <c r="N158" i="46"/>
  <c r="N172" i="46"/>
  <c r="P173" i="46"/>
  <c r="O174" i="46"/>
  <c r="J175" i="46"/>
  <c r="Q177" i="46"/>
  <c r="N177" i="46"/>
  <c r="N181" i="46"/>
  <c r="Q189" i="46"/>
  <c r="N189" i="46"/>
  <c r="P190" i="46"/>
  <c r="O191" i="46"/>
  <c r="J192" i="46"/>
  <c r="J158" i="46"/>
  <c r="Q73" i="46"/>
  <c r="P93" i="46"/>
  <c r="Q159" i="46"/>
  <c r="N159" i="46"/>
  <c r="P160" i="46"/>
  <c r="O161" i="46"/>
  <c r="J162" i="46"/>
  <c r="Q164" i="46"/>
  <c r="N164" i="46"/>
  <c r="P165" i="46"/>
  <c r="O167" i="46"/>
  <c r="J168" i="46"/>
  <c r="Q169" i="46"/>
  <c r="N169" i="46"/>
  <c r="P170" i="46"/>
  <c r="O171" i="46"/>
  <c r="J172" i="46"/>
  <c r="Q173" i="46"/>
  <c r="N173" i="46"/>
  <c r="P174" i="46"/>
  <c r="O175" i="46"/>
  <c r="J177" i="46"/>
  <c r="N178" i="46"/>
  <c r="N182" i="46"/>
  <c r="J189" i="46"/>
  <c r="Q190" i="46"/>
  <c r="N190" i="46"/>
  <c r="P191" i="46"/>
  <c r="O192" i="46"/>
  <c r="O159" i="46"/>
  <c r="J160" i="46"/>
  <c r="Q161" i="46"/>
  <c r="N161" i="46"/>
  <c r="P162" i="46"/>
  <c r="O164" i="46"/>
  <c r="J165" i="46"/>
  <c r="Q167" i="46"/>
  <c r="N167" i="46"/>
  <c r="P168" i="46"/>
  <c r="O169" i="46"/>
  <c r="J170" i="46"/>
  <c r="Q171" i="46"/>
  <c r="N171" i="46"/>
  <c r="P172" i="46"/>
  <c r="O173" i="46"/>
  <c r="J174" i="46"/>
  <c r="Q175" i="46"/>
  <c r="N175" i="46"/>
  <c r="P177" i="46"/>
  <c r="N180" i="46"/>
  <c r="N184" i="46"/>
  <c r="P189" i="46"/>
  <c r="O190" i="46"/>
  <c r="J191" i="46"/>
  <c r="Q192" i="46"/>
  <c r="N192" i="46"/>
  <c r="O75" i="46"/>
  <c r="J159" i="46"/>
  <c r="Q160" i="46"/>
  <c r="N160" i="46"/>
  <c r="P161" i="46"/>
  <c r="O162" i="46"/>
  <c r="J164" i="46"/>
  <c r="Q165" i="46"/>
  <c r="N165" i="46"/>
  <c r="P167" i="46"/>
  <c r="O168" i="46"/>
  <c r="J169" i="46"/>
  <c r="Q170" i="46"/>
  <c r="N170" i="46"/>
  <c r="P171" i="46"/>
  <c r="O172" i="46"/>
  <c r="J173" i="46"/>
  <c r="Q174" i="46"/>
  <c r="N174" i="46"/>
  <c r="P175" i="46"/>
  <c r="O177" i="46"/>
  <c r="N179" i="46"/>
  <c r="N183" i="46"/>
  <c r="O189" i="46"/>
  <c r="J190" i="46"/>
  <c r="Q191" i="46"/>
  <c r="N191" i="46"/>
  <c r="P192" i="46"/>
  <c r="F177" i="46"/>
  <c r="F178" i="46"/>
  <c r="F179" i="46"/>
  <c r="F180" i="46"/>
  <c r="F181" i="46"/>
  <c r="F182" i="46"/>
  <c r="F183" i="46"/>
  <c r="F184" i="46"/>
  <c r="F167" i="46"/>
  <c r="F168" i="46"/>
  <c r="F169" i="46"/>
  <c r="F170" i="46"/>
  <c r="F171" i="46"/>
  <c r="F172" i="46"/>
  <c r="F173" i="46"/>
  <c r="F174" i="46"/>
  <c r="F175" i="46"/>
  <c r="F164" i="46"/>
  <c r="F165" i="46"/>
  <c r="F159" i="46"/>
  <c r="F160" i="46"/>
  <c r="F161" i="46"/>
  <c r="F162" i="46"/>
  <c r="F143" i="46"/>
  <c r="N143" i="46"/>
  <c r="J143" i="46"/>
  <c r="O144" i="46"/>
  <c r="J145" i="46"/>
  <c r="Q147" i="46"/>
  <c r="N147" i="46"/>
  <c r="P148" i="46"/>
  <c r="O149" i="46"/>
  <c r="J150" i="46"/>
  <c r="Q151" i="46"/>
  <c r="N151" i="46"/>
  <c r="P152" i="46"/>
  <c r="O153" i="46"/>
  <c r="J155" i="46"/>
  <c r="O76" i="46"/>
  <c r="Q74" i="46"/>
  <c r="P144" i="46"/>
  <c r="O145" i="46"/>
  <c r="J147" i="46"/>
  <c r="Q148" i="46"/>
  <c r="N148" i="46"/>
  <c r="P149" i="46"/>
  <c r="O150" i="46"/>
  <c r="J151" i="46"/>
  <c r="Q152" i="46"/>
  <c r="N152" i="46"/>
  <c r="P153" i="46"/>
  <c r="O155" i="46"/>
  <c r="F139" i="46"/>
  <c r="J144" i="46"/>
  <c r="Q145" i="46"/>
  <c r="N145" i="46"/>
  <c r="P147" i="46"/>
  <c r="O148" i="46"/>
  <c r="J149" i="46"/>
  <c r="Q150" i="46"/>
  <c r="N150" i="46"/>
  <c r="P151" i="46"/>
  <c r="O152" i="46"/>
  <c r="J153" i="46"/>
  <c r="Q155" i="46"/>
  <c r="N155" i="46"/>
  <c r="Q144" i="46"/>
  <c r="N144" i="46"/>
  <c r="P145" i="46"/>
  <c r="O147" i="46"/>
  <c r="J148" i="46"/>
  <c r="Q149" i="46"/>
  <c r="N149" i="46"/>
  <c r="P150" i="46"/>
  <c r="O151" i="46"/>
  <c r="J152" i="46"/>
  <c r="Q153" i="46"/>
  <c r="N153" i="46"/>
  <c r="P155" i="46"/>
  <c r="F155" i="46"/>
  <c r="F147" i="46"/>
  <c r="F148" i="46"/>
  <c r="F149" i="46"/>
  <c r="F150" i="46"/>
  <c r="F151" i="46"/>
  <c r="F152" i="46"/>
  <c r="F153" i="46"/>
  <c r="F144" i="46"/>
  <c r="F145" i="46"/>
  <c r="F137" i="46"/>
  <c r="N137" i="46"/>
  <c r="J127" i="46"/>
  <c r="N126" i="46"/>
  <c r="O140" i="46"/>
  <c r="J138" i="46"/>
  <c r="O133" i="46"/>
  <c r="F129" i="46"/>
  <c r="J137" i="46"/>
  <c r="Q133" i="46"/>
  <c r="Q122" i="46"/>
  <c r="O130" i="46"/>
  <c r="J140" i="46"/>
  <c r="O131" i="46"/>
  <c r="O132" i="46"/>
  <c r="F140" i="46"/>
  <c r="F125" i="46"/>
  <c r="J126" i="46"/>
  <c r="P133" i="46"/>
  <c r="Q131" i="46"/>
  <c r="F131" i="46"/>
  <c r="F135" i="46"/>
  <c r="O139" i="46"/>
  <c r="R139" i="46" s="1"/>
  <c r="N133" i="46"/>
  <c r="N125" i="46"/>
  <c r="O127" i="46"/>
  <c r="F126" i="46"/>
  <c r="P127" i="46"/>
  <c r="J133" i="46"/>
  <c r="Q132" i="46"/>
  <c r="F132" i="46"/>
  <c r="Q130" i="46"/>
  <c r="F130" i="46"/>
  <c r="O137" i="46"/>
  <c r="R137" i="46" s="1"/>
  <c r="N140" i="46"/>
  <c r="O138" i="46"/>
  <c r="R138" i="46" s="1"/>
  <c r="N121" i="46"/>
  <c r="J125" i="46"/>
  <c r="P126" i="46"/>
  <c r="F133" i="46"/>
  <c r="O121" i="46"/>
  <c r="N139" i="46"/>
  <c r="N127" i="46"/>
  <c r="O126" i="46"/>
  <c r="Q127" i="46"/>
  <c r="Q140" i="46"/>
  <c r="N138" i="46"/>
  <c r="J139" i="46"/>
  <c r="F138" i="46"/>
  <c r="Q75" i="46"/>
  <c r="O73" i="46"/>
  <c r="O122" i="46"/>
  <c r="N132" i="46"/>
  <c r="N131" i="46"/>
  <c r="N130" i="46"/>
  <c r="J120" i="46"/>
  <c r="J132" i="46"/>
  <c r="J131" i="46"/>
  <c r="J130" i="46"/>
  <c r="Q76" i="46"/>
  <c r="O74" i="46"/>
  <c r="P111" i="46"/>
  <c r="P116" i="46"/>
  <c r="Q120" i="46"/>
  <c r="Q121" i="46"/>
  <c r="F121" i="46"/>
  <c r="F127" i="46"/>
  <c r="Q126" i="46"/>
  <c r="P132" i="46"/>
  <c r="P131" i="46"/>
  <c r="P130" i="46"/>
  <c r="N96" i="46"/>
  <c r="J95" i="46"/>
  <c r="F94" i="46"/>
  <c r="N112" i="46"/>
  <c r="J116" i="46"/>
  <c r="O116" i="46"/>
  <c r="J118" i="46"/>
  <c r="P120" i="46"/>
  <c r="F122" i="46"/>
  <c r="O120" i="46"/>
  <c r="J93" i="46"/>
  <c r="J97" i="46"/>
  <c r="F96" i="46"/>
  <c r="N94" i="46"/>
  <c r="P100" i="46"/>
  <c r="J113" i="46"/>
  <c r="Q116" i="46"/>
  <c r="P118" i="46"/>
  <c r="N120" i="46"/>
  <c r="N122" i="46"/>
  <c r="O88" i="46"/>
  <c r="O96" i="46"/>
  <c r="P95" i="46"/>
  <c r="Q94" i="46"/>
  <c r="J101" i="46"/>
  <c r="F100" i="46"/>
  <c r="F105" i="46"/>
  <c r="Q104" i="46"/>
  <c r="N109" i="46"/>
  <c r="J108" i="46"/>
  <c r="O108" i="46"/>
  <c r="F107" i="46"/>
  <c r="N106" i="46"/>
  <c r="Q106" i="46"/>
  <c r="F111" i="46"/>
  <c r="N116" i="46"/>
  <c r="O118" i="46"/>
  <c r="J122" i="46"/>
  <c r="J121" i="46"/>
  <c r="O97" i="46"/>
  <c r="Q95" i="46"/>
  <c r="O101" i="46"/>
  <c r="Q105" i="46"/>
  <c r="O109" i="46"/>
  <c r="Q107" i="46"/>
  <c r="O113" i="46"/>
  <c r="P112" i="46"/>
  <c r="O93" i="46"/>
  <c r="Q96" i="46"/>
  <c r="O94" i="46"/>
  <c r="F101" i="46"/>
  <c r="Q100" i="46"/>
  <c r="N105" i="46"/>
  <c r="J104" i="46"/>
  <c r="F104" i="46"/>
  <c r="F109" i="46"/>
  <c r="Q108" i="46"/>
  <c r="N107" i="46"/>
  <c r="F106" i="46"/>
  <c r="O111" i="46"/>
  <c r="Q112" i="46"/>
  <c r="F116" i="46"/>
  <c r="Q118" i="46"/>
  <c r="N118" i="46"/>
  <c r="P122" i="46"/>
  <c r="P121" i="46"/>
  <c r="Q97" i="46"/>
  <c r="O95" i="46"/>
  <c r="N101" i="46"/>
  <c r="Q101" i="46"/>
  <c r="O105" i="46"/>
  <c r="P104" i="46"/>
  <c r="Q109" i="46"/>
  <c r="O107" i="46"/>
  <c r="P106" i="46"/>
  <c r="Q113" i="46"/>
  <c r="F120" i="46"/>
  <c r="F118" i="46"/>
  <c r="P115" i="46"/>
  <c r="O84" i="46"/>
  <c r="Q82" i="46"/>
  <c r="O80" i="46"/>
  <c r="O89" i="46"/>
  <c r="N93" i="46"/>
  <c r="F97" i="46"/>
  <c r="N95" i="46"/>
  <c r="J94" i="46"/>
  <c r="N100" i="46"/>
  <c r="J100" i="46"/>
  <c r="N104" i="46"/>
  <c r="J109" i="46"/>
  <c r="F108" i="46"/>
  <c r="J106" i="46"/>
  <c r="P108" i="46"/>
  <c r="N111" i="46"/>
  <c r="N113" i="46"/>
  <c r="J112" i="46"/>
  <c r="F112" i="46"/>
  <c r="O112" i="46"/>
  <c r="P113" i="46"/>
  <c r="Q115" i="46"/>
  <c r="N115" i="46"/>
  <c r="O90" i="46"/>
  <c r="F93" i="46"/>
  <c r="Q93" i="46"/>
  <c r="P96" i="46"/>
  <c r="P107" i="46"/>
  <c r="O106" i="46"/>
  <c r="Q111" i="46"/>
  <c r="Q84" i="46"/>
  <c r="O82" i="46"/>
  <c r="Q80" i="46"/>
  <c r="P79" i="46"/>
  <c r="Q89" i="46"/>
  <c r="N97" i="46"/>
  <c r="J96" i="46"/>
  <c r="F95" i="46"/>
  <c r="P97" i="46"/>
  <c r="J105" i="46"/>
  <c r="N108" i="46"/>
  <c r="J107" i="46"/>
  <c r="J111" i="46"/>
  <c r="F113" i="46"/>
  <c r="F115" i="46"/>
  <c r="P94" i="46"/>
  <c r="P101" i="46"/>
  <c r="O100" i="46"/>
  <c r="F103" i="46"/>
  <c r="P109" i="46"/>
  <c r="P105" i="46"/>
  <c r="O104" i="46"/>
  <c r="J115" i="46"/>
  <c r="O115" i="46"/>
  <c r="J90" i="46"/>
  <c r="N88" i="46"/>
  <c r="Q90" i="46"/>
  <c r="F90" i="46"/>
  <c r="Q88" i="46"/>
  <c r="F88" i="46"/>
  <c r="N90" i="46"/>
  <c r="F89" i="46"/>
  <c r="N89" i="46"/>
  <c r="O85" i="46"/>
  <c r="Q83" i="46"/>
  <c r="F82" i="46"/>
  <c r="O81" i="46"/>
  <c r="Q79" i="46"/>
  <c r="J83" i="46"/>
  <c r="J79" i="46"/>
  <c r="N84" i="46"/>
  <c r="N80" i="46"/>
  <c r="P90" i="46"/>
  <c r="J89" i="46"/>
  <c r="J88" i="46"/>
  <c r="Q85" i="46"/>
  <c r="F84" i="46"/>
  <c r="O83" i="46"/>
  <c r="Q81" i="46"/>
  <c r="F80" i="46"/>
  <c r="F79" i="46"/>
  <c r="J85" i="46"/>
  <c r="J81" i="46"/>
  <c r="N82" i="46"/>
  <c r="P89" i="46"/>
  <c r="P88" i="46"/>
  <c r="O69" i="46"/>
  <c r="Q67" i="46"/>
  <c r="O65" i="46"/>
  <c r="Q63" i="46"/>
  <c r="O61" i="46"/>
  <c r="Q59" i="46"/>
  <c r="O57" i="46"/>
  <c r="J63" i="46"/>
  <c r="F75" i="46"/>
  <c r="N74" i="46"/>
  <c r="F83" i="46"/>
  <c r="J84" i="46"/>
  <c r="J80" i="46"/>
  <c r="N85" i="46"/>
  <c r="N81" i="46"/>
  <c r="P84" i="46"/>
  <c r="P80" i="46"/>
  <c r="O79" i="46"/>
  <c r="P83" i="46"/>
  <c r="O63" i="46"/>
  <c r="Q61" i="46"/>
  <c r="J61" i="46"/>
  <c r="F73" i="46"/>
  <c r="J75" i="46"/>
  <c r="F85" i="46"/>
  <c r="F81" i="46"/>
  <c r="J82" i="46"/>
  <c r="N83" i="46"/>
  <c r="N79" i="46"/>
  <c r="P82" i="46"/>
  <c r="P85" i="46"/>
  <c r="P81" i="46"/>
  <c r="O70" i="46"/>
  <c r="Q68" i="46"/>
  <c r="F67" i="46"/>
  <c r="O66" i="46"/>
  <c r="Q64" i="46"/>
  <c r="F63" i="46"/>
  <c r="O62" i="46"/>
  <c r="Q60" i="46"/>
  <c r="F59" i="46"/>
  <c r="O58" i="46"/>
  <c r="Q56" i="46"/>
  <c r="Q69" i="46"/>
  <c r="J68" i="46"/>
  <c r="O67" i="46"/>
  <c r="Q65" i="46"/>
  <c r="J64" i="46"/>
  <c r="J60" i="46"/>
  <c r="O59" i="46"/>
  <c r="Q57" i="46"/>
  <c r="J56" i="46"/>
  <c r="N69" i="46"/>
  <c r="N65" i="46"/>
  <c r="N61" i="46"/>
  <c r="N57" i="46"/>
  <c r="F74" i="46"/>
  <c r="J76" i="46"/>
  <c r="N73" i="46"/>
  <c r="P74" i="46"/>
  <c r="N76" i="46"/>
  <c r="P73" i="46"/>
  <c r="Q70" i="46"/>
  <c r="F69" i="46"/>
  <c r="O68" i="46"/>
  <c r="Q66" i="46"/>
  <c r="F65" i="46"/>
  <c r="O64" i="46"/>
  <c r="Q62" i="46"/>
  <c r="F61" i="46"/>
  <c r="O60" i="46"/>
  <c r="Q58" i="46"/>
  <c r="F57" i="46"/>
  <c r="O56" i="46"/>
  <c r="J70" i="46"/>
  <c r="J66" i="46"/>
  <c r="J62" i="46"/>
  <c r="J58" i="46"/>
  <c r="N67" i="46"/>
  <c r="N63" i="46"/>
  <c r="N59" i="46"/>
  <c r="F76" i="46"/>
  <c r="J74" i="46"/>
  <c r="J73" i="46"/>
  <c r="N75" i="46"/>
  <c r="P76" i="46"/>
  <c r="P75" i="46"/>
  <c r="F46" i="46"/>
  <c r="F68" i="46"/>
  <c r="F64" i="46"/>
  <c r="F60" i="46"/>
  <c r="F56" i="46"/>
  <c r="J69" i="46"/>
  <c r="J65" i="46"/>
  <c r="J57" i="46"/>
  <c r="N70" i="46"/>
  <c r="N66" i="46"/>
  <c r="N62" i="46"/>
  <c r="N58" i="46"/>
  <c r="P69" i="46"/>
  <c r="P65" i="46"/>
  <c r="P61" i="46"/>
  <c r="P57" i="46"/>
  <c r="R57" i="46" s="1"/>
  <c r="P68" i="46"/>
  <c r="P64" i="46"/>
  <c r="P60" i="46"/>
  <c r="P56" i="46"/>
  <c r="F70" i="46"/>
  <c r="F66" i="46"/>
  <c r="F62" i="46"/>
  <c r="F58" i="46"/>
  <c r="J67" i="46"/>
  <c r="J59" i="46"/>
  <c r="N68" i="46"/>
  <c r="N64" i="46"/>
  <c r="N60" i="46"/>
  <c r="N56" i="46"/>
  <c r="P67" i="46"/>
  <c r="P63" i="46"/>
  <c r="P59" i="46"/>
  <c r="P70" i="46"/>
  <c r="P66" i="46"/>
  <c r="P62" i="46"/>
  <c r="P58" i="46"/>
  <c r="M24" i="46"/>
  <c r="M39" i="46" s="1"/>
  <c r="N9" i="46"/>
  <c r="J9" i="46"/>
  <c r="R153" i="46" l="1"/>
  <c r="R37" i="46"/>
  <c r="R144" i="46"/>
  <c r="R149" i="46"/>
  <c r="O19" i="46"/>
  <c r="O16" i="46"/>
  <c r="R16" i="46" s="1"/>
  <c r="O47" i="46"/>
  <c r="R47" i="46" s="1"/>
  <c r="O17" i="46"/>
  <c r="R17" i="46" s="1"/>
  <c r="R63" i="46"/>
  <c r="R160" i="46"/>
  <c r="O15" i="46"/>
  <c r="R15" i="46" s="1"/>
  <c r="O18" i="46"/>
  <c r="R18" i="46" s="1"/>
  <c r="R19" i="46"/>
  <c r="J33" i="46"/>
  <c r="N217" i="46"/>
  <c r="R173" i="46"/>
  <c r="R209" i="46"/>
  <c r="R213" i="46"/>
  <c r="P33" i="46"/>
  <c r="R170" i="46"/>
  <c r="R169" i="46"/>
  <c r="N33" i="46"/>
  <c r="R34" i="46"/>
  <c r="R36" i="46"/>
  <c r="F217" i="46"/>
  <c r="Q33" i="46"/>
  <c r="O33" i="46"/>
  <c r="R35" i="46"/>
  <c r="R205" i="46"/>
  <c r="R159" i="46"/>
  <c r="R165" i="46"/>
  <c r="R164" i="46"/>
  <c r="R203" i="46"/>
  <c r="F33" i="46"/>
  <c r="R207" i="46"/>
  <c r="J217" i="46"/>
  <c r="R214" i="46"/>
  <c r="R204" i="46"/>
  <c r="R219" i="46"/>
  <c r="R215" i="46"/>
  <c r="R211" i="46"/>
  <c r="R208" i="46"/>
  <c r="R212" i="46"/>
  <c r="R171" i="46"/>
  <c r="O217" i="46"/>
  <c r="P217" i="46"/>
  <c r="R218" i="46"/>
  <c r="Q217" i="46"/>
  <c r="R167" i="46"/>
  <c r="R202" i="46"/>
  <c r="R210" i="46"/>
  <c r="R206" i="46"/>
  <c r="R192" i="46"/>
  <c r="R189" i="46"/>
  <c r="R168" i="46"/>
  <c r="R190" i="46"/>
  <c r="R175" i="46"/>
  <c r="R177" i="46"/>
  <c r="R172" i="46"/>
  <c r="R191" i="46"/>
  <c r="R174" i="46"/>
  <c r="R162" i="46"/>
  <c r="R151" i="46"/>
  <c r="R161" i="46"/>
  <c r="R75" i="46"/>
  <c r="R147" i="46"/>
  <c r="R116" i="46"/>
  <c r="R74" i="46"/>
  <c r="R152" i="46"/>
  <c r="R140" i="46"/>
  <c r="R150" i="46"/>
  <c r="R145" i="46"/>
  <c r="R148" i="46"/>
  <c r="R155" i="46"/>
  <c r="R126" i="46"/>
  <c r="R133" i="46"/>
  <c r="R73" i="46"/>
  <c r="R95" i="46"/>
  <c r="R120" i="46"/>
  <c r="R118" i="46"/>
  <c r="R132" i="46"/>
  <c r="R111" i="46"/>
  <c r="R80" i="46"/>
  <c r="R122" i="46"/>
  <c r="R131" i="46"/>
  <c r="R127" i="46"/>
  <c r="R93" i="46"/>
  <c r="R76" i="46"/>
  <c r="R82" i="46"/>
  <c r="R79" i="46"/>
  <c r="R104" i="46"/>
  <c r="R100" i="46"/>
  <c r="R107" i="46"/>
  <c r="R112" i="46"/>
  <c r="R121" i="46"/>
  <c r="R130" i="46"/>
  <c r="R96" i="46"/>
  <c r="R84" i="46"/>
  <c r="R109" i="46"/>
  <c r="R94" i="46"/>
  <c r="R108" i="46"/>
  <c r="R101" i="46"/>
  <c r="R89" i="46"/>
  <c r="R90" i="46"/>
  <c r="R106" i="46"/>
  <c r="R113" i="46"/>
  <c r="R105" i="46"/>
  <c r="R97" i="46"/>
  <c r="R65" i="46"/>
  <c r="R115" i="46"/>
  <c r="R81" i="46"/>
  <c r="R88" i="46"/>
  <c r="R58" i="46"/>
  <c r="R59" i="46"/>
  <c r="R64" i="46"/>
  <c r="R66" i="46"/>
  <c r="R67" i="46"/>
  <c r="R56" i="46"/>
  <c r="R85" i="46"/>
  <c r="R83" i="46"/>
  <c r="R62" i="46"/>
  <c r="R68" i="46"/>
  <c r="R69" i="46"/>
  <c r="R70" i="46"/>
  <c r="R60" i="46"/>
  <c r="R61" i="46"/>
  <c r="R33" i="46" l="1"/>
  <c r="R217" i="46"/>
  <c r="P154" i="47" l="1"/>
  <c r="Q154" i="47"/>
  <c r="R154" i="47"/>
  <c r="P155" i="47"/>
  <c r="Q155" i="47"/>
  <c r="R155" i="47"/>
  <c r="P158" i="47"/>
  <c r="Q158" i="47"/>
  <c r="R158" i="47"/>
  <c r="P159" i="47"/>
  <c r="Q159" i="47"/>
  <c r="R159" i="47"/>
  <c r="P160" i="47"/>
  <c r="Q160" i="47"/>
  <c r="R160" i="47"/>
  <c r="P161" i="47"/>
  <c r="Q161" i="47"/>
  <c r="R161" i="47"/>
  <c r="P162" i="47"/>
  <c r="Q162" i="47"/>
  <c r="R162" i="47"/>
  <c r="P163" i="47"/>
  <c r="Q163" i="47"/>
  <c r="R163" i="47"/>
  <c r="P181" i="47"/>
  <c r="Q181" i="47"/>
  <c r="R181" i="47"/>
  <c r="P182" i="47"/>
  <c r="Q182" i="47"/>
  <c r="R182" i="47"/>
  <c r="P183" i="47"/>
  <c r="Q183" i="47"/>
  <c r="R183" i="47"/>
  <c r="P184" i="47"/>
  <c r="Q184" i="47"/>
  <c r="R184" i="47"/>
  <c r="P187" i="47"/>
  <c r="Q187" i="47"/>
  <c r="R187" i="47"/>
  <c r="P190" i="47"/>
  <c r="Q190" i="47"/>
  <c r="R190" i="47"/>
  <c r="P191" i="47"/>
  <c r="Q191" i="47"/>
  <c r="R191" i="47"/>
  <c r="P192" i="47"/>
  <c r="Q192" i="47"/>
  <c r="R192" i="47"/>
  <c r="P193" i="47"/>
  <c r="Q193" i="47"/>
  <c r="R193" i="47"/>
  <c r="P194" i="47"/>
  <c r="Q194" i="47"/>
  <c r="R194" i="47"/>
  <c r="P200" i="47"/>
  <c r="Q200" i="47"/>
  <c r="R200" i="47"/>
  <c r="P201" i="47"/>
  <c r="Q201" i="47"/>
  <c r="R201" i="47"/>
  <c r="P205" i="47"/>
  <c r="Q205" i="47"/>
  <c r="R205" i="47"/>
  <c r="P206" i="47"/>
  <c r="Q206" i="47"/>
  <c r="R206" i="47"/>
  <c r="P207" i="47"/>
  <c r="Q207" i="47"/>
  <c r="R207" i="47"/>
  <c r="P212" i="47"/>
  <c r="Q212" i="47"/>
  <c r="R212" i="47"/>
  <c r="P213" i="47"/>
  <c r="Q213" i="47"/>
  <c r="R213" i="47"/>
  <c r="P214" i="47"/>
  <c r="Q214" i="47"/>
  <c r="R214" i="47"/>
  <c r="R211" i="47"/>
  <c r="Q211" i="47"/>
  <c r="P211" i="47"/>
  <c r="O210" i="47"/>
  <c r="N210" i="47"/>
  <c r="M210" i="47"/>
  <c r="L210" i="47"/>
  <c r="K210" i="47"/>
  <c r="J210" i="47"/>
  <c r="I210" i="47"/>
  <c r="H210" i="47"/>
  <c r="G210" i="47"/>
  <c r="F210" i="47"/>
  <c r="R209" i="47"/>
  <c r="Q209" i="47"/>
  <c r="P209" i="47"/>
  <c r="R208" i="47"/>
  <c r="Q208" i="47"/>
  <c r="P208" i="47"/>
  <c r="R199" i="47"/>
  <c r="Q199" i="47"/>
  <c r="P199" i="47"/>
  <c r="O198" i="47"/>
  <c r="N198" i="47"/>
  <c r="M198" i="47"/>
  <c r="L198" i="47"/>
  <c r="K198" i="47"/>
  <c r="J198" i="47"/>
  <c r="I198" i="47"/>
  <c r="H198" i="47"/>
  <c r="G198" i="47"/>
  <c r="F198" i="47"/>
  <c r="R197" i="47"/>
  <c r="Q197" i="47"/>
  <c r="P197" i="47"/>
  <c r="R196" i="47"/>
  <c r="Q196" i="47"/>
  <c r="P196" i="47"/>
  <c r="R195" i="47"/>
  <c r="Q195" i="47"/>
  <c r="P195" i="47"/>
  <c r="R189" i="47"/>
  <c r="Q189" i="47"/>
  <c r="P189" i="47"/>
  <c r="O188" i="47"/>
  <c r="N188" i="47"/>
  <c r="M188" i="47"/>
  <c r="L188" i="47"/>
  <c r="K188" i="47"/>
  <c r="J188" i="47"/>
  <c r="I188" i="47"/>
  <c r="H188" i="47"/>
  <c r="G188" i="47"/>
  <c r="F188" i="47"/>
  <c r="R186" i="47"/>
  <c r="Q186" i="47"/>
  <c r="P186" i="47"/>
  <c r="O185" i="47"/>
  <c r="N185" i="47"/>
  <c r="M185" i="47"/>
  <c r="L185" i="47"/>
  <c r="K185" i="47"/>
  <c r="J185" i="47"/>
  <c r="I185" i="47"/>
  <c r="H185" i="47"/>
  <c r="G185" i="47"/>
  <c r="F185" i="47"/>
  <c r="R165" i="47"/>
  <c r="Q165" i="47"/>
  <c r="P165" i="47"/>
  <c r="O164" i="47"/>
  <c r="N164" i="47"/>
  <c r="M164" i="47"/>
  <c r="L164" i="47"/>
  <c r="K164" i="47"/>
  <c r="J164" i="47"/>
  <c r="I164" i="47"/>
  <c r="H164" i="47"/>
  <c r="G164" i="47"/>
  <c r="F164" i="47"/>
  <c r="R157" i="47"/>
  <c r="Q157" i="47"/>
  <c r="P157" i="47"/>
  <c r="O156" i="47"/>
  <c r="N156" i="47"/>
  <c r="M156" i="47"/>
  <c r="L156" i="47"/>
  <c r="K156" i="47"/>
  <c r="J156" i="47"/>
  <c r="I156" i="47"/>
  <c r="H156" i="47"/>
  <c r="G156" i="47"/>
  <c r="F156" i="47"/>
  <c r="R139" i="47"/>
  <c r="Q139" i="47"/>
  <c r="P139" i="47"/>
  <c r="R138" i="47"/>
  <c r="Q138" i="47"/>
  <c r="P138" i="47"/>
  <c r="R137" i="47"/>
  <c r="Q137" i="47"/>
  <c r="P137" i="47"/>
  <c r="R136" i="47"/>
  <c r="Q136" i="47"/>
  <c r="P136" i="47"/>
  <c r="O135" i="47"/>
  <c r="N135" i="47"/>
  <c r="M135" i="47"/>
  <c r="L135" i="47"/>
  <c r="K135" i="47"/>
  <c r="J135" i="47"/>
  <c r="I135" i="47"/>
  <c r="H135" i="47"/>
  <c r="G135" i="47"/>
  <c r="F135" i="47"/>
  <c r="R134" i="47"/>
  <c r="Q134" i="47"/>
  <c r="P134" i="47"/>
  <c r="O133" i="47"/>
  <c r="N133" i="47"/>
  <c r="M133" i="47"/>
  <c r="L133" i="47"/>
  <c r="K133" i="47"/>
  <c r="J133" i="47"/>
  <c r="I133" i="47"/>
  <c r="H133" i="47"/>
  <c r="G133" i="47"/>
  <c r="F133" i="47"/>
  <c r="R132" i="47"/>
  <c r="Q132" i="47"/>
  <c r="P132" i="47"/>
  <c r="R131" i="47"/>
  <c r="Q131" i="47"/>
  <c r="P131" i="47"/>
  <c r="R130" i="47"/>
  <c r="Q130" i="47"/>
  <c r="P130" i="47"/>
  <c r="R129" i="47"/>
  <c r="Q129" i="47"/>
  <c r="P129" i="47"/>
  <c r="R128" i="47"/>
  <c r="Q128" i="47"/>
  <c r="P128" i="47"/>
  <c r="O127" i="47"/>
  <c r="N127" i="47"/>
  <c r="M127" i="47"/>
  <c r="L127" i="47"/>
  <c r="K127" i="47"/>
  <c r="J127" i="47"/>
  <c r="I127" i="47"/>
  <c r="H127" i="47"/>
  <c r="G127" i="47"/>
  <c r="F127" i="47"/>
  <c r="R126" i="47"/>
  <c r="Q126" i="47"/>
  <c r="P126" i="47"/>
  <c r="R125" i="47"/>
  <c r="Q125" i="47"/>
  <c r="P125" i="47"/>
  <c r="R110" i="47"/>
  <c r="Q110" i="47"/>
  <c r="P110" i="47"/>
  <c r="R109" i="47"/>
  <c r="Q109" i="47"/>
  <c r="P109" i="47"/>
  <c r="R108" i="47"/>
  <c r="Q108" i="47"/>
  <c r="P108" i="47"/>
  <c r="O107" i="47"/>
  <c r="N107" i="47"/>
  <c r="M107" i="47"/>
  <c r="L107" i="47"/>
  <c r="K107" i="47"/>
  <c r="J107" i="47"/>
  <c r="I107" i="47"/>
  <c r="H107" i="47"/>
  <c r="G107" i="47"/>
  <c r="F107" i="47"/>
  <c r="R106" i="47"/>
  <c r="Q106" i="47"/>
  <c r="P106" i="47"/>
  <c r="O105" i="47"/>
  <c r="N105" i="47"/>
  <c r="M105" i="47"/>
  <c r="L105" i="47"/>
  <c r="K105" i="47"/>
  <c r="J105" i="47"/>
  <c r="I105" i="47"/>
  <c r="H105" i="47"/>
  <c r="G105" i="47"/>
  <c r="F105" i="47"/>
  <c r="R104" i="47"/>
  <c r="Q104" i="47"/>
  <c r="P104" i="47"/>
  <c r="R103" i="47"/>
  <c r="Q103" i="47"/>
  <c r="P103" i="47"/>
  <c r="O102" i="47"/>
  <c r="N102" i="47"/>
  <c r="M102" i="47"/>
  <c r="L102" i="47"/>
  <c r="K102" i="47"/>
  <c r="J102" i="47"/>
  <c r="I102" i="47"/>
  <c r="H102" i="47"/>
  <c r="G102" i="47"/>
  <c r="F102" i="47"/>
  <c r="R101" i="47"/>
  <c r="Q101" i="47"/>
  <c r="P101" i="47"/>
  <c r="R100" i="47"/>
  <c r="Q100" i="47"/>
  <c r="P100" i="47"/>
  <c r="R99" i="47"/>
  <c r="Q99" i="47"/>
  <c r="P99" i="47"/>
  <c r="O98" i="47"/>
  <c r="N98" i="47"/>
  <c r="M98" i="47"/>
  <c r="L98" i="47"/>
  <c r="K98" i="47"/>
  <c r="J98" i="47"/>
  <c r="I98" i="47"/>
  <c r="H98" i="47"/>
  <c r="G98" i="47"/>
  <c r="F98" i="47"/>
  <c r="R97" i="47"/>
  <c r="Q97" i="47"/>
  <c r="P97" i="47"/>
  <c r="R96" i="47"/>
  <c r="Q96" i="47"/>
  <c r="P96" i="47"/>
  <c r="R95" i="47"/>
  <c r="Q95" i="47"/>
  <c r="P95" i="47"/>
  <c r="R94" i="47"/>
  <c r="Q94" i="47"/>
  <c r="P94" i="47"/>
  <c r="R93" i="47"/>
  <c r="Q93" i="47"/>
  <c r="P93" i="47"/>
  <c r="R92" i="47"/>
  <c r="Q92" i="47"/>
  <c r="P92" i="47"/>
  <c r="R91" i="47"/>
  <c r="Q91" i="47"/>
  <c r="P91" i="47"/>
  <c r="O90" i="47"/>
  <c r="N90" i="47"/>
  <c r="M90" i="47"/>
  <c r="L90" i="47"/>
  <c r="K90" i="47"/>
  <c r="J90" i="47"/>
  <c r="I90" i="47"/>
  <c r="H90" i="47"/>
  <c r="G90" i="47"/>
  <c r="F90" i="47"/>
  <c r="R89" i="47"/>
  <c r="Q89" i="47"/>
  <c r="P89" i="47"/>
  <c r="R88" i="47"/>
  <c r="Q88" i="47"/>
  <c r="P88" i="47"/>
  <c r="R87" i="47"/>
  <c r="Q87" i="47"/>
  <c r="P87" i="47"/>
  <c r="O86" i="47"/>
  <c r="N86" i="47"/>
  <c r="M86" i="47"/>
  <c r="L86" i="47"/>
  <c r="K86" i="47"/>
  <c r="J86" i="47"/>
  <c r="I86" i="47"/>
  <c r="H86" i="47"/>
  <c r="G86" i="47"/>
  <c r="F86" i="47"/>
  <c r="R85" i="47"/>
  <c r="Q85" i="47"/>
  <c r="P85" i="47"/>
  <c r="R84" i="47"/>
  <c r="Q84" i="47"/>
  <c r="P84" i="47"/>
  <c r="R83" i="47"/>
  <c r="Q83" i="47"/>
  <c r="P83" i="47"/>
  <c r="R82" i="47"/>
  <c r="Q82" i="47"/>
  <c r="P82" i="47"/>
  <c r="R81" i="47"/>
  <c r="Q81" i="47"/>
  <c r="P81" i="47"/>
  <c r="G80" i="47"/>
  <c r="H80" i="47"/>
  <c r="I80" i="47"/>
  <c r="J80" i="47"/>
  <c r="K80" i="47"/>
  <c r="L80" i="47"/>
  <c r="M80" i="47"/>
  <c r="N80" i="47"/>
  <c r="O80" i="47"/>
  <c r="F80" i="47"/>
  <c r="P62" i="47"/>
  <c r="Q62" i="47"/>
  <c r="R62" i="47"/>
  <c r="P63" i="47"/>
  <c r="Q63" i="47"/>
  <c r="R63" i="47"/>
  <c r="P64" i="47"/>
  <c r="Q64" i="47"/>
  <c r="R64" i="47"/>
  <c r="P53" i="47"/>
  <c r="Q53" i="47"/>
  <c r="R53" i="47"/>
  <c r="P54" i="47"/>
  <c r="Q54" i="47"/>
  <c r="R54" i="47"/>
  <c r="P55" i="47"/>
  <c r="Q55" i="47"/>
  <c r="R55" i="47"/>
  <c r="P56" i="47"/>
  <c r="Q56" i="47"/>
  <c r="R56" i="47"/>
  <c r="P57" i="47"/>
  <c r="Q57" i="47"/>
  <c r="R57" i="47"/>
  <c r="P58" i="47"/>
  <c r="Q58" i="47"/>
  <c r="R58" i="47"/>
  <c r="P59" i="47"/>
  <c r="Q59" i="47"/>
  <c r="R59" i="47"/>
  <c r="R50" i="47"/>
  <c r="Q50" i="47"/>
  <c r="P50" i="47"/>
  <c r="R49" i="47"/>
  <c r="Q49" i="47"/>
  <c r="P49" i="47"/>
  <c r="R48" i="47"/>
  <c r="Q48" i="47"/>
  <c r="P48" i="47"/>
  <c r="R47" i="47"/>
  <c r="Q47" i="47"/>
  <c r="P47" i="47"/>
  <c r="R46" i="47"/>
  <c r="Q46" i="47"/>
  <c r="P46" i="47"/>
  <c r="R44" i="47"/>
  <c r="Q44" i="47"/>
  <c r="P44" i="47"/>
  <c r="R43" i="47"/>
  <c r="Q43" i="47"/>
  <c r="P43" i="47"/>
  <c r="R42" i="47"/>
  <c r="Q42" i="47"/>
  <c r="P42" i="47"/>
  <c r="R41" i="47"/>
  <c r="Q41" i="47"/>
  <c r="P41" i="47"/>
  <c r="R40" i="47"/>
  <c r="Q40" i="47"/>
  <c r="P40" i="47"/>
  <c r="R39" i="47"/>
  <c r="Q39" i="47"/>
  <c r="P39" i="47"/>
  <c r="R38" i="47"/>
  <c r="Q38" i="47"/>
  <c r="P38" i="47"/>
  <c r="R37" i="47"/>
  <c r="Q37" i="47"/>
  <c r="P37" i="47"/>
  <c r="R36" i="47"/>
  <c r="Q36" i="47"/>
  <c r="P36" i="47"/>
  <c r="R35" i="47"/>
  <c r="Q35" i="47"/>
  <c r="P35" i="47"/>
  <c r="R34" i="47"/>
  <c r="Q34" i="47"/>
  <c r="P34" i="47"/>
  <c r="R33" i="47"/>
  <c r="Q33" i="47"/>
  <c r="P33" i="47"/>
  <c r="R32" i="47"/>
  <c r="Q32" i="47"/>
  <c r="P32" i="47"/>
  <c r="R31" i="47"/>
  <c r="Q31" i="47"/>
  <c r="P31" i="47"/>
  <c r="R30" i="47"/>
  <c r="Q30" i="47"/>
  <c r="P30" i="47"/>
  <c r="R29" i="47"/>
  <c r="Q29" i="47"/>
  <c r="P29" i="47"/>
  <c r="S209" i="47" l="1"/>
  <c r="T209" i="47" s="1"/>
  <c r="S212" i="47"/>
  <c r="T212" i="47" s="1"/>
  <c r="S201" i="47"/>
  <c r="T201" i="47" s="1"/>
  <c r="S208" i="47"/>
  <c r="T208" i="47" s="1"/>
  <c r="S211" i="47"/>
  <c r="T211" i="47" s="1"/>
  <c r="S213" i="47"/>
  <c r="T213" i="47" s="1"/>
  <c r="S205" i="47"/>
  <c r="T205" i="47" s="1"/>
  <c r="S199" i="47"/>
  <c r="T199" i="47" s="1"/>
  <c r="S214" i="47"/>
  <c r="T214" i="47" s="1"/>
  <c r="S206" i="47"/>
  <c r="T206" i="47" s="1"/>
  <c r="S207" i="47"/>
  <c r="T207" i="47" s="1"/>
  <c r="S200" i="47"/>
  <c r="T200" i="47" s="1"/>
  <c r="P188" i="47"/>
  <c r="I111" i="47"/>
  <c r="K111" i="47"/>
  <c r="O111" i="47"/>
  <c r="G111" i="47"/>
  <c r="M111" i="47"/>
  <c r="N111" i="47"/>
  <c r="J111" i="47"/>
  <c r="R188" i="47"/>
  <c r="F111" i="47"/>
  <c r="L111" i="47"/>
  <c r="H111" i="47"/>
  <c r="Q210" i="47"/>
  <c r="Q133" i="47"/>
  <c r="R133" i="47"/>
  <c r="R102" i="47"/>
  <c r="P164" i="47"/>
  <c r="R210" i="47"/>
  <c r="R198" i="47"/>
  <c r="Q164" i="47"/>
  <c r="Q185" i="47"/>
  <c r="R185" i="47"/>
  <c r="P198" i="47"/>
  <c r="Q198" i="47"/>
  <c r="P210" i="47"/>
  <c r="Q188" i="47"/>
  <c r="P185" i="47"/>
  <c r="R80" i="47"/>
  <c r="R90" i="47"/>
  <c r="R127" i="47"/>
  <c r="Q156" i="47"/>
  <c r="P156" i="47"/>
  <c r="R135" i="47"/>
  <c r="R107" i="47"/>
  <c r="Q135" i="47"/>
  <c r="R156" i="47"/>
  <c r="R164" i="47"/>
  <c r="P98" i="47"/>
  <c r="Q98" i="47"/>
  <c r="P127" i="47"/>
  <c r="Q127" i="47"/>
  <c r="R86" i="47"/>
  <c r="P135" i="47"/>
  <c r="P90" i="47"/>
  <c r="R105" i="47"/>
  <c r="P107" i="47"/>
  <c r="Q107" i="47"/>
  <c r="P133" i="47"/>
  <c r="Q90" i="47"/>
  <c r="P86" i="47"/>
  <c r="Q86" i="47"/>
  <c r="R98" i="47"/>
  <c r="P80" i="47"/>
  <c r="Q80" i="47"/>
  <c r="P102" i="47"/>
  <c r="Q102" i="47"/>
  <c r="P105" i="47"/>
  <c r="Q105" i="47"/>
  <c r="P7" i="28"/>
  <c r="R24" i="28"/>
  <c r="Q24" i="28"/>
  <c r="P24" i="28"/>
  <c r="R23" i="28"/>
  <c r="Q23" i="28"/>
  <c r="P23" i="28"/>
  <c r="R22" i="28"/>
  <c r="Q22" i="28"/>
  <c r="P22" i="28"/>
  <c r="R21" i="28"/>
  <c r="Q21" i="28"/>
  <c r="P21" i="28"/>
  <c r="R20" i="28"/>
  <c r="Q20" i="28"/>
  <c r="P20" i="28"/>
  <c r="R19" i="28"/>
  <c r="Q19" i="28"/>
  <c r="P19" i="28"/>
  <c r="R18" i="28"/>
  <c r="Q18" i="28"/>
  <c r="P18" i="28"/>
  <c r="R15" i="28"/>
  <c r="Q15" i="28"/>
  <c r="P15" i="28"/>
  <c r="R14" i="28"/>
  <c r="Q14" i="28"/>
  <c r="P14" i="28"/>
  <c r="R13" i="28"/>
  <c r="Q13" i="28"/>
  <c r="P13" i="28"/>
  <c r="R12" i="28"/>
  <c r="Q12" i="28"/>
  <c r="P12" i="28"/>
  <c r="R11" i="28"/>
  <c r="Q11" i="28"/>
  <c r="P11" i="28"/>
  <c r="R10" i="28"/>
  <c r="Q10" i="28"/>
  <c r="P10" i="28"/>
  <c r="R9" i="28"/>
  <c r="Q9" i="28"/>
  <c r="P9" i="28"/>
  <c r="R8" i="28"/>
  <c r="Q8" i="28"/>
  <c r="P8" i="28"/>
  <c r="R7" i="28"/>
  <c r="Q7" i="28"/>
  <c r="F8" i="28"/>
  <c r="F9" i="28"/>
  <c r="F10" i="28"/>
  <c r="F11" i="28"/>
  <c r="F12" i="28"/>
  <c r="F13" i="28"/>
  <c r="F14" i="28"/>
  <c r="F15" i="28"/>
  <c r="F18" i="28"/>
  <c r="F19" i="28"/>
  <c r="F20" i="28"/>
  <c r="F21" i="28"/>
  <c r="F22" i="28"/>
  <c r="F23" i="28"/>
  <c r="F7" i="28"/>
  <c r="S105" i="47" l="1"/>
  <c r="T105" i="47" s="1"/>
  <c r="S210" i="47"/>
  <c r="T210" i="47" s="1"/>
  <c r="S185" i="47"/>
  <c r="T185" i="47" s="1"/>
  <c r="S135" i="47"/>
  <c r="T135" i="47" s="1"/>
  <c r="S80" i="47"/>
  <c r="T80" i="47" s="1"/>
  <c r="S102" i="47"/>
  <c r="T102" i="47" s="1"/>
  <c r="S198" i="47"/>
  <c r="T198" i="47" s="1"/>
  <c r="S133" i="47"/>
  <c r="T133" i="47" s="1"/>
  <c r="S90" i="47"/>
  <c r="T90" i="47" s="1"/>
  <c r="S127" i="47"/>
  <c r="T127" i="47" s="1"/>
  <c r="S156" i="47"/>
  <c r="T156" i="47" s="1"/>
  <c r="S86" i="47"/>
  <c r="T86" i="47" s="1"/>
  <c r="S107" i="47"/>
  <c r="T107" i="47" s="1"/>
  <c r="S98" i="47"/>
  <c r="T98" i="47" s="1"/>
  <c r="S164" i="47"/>
  <c r="T164" i="47" s="1"/>
  <c r="S188" i="47"/>
  <c r="T188" i="47" s="1"/>
  <c r="Q111" i="47"/>
  <c r="R111" i="47"/>
  <c r="P111" i="47"/>
  <c r="I20" i="45"/>
  <c r="J20" i="45"/>
  <c r="K20" i="45"/>
  <c r="L20" i="45"/>
  <c r="M20" i="45"/>
  <c r="N20" i="45"/>
  <c r="O20" i="45"/>
  <c r="Q9" i="45"/>
  <c r="R9" i="45"/>
  <c r="P10" i="45"/>
  <c r="R10" i="45"/>
  <c r="Q11" i="45"/>
  <c r="R11" i="45"/>
  <c r="Q12" i="45"/>
  <c r="R12" i="45"/>
  <c r="Q13" i="45"/>
  <c r="R13" i="45"/>
  <c r="S111" i="47" l="1"/>
  <c r="T111" i="47" s="1"/>
  <c r="F9" i="45"/>
  <c r="G9" i="45" s="1"/>
  <c r="F10" i="45"/>
  <c r="H10" i="45" s="1"/>
  <c r="F11" i="45"/>
  <c r="G11" i="45" s="1"/>
  <c r="F12" i="45"/>
  <c r="G12" i="45" s="1"/>
  <c r="F13" i="45"/>
  <c r="G13" i="45" s="1"/>
  <c r="F8" i="45"/>
  <c r="G8" i="45" s="1"/>
  <c r="C9" i="46" s="1"/>
  <c r="F9" i="46" s="1"/>
  <c r="C14" i="46" l="1"/>
  <c r="P13" i="45"/>
  <c r="D11" i="46"/>
  <c r="H20" i="45"/>
  <c r="Q10" i="45"/>
  <c r="C10" i="46"/>
  <c r="P9" i="45"/>
  <c r="C12" i="46"/>
  <c r="P11" i="45"/>
  <c r="C13" i="46"/>
  <c r="P12" i="45"/>
  <c r="Q12" i="46" l="1"/>
  <c r="Q13" i="46"/>
  <c r="Q9" i="46"/>
  <c r="Q201" i="46"/>
  <c r="Q200" i="46" s="1"/>
  <c r="N201" i="46"/>
  <c r="N200" i="46" s="1"/>
  <c r="J201" i="46"/>
  <c r="J200" i="46" s="1"/>
  <c r="Q158" i="46"/>
  <c r="Q143" i="46"/>
  <c r="Q135" i="46"/>
  <c r="Q129" i="46"/>
  <c r="Q125" i="46"/>
  <c r="Q99" i="46"/>
  <c r="Q103" i="46"/>
  <c r="Q87" i="46"/>
  <c r="Q78" i="46"/>
  <c r="Q72" i="46"/>
  <c r="Q55" i="46"/>
  <c r="E49" i="46"/>
  <c r="E50" i="46"/>
  <c r="Q50" i="46" s="1"/>
  <c r="E51" i="46"/>
  <c r="Q51" i="46" s="1"/>
  <c r="E52" i="46"/>
  <c r="Q52" i="46" s="1"/>
  <c r="E53" i="46"/>
  <c r="Q53" i="46" s="1"/>
  <c r="Q31" i="46"/>
  <c r="Q30" i="46"/>
  <c r="Q26" i="46"/>
  <c r="Q25" i="46"/>
  <c r="Q46" i="46"/>
  <c r="I25" i="28"/>
  <c r="I27" i="28" s="1"/>
  <c r="J25" i="28"/>
  <c r="J27" i="28" s="1"/>
  <c r="K25" i="28"/>
  <c r="K27" i="28" s="1"/>
  <c r="L25" i="28"/>
  <c r="L27" i="28" s="1"/>
  <c r="M25" i="28"/>
  <c r="M27" i="28" s="1"/>
  <c r="N25" i="28"/>
  <c r="N27" i="28" s="1"/>
  <c r="O25" i="28"/>
  <c r="O27" i="28" s="1"/>
  <c r="G15" i="49"/>
  <c r="H15" i="49"/>
  <c r="I15" i="49"/>
  <c r="J15" i="49"/>
  <c r="K15" i="49"/>
  <c r="L15" i="49"/>
  <c r="M15" i="49"/>
  <c r="N15" i="49"/>
  <c r="O15" i="49"/>
  <c r="F15" i="49"/>
  <c r="Q11" i="49"/>
  <c r="Q15" i="49" s="1"/>
  <c r="R11" i="49"/>
  <c r="R15" i="49" s="1"/>
  <c r="P11" i="49"/>
  <c r="P15" i="49" s="1"/>
  <c r="R180" i="47"/>
  <c r="I179" i="47"/>
  <c r="I215" i="47" s="1"/>
  <c r="J179" i="47"/>
  <c r="J215" i="47" s="1"/>
  <c r="K179" i="47"/>
  <c r="K215" i="47" s="1"/>
  <c r="L179" i="47"/>
  <c r="L215" i="47" s="1"/>
  <c r="M179" i="47"/>
  <c r="M215" i="47" s="1"/>
  <c r="N179" i="47"/>
  <c r="N215" i="47" s="1"/>
  <c r="O179" i="47"/>
  <c r="O215" i="47" s="1"/>
  <c r="Q153" i="47"/>
  <c r="R153" i="47"/>
  <c r="I152" i="47"/>
  <c r="I166" i="47" s="1"/>
  <c r="J152" i="47"/>
  <c r="J166" i="47" s="1"/>
  <c r="K152" i="47"/>
  <c r="K166" i="47" s="1"/>
  <c r="L152" i="47"/>
  <c r="L166" i="47" s="1"/>
  <c r="M152" i="47"/>
  <c r="M166" i="47" s="1"/>
  <c r="N152" i="47"/>
  <c r="N166" i="47" s="1"/>
  <c r="O152" i="47"/>
  <c r="O166" i="47" s="1"/>
  <c r="P125" i="46"/>
  <c r="P87" i="46"/>
  <c r="Q52" i="47"/>
  <c r="D53" i="46"/>
  <c r="P53" i="46" s="1"/>
  <c r="D52" i="46"/>
  <c r="Q25" i="47"/>
  <c r="D50" i="46"/>
  <c r="D49" i="46"/>
  <c r="Q20" i="47"/>
  <c r="R124" i="47"/>
  <c r="I123" i="47"/>
  <c r="I140" i="47" s="1"/>
  <c r="J123" i="47"/>
  <c r="J140" i="47" s="1"/>
  <c r="K123" i="47"/>
  <c r="K140" i="47" s="1"/>
  <c r="L123" i="47"/>
  <c r="L140" i="47" s="1"/>
  <c r="M123" i="47"/>
  <c r="M140" i="47" s="1"/>
  <c r="N123" i="47"/>
  <c r="N140" i="47" s="1"/>
  <c r="O123" i="47"/>
  <c r="O140" i="47" s="1"/>
  <c r="J60" i="47"/>
  <c r="K60" i="47"/>
  <c r="L60" i="47"/>
  <c r="M60" i="47"/>
  <c r="N60" i="47"/>
  <c r="O60" i="47"/>
  <c r="J51" i="47"/>
  <c r="K51" i="47"/>
  <c r="L51" i="47"/>
  <c r="M51" i="47"/>
  <c r="N51" i="47"/>
  <c r="O51" i="47"/>
  <c r="J45" i="47"/>
  <c r="K45" i="47"/>
  <c r="L45" i="47"/>
  <c r="M45" i="47"/>
  <c r="N45" i="47"/>
  <c r="O45" i="47"/>
  <c r="J28" i="47"/>
  <c r="K28" i="47"/>
  <c r="L28" i="47"/>
  <c r="M28" i="47"/>
  <c r="N28" i="47"/>
  <c r="O28" i="47"/>
  <c r="J22" i="47"/>
  <c r="K22" i="47"/>
  <c r="L22" i="47"/>
  <c r="M22" i="47"/>
  <c r="N22" i="47"/>
  <c r="O22" i="47"/>
  <c r="J19" i="47"/>
  <c r="K19" i="47"/>
  <c r="K65" i="47" s="1"/>
  <c r="L19" i="47"/>
  <c r="L65" i="47" s="1"/>
  <c r="M19" i="47"/>
  <c r="N19" i="47"/>
  <c r="O19" i="47"/>
  <c r="O65" i="47" s="1"/>
  <c r="R20" i="47"/>
  <c r="R23" i="47"/>
  <c r="R24" i="47"/>
  <c r="R25" i="47"/>
  <c r="R26" i="47"/>
  <c r="R27" i="47"/>
  <c r="R52" i="47"/>
  <c r="R61" i="47"/>
  <c r="I60" i="47"/>
  <c r="I51" i="47"/>
  <c r="I45" i="47"/>
  <c r="I28" i="47"/>
  <c r="I22" i="47"/>
  <c r="I19" i="47"/>
  <c r="S9" i="30"/>
  <c r="S13" i="30"/>
  <c r="S14" i="30"/>
  <c r="S8" i="30"/>
  <c r="R3" i="28"/>
  <c r="R7" i="49"/>
  <c r="R13" i="47"/>
  <c r="S4" i="30"/>
  <c r="R4" i="45"/>
  <c r="O14" i="46"/>
  <c r="O12" i="46"/>
  <c r="O10" i="46"/>
  <c r="N195" i="46"/>
  <c r="N198" i="46" s="1"/>
  <c r="M195" i="46"/>
  <c r="M198" i="46" s="1"/>
  <c r="L195" i="46"/>
  <c r="L198" i="46" s="1"/>
  <c r="K195" i="46"/>
  <c r="K198" i="46" s="1"/>
  <c r="J195" i="46"/>
  <c r="J198" i="46" s="1"/>
  <c r="I195" i="46"/>
  <c r="I198" i="46" s="1"/>
  <c r="H195" i="46"/>
  <c r="H198" i="46" s="1"/>
  <c r="G195" i="46"/>
  <c r="G198" i="46" s="1"/>
  <c r="D195" i="46"/>
  <c r="D198" i="46" s="1"/>
  <c r="E195" i="46"/>
  <c r="E198" i="46" s="1"/>
  <c r="F195" i="46"/>
  <c r="F198" i="46" s="1"/>
  <c r="C195" i="46"/>
  <c r="C198" i="46" s="1"/>
  <c r="Q223" i="46"/>
  <c r="Q222" i="46" s="1"/>
  <c r="P223" i="46"/>
  <c r="O223" i="46"/>
  <c r="O222" i="46" s="1"/>
  <c r="Q197" i="46"/>
  <c r="P197" i="46"/>
  <c r="O197" i="46"/>
  <c r="Q196" i="46"/>
  <c r="P196" i="46"/>
  <c r="O196" i="46"/>
  <c r="M8" i="46"/>
  <c r="M21" i="46" s="1"/>
  <c r="L8" i="46"/>
  <c r="L21" i="46" s="1"/>
  <c r="K8" i="46"/>
  <c r="K21" i="46" s="1"/>
  <c r="I8" i="46"/>
  <c r="I21" i="46" s="1"/>
  <c r="H8" i="46"/>
  <c r="H21" i="46" s="1"/>
  <c r="G8" i="46"/>
  <c r="G21" i="46" s="1"/>
  <c r="M222" i="46"/>
  <c r="L222" i="46"/>
  <c r="K222" i="46"/>
  <c r="I222" i="46"/>
  <c r="H222" i="46"/>
  <c r="G222" i="46"/>
  <c r="N31" i="46"/>
  <c r="N223" i="46"/>
  <c r="N222" i="46" s="1"/>
  <c r="N135" i="46"/>
  <c r="N129" i="46"/>
  <c r="N103" i="46"/>
  <c r="N99" i="46"/>
  <c r="N87" i="46"/>
  <c r="N78" i="46"/>
  <c r="N72" i="46"/>
  <c r="N55" i="46"/>
  <c r="N53" i="46"/>
  <c r="N52" i="46"/>
  <c r="N51" i="46"/>
  <c r="N50" i="46"/>
  <c r="N49" i="46"/>
  <c r="N46" i="46"/>
  <c r="N30" i="46"/>
  <c r="N26" i="46"/>
  <c r="N25" i="46"/>
  <c r="N14" i="46"/>
  <c r="N13" i="46"/>
  <c r="N12" i="46"/>
  <c r="N11" i="46"/>
  <c r="N10" i="46"/>
  <c r="J222" i="46"/>
  <c r="J135" i="46"/>
  <c r="J129" i="46"/>
  <c r="J103" i="46"/>
  <c r="J99" i="46"/>
  <c r="J87" i="46"/>
  <c r="J78" i="46"/>
  <c r="J72" i="46"/>
  <c r="J55" i="46"/>
  <c r="J53" i="46"/>
  <c r="J52" i="46"/>
  <c r="J51" i="46"/>
  <c r="J50" i="46"/>
  <c r="J49" i="46"/>
  <c r="J46" i="46"/>
  <c r="J31" i="46"/>
  <c r="J30" i="46"/>
  <c r="J26" i="46"/>
  <c r="J25" i="46"/>
  <c r="J14" i="46"/>
  <c r="J13" i="46"/>
  <c r="J12" i="46"/>
  <c r="J11" i="46"/>
  <c r="J10" i="46"/>
  <c r="I65" i="47" l="1"/>
  <c r="M65" i="47"/>
  <c r="N65" i="47"/>
  <c r="J65" i="47"/>
  <c r="N193" i="46"/>
  <c r="S15" i="49"/>
  <c r="T15" i="49" s="1"/>
  <c r="I19" i="49"/>
  <c r="M19" i="49"/>
  <c r="Q19" i="49"/>
  <c r="H19" i="49"/>
  <c r="L19" i="49"/>
  <c r="P19" i="49"/>
  <c r="G19" i="49"/>
  <c r="K19" i="49"/>
  <c r="O19" i="49"/>
  <c r="J19" i="49"/>
  <c r="N19" i="49"/>
  <c r="R19" i="49"/>
  <c r="E193" i="46"/>
  <c r="J193" i="46"/>
  <c r="P49" i="46"/>
  <c r="Q49" i="46"/>
  <c r="Q193" i="46" s="1"/>
  <c r="Q195" i="46"/>
  <c r="Q198" i="46" s="1"/>
  <c r="Q24" i="46"/>
  <c r="Q39" i="46" s="1"/>
  <c r="N220" i="46"/>
  <c r="J29" i="28"/>
  <c r="R25" i="28"/>
  <c r="R27" i="28" s="1"/>
  <c r="R29" i="28" s="1"/>
  <c r="J8" i="46"/>
  <c r="J21" i="46" s="1"/>
  <c r="J24" i="46"/>
  <c r="J39" i="46" s="1"/>
  <c r="P222" i="46"/>
  <c r="O195" i="46"/>
  <c r="O198" i="46" s="1"/>
  <c r="Q11" i="46"/>
  <c r="R152" i="47"/>
  <c r="R166" i="47" s="1"/>
  <c r="R45" i="47"/>
  <c r="Q23" i="47"/>
  <c r="Q61" i="47"/>
  <c r="Q27" i="47"/>
  <c r="O13" i="46"/>
  <c r="R196" i="46"/>
  <c r="J220" i="46"/>
  <c r="N8" i="46"/>
  <c r="N21" i="46" s="1"/>
  <c r="Q14" i="46"/>
  <c r="Q10" i="46"/>
  <c r="R8" i="45"/>
  <c r="R20" i="45" s="1"/>
  <c r="P201" i="46"/>
  <c r="P200" i="46" s="1"/>
  <c r="H22" i="47"/>
  <c r="Q22" i="47" s="1"/>
  <c r="R60" i="47"/>
  <c r="R123" i="47"/>
  <c r="R140" i="47" s="1"/>
  <c r="R28" i="47"/>
  <c r="Q24" i="47"/>
  <c r="P103" i="46"/>
  <c r="R51" i="47"/>
  <c r="H45" i="47"/>
  <c r="Q45" i="47" s="1"/>
  <c r="Q26" i="47"/>
  <c r="H60" i="47"/>
  <c r="Q60" i="47" s="1"/>
  <c r="P46" i="46"/>
  <c r="D51" i="46"/>
  <c r="P51" i="46" s="1"/>
  <c r="R22" i="47"/>
  <c r="R19" i="47"/>
  <c r="R179" i="47"/>
  <c r="R215" i="47" s="1"/>
  <c r="Q124" i="47"/>
  <c r="Q123" i="47" s="1"/>
  <c r="Q140" i="47" s="1"/>
  <c r="P55" i="46"/>
  <c r="P129" i="46"/>
  <c r="P78" i="46"/>
  <c r="P135" i="46"/>
  <c r="P143" i="46"/>
  <c r="M224" i="46"/>
  <c r="M226" i="46" s="1"/>
  <c r="K29" i="28"/>
  <c r="R197" i="46"/>
  <c r="L29" i="28"/>
  <c r="O29" i="28"/>
  <c r="P195" i="46"/>
  <c r="P198" i="46" s="1"/>
  <c r="F19" i="49"/>
  <c r="P50" i="46"/>
  <c r="M29" i="28"/>
  <c r="I29" i="28"/>
  <c r="N29" i="28"/>
  <c r="P99" i="46"/>
  <c r="P72" i="46"/>
  <c r="P52" i="46"/>
  <c r="H51" i="47"/>
  <c r="Q51" i="47" s="1"/>
  <c r="H123" i="47"/>
  <c r="H140" i="47" s="1"/>
  <c r="H28" i="47"/>
  <c r="Q28" i="47" s="1"/>
  <c r="R223" i="46"/>
  <c r="R222" i="46" s="1"/>
  <c r="O9" i="46"/>
  <c r="N24" i="46"/>
  <c r="N39" i="46" s="1"/>
  <c r="E220" i="46"/>
  <c r="E222" i="46"/>
  <c r="D222" i="46"/>
  <c r="F223" i="46"/>
  <c r="I24" i="46"/>
  <c r="C222" i="46"/>
  <c r="S38" i="30"/>
  <c r="R38" i="30"/>
  <c r="Q38" i="30"/>
  <c r="S32" i="30"/>
  <c r="R32" i="30"/>
  <c r="Q32" i="30"/>
  <c r="S16" i="30"/>
  <c r="R65" i="47" l="1"/>
  <c r="I39" i="46"/>
  <c r="I224" i="46" s="1"/>
  <c r="I226" i="46" s="1"/>
  <c r="D193" i="46"/>
  <c r="J224" i="46"/>
  <c r="J226" i="46" s="1"/>
  <c r="O11" i="46"/>
  <c r="O8" i="46" s="1"/>
  <c r="P8" i="45"/>
  <c r="R22" i="45"/>
  <c r="M218" i="47"/>
  <c r="M220" i="47" s="1"/>
  <c r="L218" i="47"/>
  <c r="L220" i="47" s="1"/>
  <c r="K218" i="47"/>
  <c r="K220" i="47" s="1"/>
  <c r="I218" i="47"/>
  <c r="I220" i="47" s="1"/>
  <c r="O218" i="47"/>
  <c r="O220" i="47" s="1"/>
  <c r="N218" i="47"/>
  <c r="N220" i="47" s="1"/>
  <c r="J218" i="47"/>
  <c r="J220" i="47" s="1"/>
  <c r="Q8" i="46"/>
  <c r="Q21" i="46" s="1"/>
  <c r="Q224" i="46" s="1"/>
  <c r="E8" i="46"/>
  <c r="E21" i="46" s="1"/>
  <c r="F179" i="47"/>
  <c r="F215" i="47" s="1"/>
  <c r="F123" i="47"/>
  <c r="F140" i="47" s="1"/>
  <c r="F51" i="47"/>
  <c r="F45" i="47"/>
  <c r="F60" i="47"/>
  <c r="R9" i="30"/>
  <c r="P26" i="46"/>
  <c r="F152" i="47"/>
  <c r="N224" i="46"/>
  <c r="N226" i="46" s="1"/>
  <c r="R195" i="46"/>
  <c r="F22" i="47"/>
  <c r="F28" i="47"/>
  <c r="F19" i="47"/>
  <c r="F222" i="46"/>
  <c r="S40" i="30"/>
  <c r="S42" i="30" s="1"/>
  <c r="P38" i="30"/>
  <c r="M38" i="30"/>
  <c r="J38" i="30"/>
  <c r="J40" i="30" s="1"/>
  <c r="J42" i="30" s="1"/>
  <c r="I22" i="45"/>
  <c r="O22" i="45"/>
  <c r="L22" i="45"/>
  <c r="M32" i="30"/>
  <c r="N32" i="30"/>
  <c r="O32" i="30"/>
  <c r="P32" i="30"/>
  <c r="P16" i="30"/>
  <c r="M16" i="30"/>
  <c r="E24" i="46"/>
  <c r="E39" i="46" s="1"/>
  <c r="F65" i="47" l="1"/>
  <c r="Q226" i="46"/>
  <c r="P20" i="45"/>
  <c r="P22" i="45" s="1"/>
  <c r="F166" i="47"/>
  <c r="C8" i="46"/>
  <c r="F49" i="46"/>
  <c r="R218" i="47"/>
  <c r="R220" i="47" s="1"/>
  <c r="Q14" i="30"/>
  <c r="O72" i="46"/>
  <c r="R72" i="46" s="1"/>
  <c r="T71" i="46" s="1"/>
  <c r="F72" i="46"/>
  <c r="O125" i="46"/>
  <c r="R125" i="46" s="1"/>
  <c r="O46" i="46"/>
  <c r="H25" i="28"/>
  <c r="H27" i="28" s="1"/>
  <c r="H29" i="28" s="1"/>
  <c r="Q25" i="28"/>
  <c r="Q27" i="28" s="1"/>
  <c r="Q29" i="28" s="1"/>
  <c r="R13" i="30"/>
  <c r="P30" i="46"/>
  <c r="P24" i="47"/>
  <c r="C50" i="46"/>
  <c r="P26" i="47"/>
  <c r="C52" i="46"/>
  <c r="O201" i="46"/>
  <c r="F201" i="46"/>
  <c r="F200" i="46" s="1"/>
  <c r="O78" i="46"/>
  <c r="R78" i="46" s="1"/>
  <c r="T77" i="46" s="1"/>
  <c r="F78" i="46"/>
  <c r="R8" i="30"/>
  <c r="P25" i="46"/>
  <c r="P158" i="46"/>
  <c r="P193" i="46" s="1"/>
  <c r="Q13" i="30"/>
  <c r="O87" i="46"/>
  <c r="R87" i="46" s="1"/>
  <c r="T86" i="46" s="1"/>
  <c r="F87" i="46"/>
  <c r="R198" i="46"/>
  <c r="E224" i="46"/>
  <c r="E226" i="46" s="1"/>
  <c r="G60" i="47"/>
  <c r="P60" i="47" s="1"/>
  <c r="S60" i="47" s="1"/>
  <c r="T60" i="47" s="1"/>
  <c r="G45" i="47"/>
  <c r="P45" i="47" s="1"/>
  <c r="S45" i="47" s="1"/>
  <c r="T45" i="47" s="1"/>
  <c r="Q180" i="47"/>
  <c r="P61" i="47"/>
  <c r="Q152" i="47"/>
  <c r="Q166" i="47" s="1"/>
  <c r="H152" i="47"/>
  <c r="H166" i="47" s="1"/>
  <c r="P52" i="47"/>
  <c r="P124" i="47"/>
  <c r="P20" i="47"/>
  <c r="M40" i="30"/>
  <c r="M42" i="30" s="1"/>
  <c r="P40" i="30"/>
  <c r="P42" i="30" s="1"/>
  <c r="O38" i="30"/>
  <c r="N38" i="30"/>
  <c r="L38" i="30"/>
  <c r="K38" i="30"/>
  <c r="I38" i="30"/>
  <c r="H38" i="30"/>
  <c r="G38" i="30"/>
  <c r="L32" i="30"/>
  <c r="K32" i="30"/>
  <c r="I32" i="30"/>
  <c r="H32" i="30"/>
  <c r="G32" i="30"/>
  <c r="F32" i="30"/>
  <c r="G13" i="30" l="1"/>
  <c r="R201" i="46"/>
  <c r="R200" i="46" s="1"/>
  <c r="O200" i="46"/>
  <c r="P180" i="47"/>
  <c r="O49" i="46"/>
  <c r="R49" i="46" s="1"/>
  <c r="F99" i="46"/>
  <c r="O143" i="46"/>
  <c r="R143" i="46" s="1"/>
  <c r="P31" i="46"/>
  <c r="P23" i="47"/>
  <c r="G19" i="47"/>
  <c r="F218" i="47"/>
  <c r="F220" i="47" s="1"/>
  <c r="G22" i="47"/>
  <c r="P22" i="47" s="1"/>
  <c r="S22" i="47" s="1"/>
  <c r="T22" i="47" s="1"/>
  <c r="Q9" i="30"/>
  <c r="G9" i="30" s="1"/>
  <c r="P12" i="46"/>
  <c r="F12" i="46"/>
  <c r="R46" i="46"/>
  <c r="T45" i="46" s="1"/>
  <c r="Q8" i="30"/>
  <c r="G8" i="30" s="1"/>
  <c r="P27" i="47"/>
  <c r="C53" i="46"/>
  <c r="P123" i="47"/>
  <c r="Q179" i="47"/>
  <c r="Q215" i="47" s="1"/>
  <c r="O103" i="46"/>
  <c r="R103" i="46" s="1"/>
  <c r="O52" i="46"/>
  <c r="R52" i="46" s="1"/>
  <c r="F52" i="46"/>
  <c r="O31" i="46"/>
  <c r="G123" i="47"/>
  <c r="G140" i="47" s="1"/>
  <c r="G25" i="28"/>
  <c r="G27" i="28" s="1"/>
  <c r="G29" i="28" s="1"/>
  <c r="O135" i="46"/>
  <c r="R135" i="46" s="1"/>
  <c r="P25" i="47"/>
  <c r="C51" i="46"/>
  <c r="O30" i="46"/>
  <c r="R30" i="46" s="1"/>
  <c r="F30" i="46"/>
  <c r="O50" i="46"/>
  <c r="R50" i="46" s="1"/>
  <c r="F50" i="46"/>
  <c r="H179" i="47"/>
  <c r="H215" i="47" s="1"/>
  <c r="H19" i="47"/>
  <c r="H65" i="47" s="1"/>
  <c r="G51" i="47"/>
  <c r="P51" i="47" s="1"/>
  <c r="S51" i="47" s="1"/>
  <c r="T51" i="47" s="1"/>
  <c r="G179" i="47"/>
  <c r="G215" i="47" s="1"/>
  <c r="N22" i="45"/>
  <c r="M22" i="45"/>
  <c r="K22" i="45"/>
  <c r="J22" i="45"/>
  <c r="G20" i="45"/>
  <c r="G22" i="45" s="1"/>
  <c r="F20" i="45"/>
  <c r="H16" i="30"/>
  <c r="H40" i="30" s="1"/>
  <c r="H42" i="30" s="1"/>
  <c r="F16" i="30"/>
  <c r="F38" i="30"/>
  <c r="L16" i="30"/>
  <c r="L40" i="30" s="1"/>
  <c r="L42" i="30" s="1"/>
  <c r="O16" i="30"/>
  <c r="O40" i="30" s="1"/>
  <c r="O42" i="30" s="1"/>
  <c r="N16" i="30"/>
  <c r="K16" i="30"/>
  <c r="K24" i="46"/>
  <c r="K39" i="46" s="1"/>
  <c r="L24" i="46"/>
  <c r="L39" i="46" s="1"/>
  <c r="H24" i="46"/>
  <c r="H39" i="46" s="1"/>
  <c r="G24" i="46"/>
  <c r="C21" i="46"/>
  <c r="O21" i="46"/>
  <c r="F25" i="28"/>
  <c r="P19" i="47" l="1"/>
  <c r="F22" i="45"/>
  <c r="P140" i="47"/>
  <c r="S140" i="47" s="1"/>
  <c r="T140" i="47" s="1"/>
  <c r="S123" i="47"/>
  <c r="T123" i="47" s="1"/>
  <c r="G39" i="46"/>
  <c r="C193" i="46"/>
  <c r="F27" i="28"/>
  <c r="F29" i="28" s="1"/>
  <c r="R14" i="30"/>
  <c r="O158" i="46"/>
  <c r="R158" i="46" s="1"/>
  <c r="G28" i="47"/>
  <c r="P28" i="47" s="1"/>
  <c r="D24" i="46"/>
  <c r="D39" i="46" s="1"/>
  <c r="P153" i="47"/>
  <c r="P152" i="47" s="1"/>
  <c r="F31" i="46"/>
  <c r="R31" i="46"/>
  <c r="I16" i="30"/>
  <c r="I40" i="30" s="1"/>
  <c r="I42" i="30" s="1"/>
  <c r="O129" i="46"/>
  <c r="R129" i="46" s="1"/>
  <c r="O99" i="46"/>
  <c r="R99" i="46" s="1"/>
  <c r="G152" i="47"/>
  <c r="G166" i="47" s="1"/>
  <c r="C24" i="46"/>
  <c r="P24" i="46"/>
  <c r="P39" i="46" s="1"/>
  <c r="Q16" i="30"/>
  <c r="H220" i="46"/>
  <c r="P25" i="28"/>
  <c r="P179" i="47"/>
  <c r="O25" i="46"/>
  <c r="F25" i="46"/>
  <c r="O26" i="46"/>
  <c r="R26" i="46" s="1"/>
  <c r="F26" i="46"/>
  <c r="D8" i="46"/>
  <c r="P9" i="46"/>
  <c r="P11" i="46"/>
  <c r="R11" i="46" s="1"/>
  <c r="F11" i="46"/>
  <c r="P10" i="46"/>
  <c r="F10" i="46"/>
  <c r="O53" i="46"/>
  <c r="R53" i="46" s="1"/>
  <c r="F53" i="46"/>
  <c r="P13" i="46"/>
  <c r="R13" i="46" s="1"/>
  <c r="F13" i="46"/>
  <c r="C200" i="46"/>
  <c r="O51" i="46"/>
  <c r="F51" i="46"/>
  <c r="P14" i="46"/>
  <c r="F14" i="46"/>
  <c r="R12" i="46"/>
  <c r="Q19" i="47"/>
  <c r="H218" i="47"/>
  <c r="H220" i="47" s="1"/>
  <c r="H22" i="45"/>
  <c r="Q8" i="45"/>
  <c r="F40" i="30"/>
  <c r="F42" i="30" s="1"/>
  <c r="D220" i="46"/>
  <c r="G220" i="46"/>
  <c r="K220" i="46"/>
  <c r="K40" i="30"/>
  <c r="K42" i="30" s="1"/>
  <c r="N40" i="30"/>
  <c r="N42" i="30" s="1"/>
  <c r="L220" i="46"/>
  <c r="L224" i="46" s="1"/>
  <c r="Q65" i="47" l="1"/>
  <c r="Q218" i="47" s="1"/>
  <c r="Q220" i="47" s="1"/>
  <c r="P65" i="47"/>
  <c r="G65" i="47"/>
  <c r="G218" i="47" s="1"/>
  <c r="G220" i="47" s="1"/>
  <c r="Q20" i="45"/>
  <c r="S20" i="45" s="1"/>
  <c r="T20" i="45" s="1"/>
  <c r="S28" i="47"/>
  <c r="T28" i="47" s="1"/>
  <c r="Q40" i="30"/>
  <c r="Q42" i="30" s="1"/>
  <c r="P215" i="47"/>
  <c r="S215" i="47" s="1"/>
  <c r="T215" i="47" s="1"/>
  <c r="S179" i="47"/>
  <c r="T179" i="47" s="1"/>
  <c r="P166" i="47"/>
  <c r="S166" i="47" s="1"/>
  <c r="T166" i="47" s="1"/>
  <c r="S152" i="47"/>
  <c r="T152" i="47" s="1"/>
  <c r="R16" i="30"/>
  <c r="R40" i="30" s="1"/>
  <c r="R42" i="30" s="1"/>
  <c r="G14" i="30"/>
  <c r="G16" i="30" s="1"/>
  <c r="S19" i="47"/>
  <c r="T19" i="47" s="1"/>
  <c r="K224" i="46"/>
  <c r="K226" i="46" s="1"/>
  <c r="P27" i="28"/>
  <c r="S25" i="28"/>
  <c r="G224" i="46"/>
  <c r="G226" i="46" s="1"/>
  <c r="H224" i="46"/>
  <c r="H226" i="46" s="1"/>
  <c r="O55" i="46"/>
  <c r="R55" i="46" s="1"/>
  <c r="T54" i="46" s="1"/>
  <c r="F55" i="46"/>
  <c r="F193" i="46" s="1"/>
  <c r="P220" i="46"/>
  <c r="D21" i="46"/>
  <c r="R14" i="46"/>
  <c r="O220" i="46"/>
  <c r="F8" i="46"/>
  <c r="F220" i="46"/>
  <c r="P8" i="46"/>
  <c r="P21" i="46" s="1"/>
  <c r="R9" i="46"/>
  <c r="R25" i="46"/>
  <c r="R24" i="46" s="1"/>
  <c r="R39" i="46" s="1"/>
  <c r="O24" i="46"/>
  <c r="O39" i="46" s="1"/>
  <c r="R51" i="46"/>
  <c r="T48" i="46" s="1"/>
  <c r="R10" i="46"/>
  <c r="F24" i="46"/>
  <c r="F39" i="46" s="1"/>
  <c r="L226" i="46"/>
  <c r="S65" i="47" l="1"/>
  <c r="T65" i="47" s="1"/>
  <c r="P218" i="47"/>
  <c r="S218" i="47" s="1"/>
  <c r="T218" i="47" s="1"/>
  <c r="Q22" i="45"/>
  <c r="R193" i="46"/>
  <c r="G40" i="30"/>
  <c r="G42" i="30" s="1"/>
  <c r="T16" i="30"/>
  <c r="U16" i="30" s="1"/>
  <c r="O193" i="46"/>
  <c r="O224" i="46" s="1"/>
  <c r="D224" i="46"/>
  <c r="D226" i="46" s="1"/>
  <c r="P29" i="28"/>
  <c r="S29" i="28" s="1"/>
  <c r="S27" i="28"/>
  <c r="P224" i="46"/>
  <c r="R220" i="46"/>
  <c r="R8" i="46"/>
  <c r="R21" i="46" s="1"/>
  <c r="P220" i="47" l="1"/>
  <c r="S220" i="47" s="1"/>
  <c r="T220" i="47" s="1"/>
  <c r="P226" i="46"/>
  <c r="R224" i="46"/>
  <c r="Q227" i="46" s="1"/>
  <c r="O226" i="46"/>
  <c r="F21" i="46"/>
  <c r="P227" i="46" l="1"/>
  <c r="O227" i="46"/>
  <c r="F224" i="46"/>
  <c r="F226" i="46" l="1"/>
  <c r="C220" i="46"/>
  <c r="C39" i="46"/>
  <c r="C224" i="46" l="1"/>
  <c r="C226" i="46" s="1"/>
</calcChain>
</file>

<file path=xl/sharedStrings.xml><?xml version="1.0" encoding="utf-8"?>
<sst xmlns="http://schemas.openxmlformats.org/spreadsheetml/2006/main" count="2237" uniqueCount="376">
  <si>
    <t>COSTO UNIT Bs.</t>
  </si>
  <si>
    <t>DETALLE</t>
  </si>
  <si>
    <t>CANTIDAD</t>
  </si>
  <si>
    <t>UNIDAD</t>
  </si>
  <si>
    <t>TOTAL Bs</t>
  </si>
  <si>
    <t>Global</t>
  </si>
  <si>
    <t>TOTAL Bs.</t>
  </si>
  <si>
    <t>TOTAL</t>
  </si>
  <si>
    <t>TOTALES</t>
  </si>
  <si>
    <t>Total Equipamiento de oficina</t>
  </si>
  <si>
    <t>Total Gastos de Capacitación</t>
  </si>
  <si>
    <t>Total Persona Fijo</t>
  </si>
  <si>
    <t>TOTAL PERSONAL</t>
  </si>
  <si>
    <t>AÑO   1</t>
  </si>
  <si>
    <t>AÑO   2</t>
  </si>
  <si>
    <t>SUBTOTAL INVERSIONES/ADQUISICIONES</t>
  </si>
  <si>
    <t>SUBTOTAL TOTAL PERSONAL</t>
  </si>
  <si>
    <t>SUBTOTAL GASTOS DE PROGRAMA</t>
  </si>
  <si>
    <t>SUBTOTAL ACTIVIDADES DEL PROYECTO</t>
  </si>
  <si>
    <t>TOTAL 
1 AÑO
Bs</t>
  </si>
  <si>
    <t>LED</t>
  </si>
  <si>
    <t>TOTAL 
3 AÑOS
Bs</t>
  </si>
  <si>
    <t xml:space="preserve">Total Actividad </t>
  </si>
  <si>
    <t>Total Actividad</t>
  </si>
  <si>
    <t>Total: auditoria, servicios, mantenimiento y funcionamiento de vehículos</t>
  </si>
  <si>
    <t>Capacitación</t>
  </si>
  <si>
    <t>AÑO   3</t>
  </si>
  <si>
    <t>TOTAL DOLARES</t>
  </si>
  <si>
    <t>Dir</t>
  </si>
  <si>
    <t>Reg</t>
  </si>
  <si>
    <t xml:space="preserve">Mun </t>
  </si>
  <si>
    <t>1. Inversiones/Adquisiciones</t>
  </si>
  <si>
    <t>2. Personal</t>
  </si>
  <si>
    <t>2.1 Personal Fijo</t>
  </si>
  <si>
    <t>2.2 Gastos de Capacitación</t>
  </si>
  <si>
    <t>3. Actividades del Proyecto</t>
  </si>
  <si>
    <t>1. INVERSIONES/ADQUISICIONES</t>
  </si>
  <si>
    <t>2. PERSONAL</t>
  </si>
  <si>
    <t>2.1. Personal Fijo (Sueldos incl. Prestaciones sociales)</t>
  </si>
  <si>
    <t>T/C USD</t>
  </si>
  <si>
    <t>Evaluación Externa</t>
  </si>
  <si>
    <t>3. GASTOS OPERATIVOS/ACTIVIDADES DEL PROYECTO</t>
  </si>
  <si>
    <t>IMPREVISTOS</t>
  </si>
  <si>
    <t>Imprevistos</t>
  </si>
  <si>
    <t>Total Inversiones/Adquisiciones  $US.</t>
  </si>
  <si>
    <t>TOTAL PERSONAL $US.</t>
  </si>
  <si>
    <t>Total actividades Bs.</t>
  </si>
  <si>
    <t xml:space="preserve">Total Actividades $us. </t>
  </si>
  <si>
    <t>Total Administración del proyecto Bs.</t>
  </si>
  <si>
    <t xml:space="preserve">Total Administracion del proyecto $us. </t>
  </si>
  <si>
    <t>(A N E X O 1)</t>
  </si>
  <si>
    <t>4. GASTOS DE VIAJE</t>
  </si>
  <si>
    <t>SUBTOTAL GASTOS DE VIAJE</t>
  </si>
  <si>
    <t>5. GASTOS ADMINISTRATIVOS O DE FUNCIONAMIENTO</t>
  </si>
  <si>
    <t>Total Gastos de Viaje</t>
  </si>
  <si>
    <t xml:space="preserve">Total Gastos de Viaje $us. </t>
  </si>
  <si>
    <t>2.1 Personal eventual o servicios externos</t>
  </si>
  <si>
    <t>Total Persona Eventual o servicios externos</t>
  </si>
  <si>
    <t>IPTK</t>
  </si>
  <si>
    <t>FINANCIADORES AÑO 1 (En $us.)</t>
  </si>
  <si>
    <t>FINANCIADORES AÑO 2 (En $us.)</t>
  </si>
  <si>
    <t>FINANCIADORES AÑO 3 (En $us.)</t>
  </si>
  <si>
    <t>TOTAL 3 AÑOS (En $us.)</t>
  </si>
  <si>
    <t>OTROS</t>
  </si>
  <si>
    <t xml:space="preserve">Resultado 1 </t>
  </si>
  <si>
    <t>Resultado 2</t>
  </si>
  <si>
    <t>Resultado 3</t>
  </si>
  <si>
    <t xml:space="preserve">Resultado 4 </t>
  </si>
  <si>
    <t>Resultado 5</t>
  </si>
  <si>
    <t>COSTE UNITARIO (Bs.)</t>
  </si>
  <si>
    <t>TOTAL (Bs.)</t>
  </si>
  <si>
    <t>Valorizado</t>
  </si>
  <si>
    <t>No valorizado</t>
  </si>
  <si>
    <t>PARTIDAS</t>
  </si>
  <si>
    <t xml:space="preserve">Descripción </t>
  </si>
  <si>
    <t>RESULTADO 1</t>
  </si>
  <si>
    <t>global</t>
  </si>
  <si>
    <t>meses</t>
  </si>
  <si>
    <t>unidades</t>
  </si>
  <si>
    <t>viajes</t>
  </si>
  <si>
    <t>unidad</t>
  </si>
  <si>
    <t>ferias</t>
  </si>
  <si>
    <t>RESULTADO 2</t>
  </si>
  <si>
    <t>RESULTADO 3</t>
  </si>
  <si>
    <t>RESULTADO 4</t>
  </si>
  <si>
    <t>RESULTADO 5</t>
  </si>
  <si>
    <t>ACTIVIDADES GENERALES</t>
  </si>
  <si>
    <t>AG.1  Recursos Humanos</t>
  </si>
  <si>
    <t xml:space="preserve">AG.2. Asistencia técnica a todas las acciones del proyecto </t>
  </si>
  <si>
    <t>Equipo de computación portatil</t>
  </si>
  <si>
    <t>Proyector multimedia</t>
  </si>
  <si>
    <t>Camára fotográfica digital</t>
  </si>
  <si>
    <t>Pack/año</t>
  </si>
  <si>
    <t>AG.3. Gastos generales y administrativos</t>
  </si>
  <si>
    <t>Tasas Bancarias</t>
  </si>
  <si>
    <t>Ropa de trabajo</t>
  </si>
  <si>
    <t xml:space="preserve">TOTAL GENERAL </t>
  </si>
  <si>
    <t>Auditoria proyecto</t>
  </si>
  <si>
    <t>Evaluación proyecto</t>
  </si>
  <si>
    <t>COSTES DIRECTOS</t>
  </si>
  <si>
    <t>Resultado 1</t>
  </si>
  <si>
    <t>Resultado 4</t>
  </si>
  <si>
    <t>CUADRO No 1:  PRESUPUESTO EN Bs.</t>
  </si>
  <si>
    <t>FINANCIADORES AÑO 1 (En Bs.)</t>
  </si>
  <si>
    <t>FINANCIADORES AÑO 2  (En Bs.)</t>
  </si>
  <si>
    <t>FINANCIADORES AÑO 3  (En Bs.)</t>
  </si>
  <si>
    <t>TOTAL 3 AÑOS (En Bs.)</t>
  </si>
  <si>
    <t>TOTAL 3 AÑOS  (En Bs.)</t>
  </si>
  <si>
    <t>Solicitado LED
(Bs.)</t>
  </si>
  <si>
    <t>IPTK (Bs.)</t>
  </si>
  <si>
    <t>MUNICIPIO
(Bs.)</t>
  </si>
  <si>
    <t>BENEFICIARIOS
(Bs.)</t>
  </si>
  <si>
    <t>TOTAL
(Bs.)</t>
  </si>
  <si>
    <t>TOTAL      ($us.)</t>
  </si>
  <si>
    <t>Solicitado LED
($us.)</t>
  </si>
  <si>
    <t>IPTK ($us.)</t>
  </si>
  <si>
    <t>MUNICIPIO
($us.)</t>
  </si>
  <si>
    <t>BENEFICIARIOS
($us.)</t>
  </si>
  <si>
    <t>TOTAL
($us.)</t>
  </si>
  <si>
    <t>5. Administración del proyecto</t>
  </si>
  <si>
    <t>2.2. Construcción de obras de recuperación y manejo del recurso suelo (terrazas de formación lenta y de banco, diques para el control de cárcavas, incorporación de abono orgánico)</t>
  </si>
  <si>
    <t>2.3. Asistencia técnica en la reposición y manejo de la cobertura vegetal (parcelas protegidas con cercos vivos, parcelas con protección en las riberas de los ríos, producción de plantines de especies forestales exóticas-nativas)</t>
  </si>
  <si>
    <t>2.4. Instalación y funcionamiento de  reservorios para agua de riego que disminuye la sobrecarga laboral de las mujeres</t>
  </si>
  <si>
    <t>2.6. Construcción de cocinas mejoradas</t>
  </si>
  <si>
    <t>2.7. Ferias educativas sobre medio ambiente con unidades educativas</t>
  </si>
  <si>
    <t>3.1. Diagnóstico de la economía de los  cuidados y talleres de retroalimentación</t>
  </si>
  <si>
    <t>3.2. Talleres de capacitación a mujeres y hombres en educación alimentaria nutricional (PROGRAMA PEAN) con perspectiva de Género</t>
  </si>
  <si>
    <t>3.3. Prácticas alimentarias para diversificar la dieta con alto valor nutritivo de las familias</t>
  </si>
  <si>
    <t>3.4. Ferias nutricionales para demostrar las propiedades nutricionales de la diversificación en la producción agrícola y degustar preparaciones alimentarias nutritivas</t>
  </si>
  <si>
    <t>4.2.  Desarrollo de talleres de formación en Liderazgo de mujeres y varones</t>
  </si>
  <si>
    <t>4.3. Realizar evaluación y seguimiento de los procesos de formación en liderazgo</t>
  </si>
  <si>
    <t>Actualización del material educativo (honorarios)</t>
  </si>
  <si>
    <t>módulos</t>
  </si>
  <si>
    <t xml:space="preserve">Material de escritorio </t>
  </si>
  <si>
    <t>Talleres</t>
  </si>
  <si>
    <t>Honorarios profesionales</t>
  </si>
  <si>
    <t xml:space="preserve">Material de enseñanza y escritorio </t>
  </si>
  <si>
    <t>Videos, fotografias y otro material educativo</t>
  </si>
  <si>
    <t>Maletines educativos</t>
  </si>
  <si>
    <t>maletines</t>
  </si>
  <si>
    <t>taller</t>
  </si>
  <si>
    <t>Material de enseñanza y escritorio</t>
  </si>
  <si>
    <t>reuniones</t>
  </si>
  <si>
    <t>Material de escritorio</t>
  </si>
  <si>
    <t>personas</t>
  </si>
  <si>
    <t xml:space="preserve">Material de enseñanza y escritorio  </t>
  </si>
  <si>
    <t>días</t>
  </si>
  <si>
    <t xml:space="preserve">Impresión material educativo </t>
  </si>
  <si>
    <t>ejemplares</t>
  </si>
  <si>
    <t xml:space="preserve">Insumos y materia prima </t>
  </si>
  <si>
    <t>pack/año</t>
  </si>
  <si>
    <t>Vídeos, fotografías y otro material educativo</t>
  </si>
  <si>
    <t>Sillas</t>
  </si>
  <si>
    <t>bolsas</t>
  </si>
  <si>
    <t>Tela (negro y blanco)</t>
  </si>
  <si>
    <t>rollos</t>
  </si>
  <si>
    <t>Hilo (blanco, rojo y negro)</t>
  </si>
  <si>
    <t>Repuestos</t>
  </si>
  <si>
    <t>Material de difusión, afiches, trípticos y otros</t>
  </si>
  <si>
    <t>Amplificación</t>
  </si>
  <si>
    <t>Insumos y premios para las ferias artesanales (lanas, telas y otros)</t>
  </si>
  <si>
    <t>planes</t>
  </si>
  <si>
    <t>Herramientas de trabajo (pìcos, palas, azadones, carrerillas)</t>
  </si>
  <si>
    <t>comunidad</t>
  </si>
  <si>
    <t>Semillas forestales   (5 kg/año x 980 bs)</t>
  </si>
  <si>
    <t>Plantines forestales</t>
  </si>
  <si>
    <t>Material vegetativo</t>
  </si>
  <si>
    <t>Tierra micorrizada</t>
  </si>
  <si>
    <t xml:space="preserve">Flete de transporte </t>
  </si>
  <si>
    <t>veces</t>
  </si>
  <si>
    <t>qq</t>
  </si>
  <si>
    <t>Kg/Lt</t>
  </si>
  <si>
    <t>kg</t>
  </si>
  <si>
    <t>camionadas</t>
  </si>
  <si>
    <t>Compra de reproductores criollos ovinos</t>
  </si>
  <si>
    <t>cabezas</t>
  </si>
  <si>
    <t>Compra de animales menores (aves de corral)</t>
  </si>
  <si>
    <t>aves</t>
  </si>
  <si>
    <t xml:space="preserve">Semilla mejorada de forraje </t>
  </si>
  <si>
    <t xml:space="preserve">Desparasitantes internos y externos </t>
  </si>
  <si>
    <t>Instrumental veterinario (jeringas, tijeras y otros)</t>
  </si>
  <si>
    <t xml:space="preserve">Construcción reservorios </t>
  </si>
  <si>
    <t>reservorios</t>
  </si>
  <si>
    <t>Alambre de puas</t>
  </si>
  <si>
    <t>Rollos</t>
  </si>
  <si>
    <t>Material educativo y enseñanza (cuadernos, bolígrafos, marcadores)</t>
  </si>
  <si>
    <t>Pack/viaje</t>
  </si>
  <si>
    <t>Insumos alimentarios</t>
  </si>
  <si>
    <t>prácticas</t>
  </si>
  <si>
    <t>Construcción de cocinas mejoradas</t>
  </si>
  <si>
    <t>cocinas</t>
  </si>
  <si>
    <t>Insumos para las ferias nutricionales</t>
  </si>
  <si>
    <t>Honorarios profesionales.</t>
  </si>
  <si>
    <t>Motocicleta</t>
  </si>
  <si>
    <t>litros</t>
  </si>
  <si>
    <t>Material de oficina y fotocopias</t>
  </si>
  <si>
    <t>Impresiones y formularios</t>
  </si>
  <si>
    <t>Filtros de agua Marca SAWYER modelo SP 180</t>
  </si>
  <si>
    <t>Camioneta (4x4) de campo</t>
  </si>
  <si>
    <t>Motocicletas</t>
  </si>
  <si>
    <t>Mantenimiento (3 veces x 1200 bs x 6 x 3 años)</t>
  </si>
  <si>
    <t>Combustible (240 días x 5 litros x 3,74 x 6 motorizados)</t>
  </si>
  <si>
    <t>Alquiler oficinas Macha</t>
  </si>
  <si>
    <t>Elaboración Banner de visibilización</t>
  </si>
  <si>
    <t>letreros</t>
  </si>
  <si>
    <t>banner</t>
  </si>
  <si>
    <t>auditorias</t>
  </si>
  <si>
    <t>evaluación</t>
  </si>
  <si>
    <t>Alquiler oficinas bases operativas en Titiri y Kellu K´asa</t>
  </si>
  <si>
    <t>Telefono/ Fax /courrier (800 Bs x 36 meses)</t>
  </si>
  <si>
    <t>Energía eléctrica, agua  (800 bs x 36 meses)</t>
  </si>
  <si>
    <t>Mantenimiento equipos (computadoras, data, camara)</t>
  </si>
  <si>
    <t>Seguros vehículo (1 camioneta x 3 años x 4000 Bs.)</t>
  </si>
  <si>
    <t>Seguros motocicletas  (5 motocicletas x 3 años x 800 Bs.)</t>
  </si>
  <si>
    <t>Refacción ofcinas centrales en  Macha</t>
  </si>
  <si>
    <t>Construcción letreros (muros)</t>
  </si>
  <si>
    <t>Alambre de puas proteccion de huertos</t>
  </si>
  <si>
    <t>Bolillos (22 comunidades x 40 bolillos)</t>
  </si>
  <si>
    <t>Malla de alambre gallineros (0,90 m x 40 m)</t>
  </si>
  <si>
    <t>Viáticos</t>
  </si>
  <si>
    <t>organizaciones</t>
  </si>
  <si>
    <t>Máquinas de confección y bordados</t>
  </si>
  <si>
    <t>Telares, bastidores, awachas</t>
  </si>
  <si>
    <t>Insumos confeccion y bordados (lanas, bolsas, planchas y otros)</t>
  </si>
  <si>
    <t>5.3. Talleres de capacitación a las organizaciones de mujeres en producción artesanal (textiles, telares tradicionales, confección de bordados)</t>
  </si>
  <si>
    <t>5.4. Apoyar en el proceso de producción textiles, telares tradicionales, confección de bordados</t>
  </si>
  <si>
    <t>5.5. Desarrollo de ferias artesanales</t>
  </si>
  <si>
    <t>AG.5. Evaluación financiera y de actividades</t>
  </si>
  <si>
    <t>AG.4. Gastos de capacitación al personal</t>
  </si>
  <si>
    <t>Pasajes</t>
  </si>
  <si>
    <t>año</t>
  </si>
  <si>
    <t>Productos fitosanitarios ecológicos para cultivos  (30 kg/lt x 250 bs x 3 años)</t>
  </si>
  <si>
    <t>Kg/lt</t>
  </si>
  <si>
    <t>Semilla mejorada de oca  (0,125 qq)</t>
  </si>
  <si>
    <t>Semilla mejorada de maíz (0,125 qq)</t>
  </si>
  <si>
    <t>Semilla mejorada de trigo (0,125 qq)</t>
  </si>
  <si>
    <t>Semilla mejorada de haba (0,125 qq)</t>
  </si>
  <si>
    <t>Semilla mejorada de papa  (0,5 qq/flia)</t>
  </si>
  <si>
    <t>Semilla de hortalizas (700 bs x 60 kg)</t>
  </si>
  <si>
    <t>Productos fitosanitarios ecológicos para huertos (15 kg/lt x 250 bs x 3 años)</t>
  </si>
  <si>
    <t>Alimentación viajes de intercambio (3 días x 25 personas x 40 Bs x 3 veces )</t>
  </si>
  <si>
    <t>Abono orgánico vegetal</t>
  </si>
  <si>
    <t>Bolsas tipo manga (200 kg x 75 bs )</t>
  </si>
  <si>
    <t>Material de difusión, afiches, trípticos y otros (12 ferias)</t>
  </si>
  <si>
    <t>Estantes</t>
  </si>
  <si>
    <t>Mesas</t>
  </si>
  <si>
    <t>Material de construcción</t>
  </si>
  <si>
    <t>5.2. Refacción  de los centros artesanales de mujeres.</t>
  </si>
  <si>
    <t>centros</t>
  </si>
  <si>
    <t>jornales</t>
  </si>
  <si>
    <t>Material de enseñanza y escritorio a 4 organizaciones de mujeres x 3 años</t>
  </si>
  <si>
    <t>Impresión cartillas en telares</t>
  </si>
  <si>
    <t>Impresión cartillas en corte y confeccion bordados</t>
  </si>
  <si>
    <t>Centros Artesanal en Telares</t>
  </si>
  <si>
    <t>Centro Corte Confección y Bordados</t>
  </si>
  <si>
    <t>Bolsas de lana x 3 años</t>
  </si>
  <si>
    <t>Pago matrícula personal proyecto - cursos</t>
  </si>
  <si>
    <t>Alojamiento</t>
  </si>
  <si>
    <t>dias</t>
  </si>
  <si>
    <t>Imprevistos (2%)</t>
  </si>
  <si>
    <t>Alimentación (22 reuniones x 25 part x 8 Bs)</t>
  </si>
  <si>
    <t>Alimentación capacitación agrícola  (2 talleres x 22 com x 20 part x 20 Bs)</t>
  </si>
  <si>
    <t>Herramientas de trabajo e Instrumental agrícola (mochilas, picos, palas y otros)</t>
  </si>
  <si>
    <t>Estiércol de ovino  huertos (22 camionadas x 1600 bs x 3 años)</t>
  </si>
  <si>
    <t>Herramientas de trabajo e Instrumental para huertos(regaderas, mangueras, mochilas, podadoras y otros)</t>
  </si>
  <si>
    <t>Alimentaciíon capacitación pecuaria  (1 taller x 22 com x 20 part x 20 Bs)</t>
  </si>
  <si>
    <t>Antibióticos, vacunas y reconstituyentes</t>
  </si>
  <si>
    <t>Pasajes (3 viajes x 25 personas x 200 Bs)</t>
  </si>
  <si>
    <t>Alojamiento (2 días x 25 personas x 40 Bs x 3 veces)</t>
  </si>
  <si>
    <t>Malla mílimetrica (4 rollos de 100 mt x 3000 bs)</t>
  </si>
  <si>
    <t>Bolillos (44 reservorios X 8 bolillos)</t>
  </si>
  <si>
    <t>Bidomes de 20 lt.</t>
  </si>
  <si>
    <t>Incentivos  (material escolar y educativo)</t>
  </si>
  <si>
    <t>Material de difusión, afiches, trípticos y otros (9 ferias)</t>
  </si>
  <si>
    <t>Alimentación talleres de corresponsabiliad (4 talleres sub centralías  x 25 part x 20 Bs.)</t>
  </si>
  <si>
    <t>Alimentación capacitación educación alimentaria nutricional  (8 talleres x 4 subcentralias x 30 part x 20 Bs.)</t>
  </si>
  <si>
    <t>Incentivos  (alimentos, baldes  y menaje de cocina)</t>
  </si>
  <si>
    <t>Alimentación (8 modulos x 22 part x 30 Bs x 2 días x 2 años)</t>
  </si>
  <si>
    <t>Pasajes tramitación Potosí</t>
  </si>
  <si>
    <t>Alojamiento (3 días x 1 persona x 50 Bs) Potosí</t>
  </si>
  <si>
    <t>Viaticos (9 días x 100 Bs) Potosí</t>
  </si>
  <si>
    <t>Honorarios profesionales telares (40 talleres x 500 Bs)</t>
  </si>
  <si>
    <t>Alimentación (20 talleres telares x 15 part. x 20 Bs x 2 año)</t>
  </si>
  <si>
    <t>Alimentación (12 talleres corte y confeccion bordados x 15 part. x 20 Bs x 2 año)</t>
  </si>
  <si>
    <t>Honorarios profesionales corte y confeccion bordados (24 talleres x 500 Bs)</t>
  </si>
  <si>
    <t>Alimentación (1 feria x 4 sub centralias x 20 part. x 15 bs x 3 años y 1 distrital)</t>
  </si>
  <si>
    <t>Tramites de documentación legal organizaciones de mujeres</t>
  </si>
  <si>
    <t>2.2</t>
  </si>
  <si>
    <t>2.1</t>
  </si>
  <si>
    <t>Chalecos de identificación lideresas y lideres</t>
  </si>
  <si>
    <t>Contrato albañil (3 jornales/centro)</t>
  </si>
  <si>
    <t>2.5. Instalación y funcionamiento de  filtros comunales de agua para consumo de agua potable</t>
  </si>
  <si>
    <t>Bidones de 20 lt.</t>
  </si>
  <si>
    <t>IPTK
(Bs.)</t>
  </si>
  <si>
    <t>OTROS
(Bs.)</t>
  </si>
  <si>
    <t>IPTK
($us.)</t>
  </si>
  <si>
    <t>OTROS
($us.)</t>
  </si>
  <si>
    <t>Mantenimiento vehiculos  (3 veces x 1200 bs x 6 x 3 años)</t>
  </si>
  <si>
    <t>Material de trabajo asistencia técnica (fotocopias, hojas, tinta y otros)</t>
  </si>
  <si>
    <t>5.2. Refacción  de los centros artesanales de mujeres</t>
  </si>
  <si>
    <r>
      <t xml:space="preserve">Actividad 2.2: Construcción de obras de recuperación y manejo del recurso suelo (terrazas de formación lenta y de banco, diques para el control de cárcavas, incorporación de abono orgánico).                                                                                                 </t>
    </r>
    <r>
      <rPr>
        <b/>
        <sz val="10"/>
        <color rgb="FF993300"/>
        <rFont val="Arial"/>
        <family val="2"/>
      </rPr>
      <t xml:space="preserve">Dentro las prácticas a llevarse a cabo la recuperación y conservación del recurso Suelo se van a consideran:
- Terrazas de formación lenta.
- Terrazas de banco.
- Mejorar la fertilidad de las parcelas de cultivo.
</t>
    </r>
  </si>
  <si>
    <r>
      <t xml:space="preserve">Actividad 2.3: Asistencia técnica en la reposición y manejo de la cobertura vegetal (parcelas protegidas con cercos vivos, parcelas con protección en las riberas de los ríos, producción de plantines de especies forestales exóticas-nativas).           </t>
    </r>
    <r>
      <rPr>
        <b/>
        <sz val="10"/>
        <color rgb="FF993300"/>
        <rFont val="Arial"/>
        <family val="2"/>
      </rPr>
      <t>El equipo técnico del proyecto realizará la asistencia técnica en la reposición y manejo de la cobertura vegetal (parcelas protegidas con cercos vivos, parcelas con protección en las riberas de los ríos, producción de plantines de especies forestales exóticas-nativas), como:
- Protección de parcelas con cercos vivos.
- Apoyar en la producción de plantines forestales.
- Establecimiento de pequeños bosquetes.</t>
    </r>
    <r>
      <rPr>
        <b/>
        <i/>
        <sz val="10"/>
        <color rgb="FF993300"/>
        <rFont val="Arial"/>
        <family val="2"/>
      </rPr>
      <t xml:space="preserve">
</t>
    </r>
  </si>
  <si>
    <r>
      <t xml:space="preserve">Actividad 2.4: Instalación y funcionamiento de  reservorios para agua de riego que disminuye la sobrecarga laboral de las mujeres.                                                                                                                                                                                                 </t>
    </r>
    <r>
      <rPr>
        <b/>
        <sz val="10"/>
        <color rgb="FF993300"/>
        <rFont val="Arial"/>
        <family val="2"/>
      </rPr>
      <t>Se desarrollará la construcción de 44 reservorios para la captación de agua para riego, alimentación para el ganado, donde se tendrá la participación de las familias beneficiarias con su contraparte de mano de obra y materiales locales.
La disponibilidad de agua de riego para los cultivos en las comunidades es insuficiente, esto se debe principalmente al desequilibrio ecológico que existe, el mismo que se va agravando cada vez más, para esto se debe cuidar y mantener las vertientes que existen en la zona, a través de la construcción de pequeñas presas o reservorios, como un complemento de manejo de vertientes.</t>
    </r>
    <r>
      <rPr>
        <b/>
        <i/>
        <sz val="10"/>
        <color rgb="FF993300"/>
        <rFont val="Arial"/>
        <family val="2"/>
      </rPr>
      <t xml:space="preserve">
</t>
    </r>
  </si>
  <si>
    <r>
      <t xml:space="preserve">Actividad 2.5: Instalación y funcionamiento de  filtros comunales de agua potable para consumo.                                                                                                                                                                                                                                                                </t>
    </r>
    <r>
      <rPr>
        <b/>
        <sz val="10"/>
        <color rgb="FF993300"/>
        <rFont val="Arial"/>
        <family val="2"/>
      </rPr>
      <t xml:space="preserve">Se realizará la instalación de 44 filtros de agua familiares destinados para el consumo de  las familias, que va permitir la disminución de enfermedades gastrointestinales. Se instalarán en conexiones de los 44 reservorios, de los cuales las demás familias podrán disponer de agua potable para su consumo siendo entregado bidones para su almacenamiento.
Para lo cual se tendrá la participación y contraparte de las familias beneficiarias con su aporte de mano de obra. Se organizará a las comunidades en Comités de agua con el fin de que serán los responsables de velar por el mantenimiento y funcionamiento de los mismos.   </t>
    </r>
    <r>
      <rPr>
        <b/>
        <i/>
        <sz val="10"/>
        <color rgb="FF993300"/>
        <rFont val="Arial"/>
        <family val="2"/>
      </rPr>
      <t xml:space="preserve">
</t>
    </r>
  </si>
  <si>
    <r>
      <t xml:space="preserve">Actividad 2.6: Construcción de cocinas mejoradas.                                                                                                                                                                                                                                                                                                                                                                                                              </t>
    </r>
    <r>
      <rPr>
        <b/>
        <sz val="10"/>
        <color rgb="FF993300"/>
        <rFont val="Arial"/>
        <family val="2"/>
      </rPr>
      <t>Se realizará la construcción de 44 cocinas mejoradas, con material local (adobes), que va permitir disminuir las enfermedades respiratorias y oculares de las mujeres. La construcción de cocinas mejoradas en las 22 comunidades de intervención, han resultado apropiadas y replicables hacia otras comunidades, esto se debe principalmente por los beneficios que brinda a las familias campesinas, que permiten ahorrar leña, cocción rápida de los alimentos e inhalación del humo favoreciendo así a la salud humana y el gasto de energético de la mujer (menor traslado de leña).
Se implementarán 44 cocinas mejoradas, las mismas consistirán en habilitar un pequeño cuarto como cocina si es que no tuvieran, la misma que contará con una chimenea conectada a las conchas (hornillas de barro) que usualmente realiza el agricultor. Esto contribuirá a una menor inhalación de humo que afecta significativamente a la mujer y a los niños y niñas, se disminuye el trabajo de la mujer en la preparación de alimentos y acarreo de leña, como así mismo a un menor uso de leña. De esta forma se amortiguará de alguna manera la pérdida gradual de la cobertura vegetal. Estas cocinas también se harán un pequeño revoque para que esté en buenas condiciones.</t>
    </r>
    <r>
      <rPr>
        <b/>
        <i/>
        <sz val="10"/>
        <color rgb="FF993300"/>
        <rFont val="Arial"/>
        <family val="2"/>
      </rPr>
      <t xml:space="preserve">
</t>
    </r>
  </si>
  <si>
    <r>
      <t xml:space="preserve">Actividad 2.7: Ferias educativas sobre medio ambiente con unidades educativas.                                                                                                                                                                                                                                                                                              </t>
    </r>
    <r>
      <rPr>
        <b/>
        <sz val="10"/>
        <color rgb="FF993300"/>
        <rFont val="Arial"/>
        <family val="2"/>
      </rPr>
      <t>Se realizarán 9 ferias educativas sobre medio ambiente en las unidades educativas de distrito de Macha y las 4 subcentralías de Titiri, Queojo, QuelluKasa y Palcoyu con la participación de los/as estudiantes de las 9 unidades educativas, donde se dotarán de incentivos educativos a los más destacados. Esta actividad se lleva a cabo con el fin de sensibilizar y concientizar a la población sobre la problemática ambiental.</t>
    </r>
  </si>
  <si>
    <r>
      <t xml:space="preserve">Actividad 3.1: Diagnóstico de la economía de los  cuidados y talleres de retroalimentación.                                                                                                                                                                                                                                                                                                </t>
    </r>
    <r>
      <rPr>
        <b/>
        <sz val="10"/>
        <color rgb="FF993300"/>
        <rFont val="Arial"/>
        <family val="2"/>
      </rPr>
      <t>En los primeros 3 meses del proyecto, se va realizar la Convocatoria y selección de la Consultora para la elaboración del Diagnóstico de la economía de los cuidados. Los 3 primeros meses, la consultora levantará información de la situación de las familias de las 22 comunidades sobre la economía de los cuidados en la seguridad alimentaria. Siendo importante la elaboración del Diagnóstico sobre la economía de los cuidados, ya que en la actualidad y a nivel mundial, la gran mayoría de las contribuciones al cuidado es realizada desde el ámbito doméstico y por las mujeres. La división sexual del trabajo, establecida por el sistema patriarcal, les asigna esta responsabilidad en función de su rol biológico, y hace a su vez, que muchos de los hombres se desentiendan de su propio cuidado o no asuman las responsabilidades en el cuidado de otras personas. Para alcanzar el objetivo se va contratar los servicios de un/a Consultor/a especialista en género, quienes a través de talleres participativos recogerá la información necesaria para la sistematización del documento.</t>
    </r>
    <r>
      <rPr>
        <b/>
        <i/>
        <sz val="10"/>
        <color rgb="FF993300"/>
        <rFont val="Arial"/>
        <family val="2"/>
      </rPr>
      <t xml:space="preserve">
</t>
    </r>
  </si>
  <si>
    <t xml:space="preserve">Actividad 3.2: Talleres de capacitación a mujeres y hombres en educación alimentaria nutricional (PROGRAMA PEAN) con perspectiva de Género.                                                                                                                                                                          Para el desarrollo de los 32 talleres de capacitación a familias en educación alimentaria nutricional (4 subcentralías x 8 módulos) se realizará la impresión del material educativo para ser entregado a cada uno/a de los participantes. Así mismo se va dotar de alimentación, material de enseñanza y escritorio, alquiler de local para eventos, videos, fotografías y otro material educativo. Los talleres los realizará el/la  Técnico/a en nutrición. Esta actividad está dirigida a mujeres y varones de las familias beneficiarias del proyecto. Todas las actividades anteriores se enmarcan en garantizar la seguridad alimentaria y nutricional. Siendo los módulos de capacitación los siguientes:
Módulo I: Alimentación y su relación con la salud.
Módulo II: Seguridad alimentaria nutricional y soberanía alimentaria.
Módulo III: Consumo de alimentos.
Módulo IV: Alimentación adecuada a las diferentes etapas de la vida y estados fisiológicos.
Módulo V: Utilización biológica de los nutrientes.
Módulo VI: Principales problemas nutricionales en el país.
Módulo VII: Derecho humano a la alimentación adecuada y al bienestar nutricional.
Módulo VIII: Aspectos de género que intervienen en la desnutrición de mujeres y niñas.
</t>
  </si>
  <si>
    <r>
      <t xml:space="preserve">Actividad 3.3: Prácticas alimentarias para diversificar la dieta con alto valor nutritivo de las familias.                                                                                                                                                                                                                                                            </t>
    </r>
    <r>
      <rPr>
        <b/>
        <sz val="10"/>
        <color rgb="FF993300"/>
        <rFont val="Arial"/>
        <family val="2"/>
      </rPr>
      <t>Una vez que las mujeres y varones conozcan sobre Educación alimentaria nutricional, y cuenten con disponibilidad de alimentos a partir de la diversificación de su producción agropecuaria, se realizarán 96 prácticas (4 subcentralías *8 prácticas x 3 años) en la preparación de alimentos con la incorporación de nuevos productos, como ser las hortalizas y otros, pero también un incremento en el consumo de carne, e incluso huevo en la época de postura, y de esta manera puedan utilizar en su vida diaria estos alimentos, para lograr un consumo balanceado. Para realizar esta actividad las familias beneficiarias de las diferentes comunidades contarán con los insumos necesarios, para la preparación de los alimentos, empleando técnicas de manipuleo e higiene.
Como una estrategia de participación e involucramiento de los hombres de las comunidades, se trabajarán con ellos de forma separada en las reuniones comunales que ellos tienen normalmente, en estos espacios se propiciará para que estos también realicen las prácticas alimenticias y sean corresponsables en la alimentación de sus familias.</t>
    </r>
    <r>
      <rPr>
        <b/>
        <i/>
        <sz val="10"/>
        <color rgb="FF993300"/>
        <rFont val="Arial"/>
        <family val="2"/>
      </rPr>
      <t xml:space="preserve">
</t>
    </r>
  </si>
  <si>
    <r>
      <t xml:space="preserve">Actividad 3.4:  Ferias nutricionales para demostrar las propiedades nutricionales de la diversificación en la producción agrícola y degustar preparaciones alimentarias nutritivas.                                                                                                                                </t>
    </r>
    <r>
      <rPr>
        <b/>
        <sz val="10"/>
        <color rgb="FF993300"/>
        <rFont val="Arial"/>
        <family val="2"/>
      </rPr>
      <t>Se desarrollarán 12 ferias nutricionales (1 feria x 3 años x 4 subcentralías), que va permitir visibilizar e incentivar la buena alimentación y nutrición de las familias, se organizará de manera coordinada con las autoridades locales y el gobierno municipal de Colquechaca, para promover y fortalecer diferentes ferias nutricionales locales. En estos eventos los/as productores/as tendrán la oportunidad de promocionar e incentivar platos elaborados con productos nutritivos producidos en la zona, sensibilizando en la mejora de la dieta alimentaria.</t>
    </r>
  </si>
  <si>
    <r>
      <t xml:space="preserve">Actividad 4.2: Desarrollo de talleres de formación en Liderazgo de mujeres y varones                                                                                                                                                                                                                                                                                      </t>
    </r>
    <r>
      <rPr>
        <b/>
        <sz val="10"/>
        <color rgb="FF993300"/>
        <rFont val="Arial"/>
        <family val="2"/>
      </rPr>
      <t>Se elegirán en cada comunidad a hombres y mujeres representantes de organizacionales campesinas, autoridades locales y organizaciones de mujeres (1 mujer y 1 hombres por 22 comunidades) respaldadas por sus propias organizaciones en consenso y conformidad con el proyecto.
Para el desarrollo de los 16 cursos de formación (8 módulos x 2 años) se elaborará la convocatoria correspondiente con las especificaciones necesarias, como ser el objetivo, el lugar, fecha de inicio y culminación, los módulos a desarrollar, la carga horaria, la modalidad, los requisitos, inicio de inscripciones. En el primer año se realizarán los 8 talleres de formación para las 22 mujeres lideresas que representarán a las 22 comunidades. En el segundo año de igual forma se realizará los 8 talleres de formación en liderazgo para los 22 líderes potenciales.
Los 16 talleres de capacitación serán realizados de manera diferenciada (8 para hombres en el 2do año y 8 mujeres en el primer año bajo el sistema modular), con una duración promedio de 2 días por módulo.  Se realizará de preferencia los fines de semana, de acuerdo al horario que la población disponga previa planificación con ellos, cada taller tendrá un promedio de 22 participantes.</t>
    </r>
    <r>
      <rPr>
        <b/>
        <i/>
        <sz val="10"/>
        <color rgb="FF993300"/>
        <rFont val="Arial"/>
        <family val="2"/>
      </rPr>
      <t xml:space="preserve">
</t>
    </r>
  </si>
  <si>
    <r>
      <t xml:space="preserve">Actividad 4.3: Realizar evaluación y seguimiento de los procesos de formación en liderazgo                                                                                                                                                                                                                                                                                         </t>
    </r>
    <r>
      <rPr>
        <b/>
        <sz val="10"/>
        <color rgb="FF993300"/>
        <rFont val="Arial"/>
        <family val="2"/>
      </rPr>
      <t>Una vez concluida los eventos de capacitación en Liderazgo el responsable y equipo técnico del proyecto realizará los procesos de evaluación y seguimiento a los líderes y lideresas formados/as para conocer el grado de conocimiento adquiridos y los cambios generados a partir de la formación. Para lo cual se entregarán un test al inicio de cada evento de capacitación y a la culminación otro de evaluación, mediante los cuales podrán medir el cambio generado por los mismos.
Al inicio del proyecto el responsable del proyecto diseñará participativamente los instrumentos básicos para el seguimiento, tomando en cuenta el marco lógico,  el Plan operativo Anual y los Procedimientos, instrumentos y formatos para recolección y procesamiento de información. Así mismo se fijarán las periodicidades de las reuniones de seguimiento y envío de información. 
El seguimiento se realizara tanto a nivel técnico como financiero y se llevará a cabo a través de las siguientes acciones: Reuniones técnicas y visitas de campo a las comunidades donde se implementará el proyecto, complementadas con el envío constante de información y documentación contable relacionada con la ejecución del proyecto. 
Una vez concluidos los eventos de formación en liderazgo se realizarán los eventos de clausura y entrega de certificados, maletines y chalecos de identificación reconociendo el esfuerzo y compromiso, teniendo la participación de las autoridades municipales y subcentrales e institucionales</t>
    </r>
    <r>
      <rPr>
        <b/>
        <i/>
        <sz val="10"/>
        <color rgb="FF993300"/>
        <rFont val="Arial"/>
        <family val="2"/>
      </rPr>
      <t xml:space="preserve">
</t>
    </r>
  </si>
  <si>
    <r>
      <t>Actividad 5.2: Refacción  de los centros artesanales de mujeres.                                                                                                                                                                                                                                                                                                                                                  S</t>
    </r>
    <r>
      <rPr>
        <b/>
        <sz val="10"/>
        <color rgb="FF993300"/>
        <rFont val="Arial"/>
        <family val="2"/>
      </rPr>
      <t>e realizará la refacción de los 4 centros de mujeres, previa entrega de 4 ambientes por parte de la comunidad. Las familias participarán con su contraparte de mano de obra y entrega de materiales locales. Se dotarán de materiales de construcción y el contrato de albañil para la refacción de los 4 centros.</t>
    </r>
  </si>
  <si>
    <r>
      <t>Actividad 5.3: Talleres de capacitación a las organizaciones de mujeres en producción artesanal (textiles, telares tradicionales, confección de bordados).                                                                                                                                                                                                   S</t>
    </r>
    <r>
      <rPr>
        <b/>
        <sz val="10"/>
        <color rgb="FF993300"/>
        <rFont val="Arial"/>
        <family val="2"/>
      </rPr>
      <t>e desarrollarán 64 talleres de capacitación a las 4 organizaciones de mujeres en producción artesanal (40 en telares tradicionales y 24 en confección de bordados, corte y confección). Es importante que las participantes, antes de empezar cada módulo de capacitación cuenten con material de capacitación como cartillas y otros. Para este propósito, se elaborará textos de análisis para cada uno de los módulos, los cuales serán didácticos y aptos para el grupo meta y se apoyará en instrumentos (retroproyectora, video y otros).
Los responsables de la preparación del material didáctico de trabajo serán los facilitadores/as. Esta actividad partirá del supuesto que las mujeres tienen conocimientos en la elaboración de diferentes productos artesanales (textiles y bordados) y que requieren de una capacitación técnica en temas de calidad, acabado y mercadeo para que sus productos salgan al mercado. Los rubros que el proyecto trabajara será: artesanía textil en telares, confección y bordados tradicionales y corte y confección.
La metodología a aplicar será “Aprender Haciendo” parte de las experiencias y aprendizajes previos de las participantes. Se trabajará los fines de semana de acuerdo a una planificación, con la ayuda de las facilitadoras y el resto de la semana practicará en los centros familiares.</t>
    </r>
    <r>
      <rPr>
        <b/>
        <i/>
        <sz val="10"/>
        <color rgb="FF993300"/>
        <rFont val="Arial"/>
        <family val="2"/>
      </rPr>
      <t xml:space="preserve">
</t>
    </r>
  </si>
  <si>
    <r>
      <t xml:space="preserve">Actividad 5.4: Apoyar en el proceso de producción textiles, telares tradicionales, confección de bordados.                                                                                                                                                                                                                                                   </t>
    </r>
    <r>
      <rPr>
        <b/>
        <sz val="10"/>
        <color rgb="FF993300"/>
        <rFont val="Arial"/>
        <family val="2"/>
      </rPr>
      <t>Para el desarrollo de las iniciativas productivas se va a dotar de 6 telares y 8 máquinas de coser a las organizaciones de mujeres para la elaboración de sus prendas de vestir y bordados para su comercialización. Siendo la responsabilidad de las representantes de los centros el uso y mantenimiento de los mismos. También se apoyara con insumos como lanas, telas y repuestos.</t>
    </r>
  </si>
  <si>
    <r>
      <t xml:space="preserve">Actividad 5.5:  Desarrollo de ferias artesanales.                                                                                                                                                                                                                                                                                                                                                                                    </t>
    </r>
    <r>
      <rPr>
        <b/>
        <sz val="10"/>
        <color rgb="FF993300"/>
        <rFont val="Arial"/>
        <family val="2"/>
      </rPr>
      <t>Con el fin de promoción sus productos artesanales, se van a desarrollar 13 ferias artesanales locales y regionales (1 feria x 4 subcentralias y 1 en el distrito de Macha, en coordinación con el municipio e instituciones locales.
La producción artesanal producto de la educación técnica, se promocionará y comercializará en mercados locales y ferias artesanales que se realizan en las zonas, los mismos que serán impulsados y coordinados por el proyecto, en estrecha coordinación y apoyo de las propias beneficiarias y del Gobierno municipal de Colquechaca</t>
    </r>
    <r>
      <rPr>
        <b/>
        <i/>
        <sz val="10"/>
        <color rgb="FF993300"/>
        <rFont val="Arial"/>
        <family val="2"/>
      </rPr>
      <t xml:space="preserve">
</t>
    </r>
  </si>
  <si>
    <t>Honorarios profesionales (linea de base)</t>
  </si>
  <si>
    <t>estudio</t>
  </si>
  <si>
    <t>Pizarra acrilica</t>
  </si>
  <si>
    <t>Estantes metalicos</t>
  </si>
  <si>
    <t>Escritorio</t>
  </si>
  <si>
    <t>Estantes metálicos</t>
  </si>
  <si>
    <t>Pizarra acrílica</t>
  </si>
  <si>
    <t>Mesa</t>
  </si>
  <si>
    <t>1.1. Elaboración de Línea de base del proyecto.</t>
  </si>
  <si>
    <t>1.3. Talleres de capacitación a productoras y productores en producción agrícola y hortícola de forma sostenible</t>
  </si>
  <si>
    <t>1.2. Planificación de actividades en producción agroecológica a nivel comunal y familiar</t>
  </si>
  <si>
    <t xml:space="preserve">1.4. Aplicación de tecnología agroecológica para la producción de cultivos tradicionales, alternativos y diversificados </t>
  </si>
  <si>
    <t xml:space="preserve">1.5. Talleres de capacitación en producción pecuaria </t>
  </si>
  <si>
    <t>1.6. Manejo del rebaño criollo</t>
  </si>
  <si>
    <t>1.7. Intercambio de experiencias entre productoras y productores agropecuarios con participación activa de las mujeres</t>
  </si>
  <si>
    <t>Responsable Proyecto / Seg. Alimentaria / organización / género (1 resp. x 5716 Bs x 14 meses)</t>
  </si>
  <si>
    <t xml:space="preserve">Técnicos 1 en producción agropecuaria (1 tec. x 45730 Bs x 14 meses)  </t>
  </si>
  <si>
    <t xml:space="preserve">Técnicos 2 en producción agropecuaria (1 tec. x 4573 Bs x 14 meses)  </t>
  </si>
  <si>
    <t xml:space="preserve">Técnicos 3 en producción agropecuaria (1 tec. x 4573 Bs x 14 meses)  </t>
  </si>
  <si>
    <t xml:space="preserve">Técnicos 4 en producción agropecuaria (1 tec. x 4573 Bs x 14 meses)  </t>
  </si>
  <si>
    <t>Encargado de seguimiento y monitoreo (4977 x 14 meses)</t>
  </si>
  <si>
    <t>Administrador (4977 x 14 meses)</t>
  </si>
  <si>
    <t>Responsable Proyecto / Seg. Alimentaria / organización / género (1 resp. x 6002 Bs x 14 meses)</t>
  </si>
  <si>
    <t>Responsable Proyecto / Seg. Alimentaria / organización / género (1 resp. x 6445 Bs x 14 meses)</t>
  </si>
  <si>
    <t xml:space="preserve">Técnicos 1 en producción agropecuaria (1 tec. x 4573 Bs x 14 meses)  </t>
  </si>
  <si>
    <t xml:space="preserve">Técnicos 1 en producción agropecuaria (1 tec. x 4801 Bs x 14 meses)  </t>
  </si>
  <si>
    <t xml:space="preserve">Técnicos 1 en producción agropecuaria (1 tec. x 5184 Bs x 14 meses)  </t>
  </si>
  <si>
    <t xml:space="preserve">Técnicos 2 en producción agropecuaria (1 tec. x 4801 Bs x 14 meses)  </t>
  </si>
  <si>
    <t xml:space="preserve">Técnicos 2 en producción agropecuaria (1 tec. x 5184 Bs x 14 meses)  </t>
  </si>
  <si>
    <t xml:space="preserve">Técnicos 3 en producción agropecuaria (1 tec. x 4801 Bs x 14 meses)  </t>
  </si>
  <si>
    <t xml:space="preserve">Técnicos 3 en producción agropecuaria (1 tec. x 5184 Bs x 14 meses)  </t>
  </si>
  <si>
    <t xml:space="preserve">Técnicos 4 en producción agropecuaria (1 tec. x 4801 Bs x 14 meses)  </t>
  </si>
  <si>
    <t xml:space="preserve">Técnicos 4 en producción agropecuaria (1 tec. x 5184 Bs x 14 meses)  </t>
  </si>
  <si>
    <t>Encargado de seguimiento y monitoreo ( 4977 x 42 meses)</t>
  </si>
  <si>
    <t>Encargado de seguimiento y monitoreo ( 5226 x 42 meses)</t>
  </si>
  <si>
    <t>Encargado de seguimiento y monitoreo ( 5725 x 42 meses)</t>
  </si>
  <si>
    <t>Administrador ( 4977 x 42 meses)</t>
  </si>
  <si>
    <t>Administrador ( 5226 x 42 meses)</t>
  </si>
  <si>
    <t>Administrador ( 5725 x 42 meses)</t>
  </si>
  <si>
    <t>Productos fitosanitarios ecológicos para huertos (14 kg/lt x 250 bs x 3 años)</t>
  </si>
  <si>
    <r>
      <rPr>
        <b/>
        <i/>
        <sz val="10"/>
        <color rgb="FF993300"/>
        <rFont val="Arial"/>
        <family val="2"/>
      </rPr>
      <t>Actividad 1.2: Planificación de actividades en producción agroecológica a nivel comunal y familiar</t>
    </r>
    <r>
      <rPr>
        <b/>
        <sz val="10"/>
        <color rgb="FF993300"/>
        <rFont val="Arial"/>
        <family val="2"/>
      </rPr>
      <t xml:space="preserve">
Se llevarán a cabo 22 reuniones de planificación comunal con la participación promedio de 25 personas de forma equitativa entre mujeres y varones, para llevar a cabo las actividades de producción  agroecológica a nivel comunal y familiar, tomando en cuenta el calendario agropecuario y festivo, para garantizar la participación sobretodo de las mujeres y hombres y miembros de cada  familia, las diferentes actividades que realizan como el pastoreo, las labores de casa, labores en la agricultura para ver su interés y su disponibilidad de tiempo durante el año.   </t>
    </r>
  </si>
  <si>
    <r>
      <t xml:space="preserve">Actividad 1.3: Talleres de capacitación a productoras y productores en producción agrícola y hortícola de forma sostenible.  
</t>
    </r>
    <r>
      <rPr>
        <b/>
        <sz val="10"/>
        <color rgb="FF993300"/>
        <rFont val="Arial"/>
        <family val="2"/>
      </rPr>
      <t>Se realizarán 44 talleres de capacitación (2 talleres x 22 comunidades) a un promedio de 20 productoras y productores/comunidad en producción agrícola y hortícola-frutícola de forma sostenible, que serán realizados de forma práctica dentro sus parcelas de producción, donde se tendrá una participación activa de las mujeres.
Los eventos de capacitación serán llevados a cabo de forma diferenciada, vale decir existirá eventos de capacitación exclusiva para mujeres con la ayuda de los/as técnicos/as del proyecto (en lo posible mujeres), las/os cuales garantizarán la participación de las mujeres y la confianza que pueda existir entre ellas, en algunos casos los eventos de capacitación serán de forma integral, vale decir que hombres y mujeres tendrán las mismas oportunidades de dirigir la reunión, o también participaran como moderadoras en algunos casos durante los eventos de capacitación.</t>
    </r>
    <r>
      <rPr>
        <b/>
        <i/>
        <sz val="10"/>
        <color rgb="FF993300"/>
        <rFont val="Arial"/>
        <family val="2"/>
      </rPr>
      <t xml:space="preserve">
</t>
    </r>
  </si>
  <si>
    <r>
      <t xml:space="preserve">Actividad 1.4: Aplicación de tecnología agroecológica para la producción de cultivos tradicionales, alternativos y diversificados. </t>
    </r>
    <r>
      <rPr>
        <b/>
        <sz val="10"/>
        <color rgb="FF993300"/>
        <rFont val="Arial"/>
        <family val="2"/>
      </rPr>
      <t>De forma simultánea a los eventos de capacitación se realizará la aplicación de tecnologías agroecológicas mejoradas con el fin de mejorar sus rendimientos de producción sin ocasionar daños a los recursos naturales como suelo, planta y aire. 
- Mejoramiento de la semilla.
- Adecuada preparación del suelo.
- Mejoramiento del sistema de siembra.
- Humedad en las parcelas.
- Labores culturales.
- Selección Positiva.
- Cosecha y pos cosecha.
- Producción de hortalizas.</t>
    </r>
    <r>
      <rPr>
        <b/>
        <i/>
        <sz val="10"/>
        <color rgb="FF993300"/>
        <rFont val="Arial"/>
        <family val="2"/>
      </rPr>
      <t xml:space="preserve">
 </t>
    </r>
  </si>
  <si>
    <r>
      <t xml:space="preserve">Actividad 1.5: Talleres de capacitación en producción pecuaria.                                                                                                                                                                                                                                                                                                                                                                                                                                                                                                                                                  </t>
    </r>
    <r>
      <rPr>
        <b/>
        <sz val="10"/>
        <color rgb="FF993300"/>
        <rFont val="Arial"/>
        <family val="2"/>
      </rPr>
      <t xml:space="preserve">Se llevarán a cabo 22 talleres de capacitación (1 taller x 22 comunidades) en producción pecuaria (mejoramiento genético, sanidad animal y alimentación), y de crianza de gallinas ponedoras, con la participación  promedio de 20 participantes/ comunidad. Para lo cual se requerirá de impresión material educativa, alimentación, videos, fotografías, material de enseñanza y escritorio y alquiler de local para eventos. Los talleres serán realizados por los/as técnicos/as agrónomos del proyecto. </t>
    </r>
  </si>
  <si>
    <r>
      <t xml:space="preserve">Actividad 1.6: Manejo del rebaño criollo. 
</t>
    </r>
    <r>
      <rPr>
        <b/>
        <sz val="10"/>
        <color rgb="FF993300"/>
        <rFont val="Arial"/>
        <family val="2"/>
      </rPr>
      <t>Para la mejora del ganado criollo se realizará la compra de 150 reproductores (ovinos), 1200 pollitos ponedoras de huevo, y se considera el pago del flete de transporte. Para la alimentación del ganado se realizará la siembra de especies forrajeras, lo cual requerirá semilla mejorada de forraje. 
Así mismo se aplicarán los desparasitantes internos y externos, antibióticos, vacunas y reconstituyentes, instrumental veterinario (jeringas, tijeras y otros para el control de enfermedades y la realización de prácticas en el manejo del ganado criollo. Para el cuidado de los corrales para las gallinas se les dotará de malla de alambre. Siendo un requisito para la entrega del ganado menor y ovino el compromiso de trabajo con el proyecto y la mejora de los ambientes para su crianza.</t>
    </r>
    <r>
      <rPr>
        <b/>
        <i/>
        <sz val="10"/>
        <color rgb="FF993300"/>
        <rFont val="Arial"/>
        <family val="2"/>
      </rPr>
      <t xml:space="preserve">
</t>
    </r>
  </si>
  <si>
    <r>
      <rPr>
        <b/>
        <i/>
        <sz val="10"/>
        <color rgb="FF993300"/>
        <rFont val="Arial"/>
        <family val="2"/>
      </rPr>
      <t xml:space="preserve">Actividad 1.7: Intercambio de experiencias entre productoras y productores agropecuarios con participación activa de las mujeres                                                                                                                                                                                                   </t>
    </r>
    <r>
      <rPr>
        <b/>
        <sz val="10"/>
        <color rgb="FF993300"/>
        <rFont val="Arial"/>
        <family val="2"/>
      </rPr>
      <t xml:space="preserve">Se realizarán 3 intercambios de experiencia con la participación de 25 productores y productoras, en función a la producción agrícola, pecuaria y manejo y conservación de los recursos naturales. En estos eventos los productores/as aprovecharan para transmitir sus conocimientos de manera horizontal y al mismo tiempo aprender experiencias innovadoras para ser replicados dentro sus comunidades. 
Por lo general las visitas de intercambio de experiencias se realizarán de una zona a otra zona, de una región a otra región, para lo cual se tomarán en cuenta las mismas condiciones de trabajo y las potencialidades que tienen estas comunidades a visitar.  Este enfoque de los intercambios a nivel regional y nacional tiene objetivos que permiten incidir políticamente ante las autoridades municipales para la atención al desarrollo productivo en el municipio.
</t>
    </r>
    <r>
      <rPr>
        <sz val="10"/>
        <color rgb="FF993300"/>
        <rFont val="Arial"/>
        <family val="2"/>
      </rPr>
      <t xml:space="preserve">
</t>
    </r>
  </si>
  <si>
    <r>
      <t xml:space="preserve">1.1. Elaboración de Línea de base del proyecto.
</t>
    </r>
    <r>
      <rPr>
        <b/>
        <sz val="10"/>
        <color rgb="FF993300"/>
        <rFont val="Arial"/>
        <family val="2"/>
      </rPr>
      <t>Se efectuara una linea de base para determinar el punto de partida en todos los indicadores, de tal manera que en transcurso del tiempo del proyecto nos permita evaluar o medir los avances del mismo.</t>
    </r>
  </si>
  <si>
    <t>2.1. Talleres de formación a productoras y productores en cambio climático, medio ambiente, manejo y conservación de los recursos naturales</t>
  </si>
  <si>
    <t>4.1.  Formación y asesoría técnica y legal a organizaciones sociales de base de mujeres y mixtas en fortalecimiento interno.</t>
  </si>
  <si>
    <t>4.1.  Formación y asesoría técnica y legal a organizaciones sociales de base de mujeres y mixtas en fortalecimiento interno</t>
  </si>
  <si>
    <t>5.1. Formación y asesoramiento técnico a las organizaciones de mujeres</t>
  </si>
  <si>
    <r>
      <t xml:space="preserve">Actividad 2.1:Talleres de formación a productoras y productores en cambio climático, medio ambiente, manejo y conservación de los recursos naturales                                                                                                                                        </t>
    </r>
    <r>
      <rPr>
        <b/>
        <sz val="10"/>
        <color rgb="FF993300"/>
        <rFont val="Arial"/>
        <family val="2"/>
      </rPr>
      <t>Se desarrollarán 44 talleres prácticos de capacitación (2 talleres x 22 comunidades) con la participación de 20 productoras y productores en manejo de los recursos naturales: suelo, agua y planta, en sus parcelas productivas, con el uso de materiales locales (piedra, plantines), con el fin de recuperar y conservar el suelo y mantener la humedad.
Los módulos de capacitación son: 
Módulo I: Manejo y Conservación del recurso suelo.
Módulo II: Manejo y uso adecuado del agua y la cobertura vegetal.</t>
    </r>
    <r>
      <rPr>
        <b/>
        <i/>
        <sz val="10"/>
        <color rgb="FF993300"/>
        <rFont val="Arial"/>
        <family val="2"/>
      </rPr>
      <t xml:space="preserve">
</t>
    </r>
  </si>
  <si>
    <r>
      <t xml:space="preserve">Actividad 4.1:  Formación y asesoría técnica y legal a organizaciones sociales de base de mujeres y mixtas en fortalecimiento interno.                                                                                                                                                                                                                                          </t>
    </r>
    <r>
      <rPr>
        <sz val="10"/>
        <color rgb="FF993300"/>
        <rFont val="Arial"/>
        <family val="2"/>
      </rPr>
      <t>e</t>
    </r>
    <r>
      <rPr>
        <b/>
        <sz val="10"/>
        <color rgb="FF993300"/>
        <rFont val="Arial"/>
        <family val="2"/>
      </rPr>
      <t xml:space="preserve"> realizará el asesoramiento técnico a las 4 organizaciones sociales mixtas y 4 organizaciones de mujeres, que comprende las siguientes actividades:
- Reuniones mensuales de coordinación con la directiva de la Organización de la Central Seccional y Autoridades comunales de la zona.
- Asistencia técnica en los eventos (ampliados, congresos) de la organización sindical.
- Asistencia técnica para que las organizaciones sindicales sean funcionales y exista equidad de género (cargos en la dirección y decisión deben ser asumidos responsablemente por hombres y mujeres).
- Asistencia técnica permanente para la preparación de perfiles de proyectos en seguridad alimentaria para ser incorporados en los POAs Municipales.
Así mismo se apoyará a las 4 organizaciones de mujeres, las mismas que tiene debilidades en cuanto a la funcionalidad de su directiva, Estatutos y Reglamentos, lo que demuestra una debilidad en el fortalecimiento interno, en ese sentido se brindará asesoramiento para visibilizar su funcionalidad y apoyo para incidir en la igualdad de oportunidades para hombres y mujeres en los ámbitos productivo, laboral y otros.
Se les dotará de equipamiento como estantes, mesas y sillas a las 8 asociaciones mixtas y de mujeres para su funcionamiento.</t>
    </r>
    <r>
      <rPr>
        <b/>
        <i/>
        <sz val="10"/>
        <color rgb="FF993300"/>
        <rFont val="Arial"/>
        <family val="2"/>
      </rPr>
      <t xml:space="preserve">
</t>
    </r>
  </si>
  <si>
    <t>4.1.   Formación y asesoría técnica y legal a organizaciones sociales de base de mujeres y mixtas en fortalecimiento interno.</t>
  </si>
  <si>
    <r>
      <t xml:space="preserve">Actividad 5.1: Formación y asesoramiento técnico a las organizaciones de mujeres                                                                                                                                                                                                                                                                                                                             </t>
    </r>
    <r>
      <rPr>
        <b/>
        <sz val="10"/>
        <color rgb="FF993300"/>
        <rFont val="Arial"/>
        <family val="2"/>
      </rPr>
      <t>Se desarrollará el asesoramiento a los 4 grupos de mujeres de los distritos de Titiri, Qeojo, Qellu kasa y  Padcojo para su organización, conformación de sus directivas, elaboración de sus estatutos y reglamentos.
Esta actividad estará orientada a fortalecer la organización social de las mujeres, donde se brindará asistencia técnica, asesoramiento jurídico, realización de eventos (seminarios, ampliados, congresos) a las organizaciones campesinas de mujeres y también auspiciara la participación de la organización en los diferentes eventos locales, regionales y nacionales que se realicen, está asistencia y asesoramiento básicamente comprenderá:
- Apoyar en la apertura de sus libros de actas, elaboración de normas y procedimiento internos.
- Se brindara apoyo legal y jurídico necesario a todos los dirigentes/as de las diferentes organizaciones, con el fin de resaltar sus derechos y obligaciones y la obtención de sus personerías jurídicas que les otorga su legalidad. Para lo cual se cubrirán los gastos de tramitación.
- Auspiciar la participación de las organizaciones de mujeres en los diferentes eventos convocados a nivel nacional y departamental por las matrices correspondientes.</t>
    </r>
    <r>
      <rPr>
        <b/>
        <i/>
        <sz val="10"/>
        <color rgb="FF993300"/>
        <rFont val="Arial"/>
        <family val="2"/>
      </rPr>
      <t xml:space="preserve">
</t>
    </r>
  </si>
  <si>
    <t>Imprevistos (1,97%)</t>
  </si>
  <si>
    <t>Imprevistos (1,95%)</t>
  </si>
  <si>
    <t>Imprevistos (2,25%)</t>
  </si>
  <si>
    <t>NOMBRE PROYECTO: Seguridad alimentaria en comunidades rurales del municipio de Colquechaca</t>
  </si>
  <si>
    <t>PRESUPUESTO DEL PROYECTO DESGLOSADO POR ACTIVIDADES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</si>
</sst>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_-* #,##0.00\ _p_t_a_-;\-* #,##0.00\ _p_t_a_-;_-* &quot;-&quot;??\ _p_t_a_-;_-@_-"/>
    <numFmt numFmtId="166" formatCode="#,##0;[Red]#,##0"/>
    <numFmt numFmtId="167" formatCode="#,##0.00;[Red]#,##0.00"/>
    <numFmt numFmtId="168" formatCode="_-* #,##0.00\ [$€]_-;\-* #,##0.00\ [$€]_-;_-* &quot;-&quot;??\ [$€]_-;_-@_-"/>
    <numFmt numFmtId="169" formatCode="0.0%"/>
    <numFmt numFmtId="170" formatCode="#,##0.00000"/>
  </numFmts>
  <fonts count="38">
    <font>
      <sz val="10"/>
      <name val="Arial"/>
    </font>
    <font>
      <sz val="10"/>
      <name val="Arial"/>
      <family val="2"/>
    </font>
    <font>
      <sz val="12"/>
      <name val="Times New Roman"/>
      <family val="1"/>
    </font>
    <font>
      <sz val="10"/>
      <name val="Arial"/>
      <family val="2"/>
    </font>
    <font>
      <sz val="10"/>
      <name val="Courier"/>
      <family val="3"/>
    </font>
    <font>
      <sz val="8"/>
      <name val="Arial"/>
      <family val="2"/>
    </font>
    <font>
      <sz val="10"/>
      <name val="Humanst521 BT"/>
    </font>
    <font>
      <b/>
      <sz val="10"/>
      <name val="Arial"/>
      <family val="2"/>
    </font>
    <font>
      <b/>
      <sz val="10"/>
      <color indexed="10"/>
      <name val="Arial"/>
      <family val="2"/>
    </font>
    <font>
      <b/>
      <sz val="10"/>
      <color indexed="12"/>
      <name val="Arial"/>
      <family val="2"/>
    </font>
    <font>
      <sz val="10"/>
      <color indexed="8"/>
      <name val="Arial"/>
      <family val="2"/>
    </font>
    <font>
      <sz val="10"/>
      <name val="Times New Roman"/>
      <family val="1"/>
    </font>
    <font>
      <b/>
      <u/>
      <sz val="10"/>
      <color indexed="10"/>
      <name val="Arial"/>
      <family val="2"/>
    </font>
    <font>
      <b/>
      <sz val="10"/>
      <color indexed="8"/>
      <name val="Arial"/>
      <family val="2"/>
    </font>
    <font>
      <b/>
      <u/>
      <sz val="12"/>
      <name val="Arial"/>
      <family val="2"/>
    </font>
    <font>
      <sz val="10"/>
      <color theme="1"/>
      <name val="Arial"/>
      <family val="2"/>
    </font>
    <font>
      <b/>
      <sz val="10"/>
      <color rgb="FF0000FF"/>
      <name val="Arial"/>
      <family val="2"/>
    </font>
    <font>
      <b/>
      <u/>
      <sz val="10"/>
      <color rgb="FFFF0000"/>
      <name val="Arial"/>
      <family val="2"/>
    </font>
    <font>
      <b/>
      <sz val="10"/>
      <color rgb="FFCC00FF"/>
      <name val="Arial"/>
      <family val="2"/>
    </font>
    <font>
      <b/>
      <u/>
      <sz val="10"/>
      <color rgb="FF0000FF"/>
      <name val="Arial"/>
      <family val="2"/>
    </font>
    <font>
      <sz val="6"/>
      <color theme="0"/>
      <name val="Arial"/>
      <family val="2"/>
    </font>
    <font>
      <b/>
      <sz val="10"/>
      <color rgb="FF993300"/>
      <name val="Arial"/>
      <family val="2"/>
    </font>
    <font>
      <b/>
      <sz val="10"/>
      <color theme="0" tint="-4.9989318521683403E-2"/>
      <name val="Arial"/>
      <family val="2"/>
    </font>
    <font>
      <sz val="10"/>
      <color theme="0" tint="-4.9989318521683403E-2"/>
      <name val="Arial"/>
      <family val="2"/>
    </font>
    <font>
      <sz val="6"/>
      <color theme="0" tint="-4.9989318521683403E-2"/>
      <name val="Arial"/>
      <family val="2"/>
    </font>
    <font>
      <sz val="10"/>
      <color rgb="FFFF0000"/>
      <name val="Arial"/>
      <family val="2"/>
    </font>
    <font>
      <sz val="12"/>
      <color rgb="FFFF0000"/>
      <name val="Arial"/>
      <family val="2"/>
    </font>
    <font>
      <sz val="10"/>
      <name val="Arial"/>
      <family val="2"/>
    </font>
    <font>
      <b/>
      <i/>
      <sz val="10"/>
      <color indexed="10"/>
      <name val="Arial"/>
      <family val="2"/>
    </font>
    <font>
      <sz val="10"/>
      <name val="MS Sans Serif"/>
      <family val="2"/>
    </font>
    <font>
      <b/>
      <sz val="10"/>
      <color theme="0"/>
      <name val="Arial"/>
      <family val="2"/>
    </font>
    <font>
      <sz val="10"/>
      <color theme="0"/>
      <name val="Arial"/>
      <family val="2"/>
    </font>
    <font>
      <b/>
      <sz val="10"/>
      <color rgb="FF00B050"/>
      <name val="Arial"/>
      <family val="2"/>
    </font>
    <font>
      <b/>
      <sz val="10"/>
      <color theme="1"/>
      <name val="Arial"/>
      <family val="2"/>
    </font>
    <font>
      <sz val="10"/>
      <color rgb="FF993300"/>
      <name val="Arial"/>
      <family val="2"/>
    </font>
    <font>
      <b/>
      <i/>
      <sz val="10"/>
      <color rgb="FF993300"/>
      <name val="Arial"/>
      <family val="2"/>
    </font>
    <font>
      <b/>
      <u/>
      <sz val="10"/>
      <name val="Arial"/>
      <family val="2"/>
    </font>
    <font>
      <b/>
      <sz val="10"/>
      <color rgb="FFFF0000"/>
      <name val="Arial"/>
      <family val="2"/>
    </font>
  </fonts>
  <fills count="2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indexed="51"/>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indexed="22"/>
        <bgColor indexed="64"/>
      </patternFill>
    </fill>
    <fill>
      <patternFill patternType="solid">
        <fgColor theme="0"/>
        <bgColor indexed="26"/>
      </patternFill>
    </fill>
    <fill>
      <patternFill patternType="solid">
        <fgColor theme="3"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bgColor indexed="64"/>
      </patternFill>
    </fill>
    <fill>
      <patternFill patternType="solid">
        <fgColor rgb="FF00808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hair">
        <color indexed="64"/>
      </top>
      <bottom style="hair">
        <color indexed="64"/>
      </bottom>
      <diagonal/>
    </border>
    <border>
      <left style="double">
        <color indexed="64"/>
      </left>
      <right/>
      <top/>
      <bottom style="thin">
        <color indexed="64"/>
      </bottom>
      <diagonal/>
    </border>
    <border>
      <left style="thin">
        <color indexed="64"/>
      </left>
      <right style="thin">
        <color indexed="64"/>
      </right>
      <top/>
      <bottom style="hair">
        <color indexed="64"/>
      </bottom>
      <diagonal/>
    </border>
    <border>
      <left style="thin">
        <color indexed="64"/>
      </left>
      <right style="double">
        <color indexed="64"/>
      </right>
      <top/>
      <bottom style="hair">
        <color indexed="64"/>
      </bottom>
      <diagonal/>
    </border>
    <border>
      <left/>
      <right/>
      <top style="hair">
        <color indexed="64"/>
      </top>
      <bottom/>
      <diagonal/>
    </border>
    <border>
      <left style="thin">
        <color indexed="64"/>
      </left>
      <right style="thin">
        <color indexed="64"/>
      </right>
      <top style="hair">
        <color indexed="64"/>
      </top>
      <bottom style="thin">
        <color theme="0" tint="-4.9989318521683403E-2"/>
      </bottom>
      <diagonal/>
    </border>
    <border>
      <left style="thin">
        <color indexed="64"/>
      </left>
      <right style="thin">
        <color indexed="64"/>
      </right>
      <top style="hair">
        <color indexed="64"/>
      </top>
      <bottom style="thin">
        <color theme="0"/>
      </bottom>
      <diagonal/>
    </border>
    <border>
      <left style="double">
        <color indexed="64"/>
      </left>
      <right/>
      <top style="hair">
        <color indexed="64"/>
      </top>
      <bottom/>
      <diagonal/>
    </border>
    <border>
      <left style="thin">
        <color indexed="64"/>
      </left>
      <right style="double">
        <color indexed="64"/>
      </right>
      <top style="hair">
        <color indexed="64"/>
      </top>
      <bottom/>
      <diagonal/>
    </border>
    <border>
      <left style="double">
        <color indexed="64"/>
      </left>
      <right style="thin">
        <color indexed="64"/>
      </right>
      <top style="hair">
        <color indexed="64"/>
      </top>
      <bottom/>
      <diagonal/>
    </border>
    <border>
      <left style="double">
        <color indexed="64"/>
      </left>
      <right style="thin">
        <color indexed="64"/>
      </right>
      <top/>
      <bottom style="hair">
        <color indexed="64"/>
      </bottom>
      <diagonal/>
    </border>
    <border>
      <left style="double">
        <color indexed="64"/>
      </left>
      <right/>
      <top style="thin">
        <color indexed="64"/>
      </top>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top style="thin">
        <color indexed="64"/>
      </top>
      <bottom/>
      <diagonal/>
    </border>
    <border>
      <left/>
      <right style="thin">
        <color indexed="64"/>
      </right>
      <top style="hair">
        <color indexed="64"/>
      </top>
      <bottom style="hair">
        <color indexed="64"/>
      </bottom>
      <diagonal/>
    </border>
  </borders>
  <cellStyleXfs count="16">
    <xf numFmtId="0" fontId="0" fillId="0" borderId="0"/>
    <xf numFmtId="168" fontId="3" fillId="0" borderId="0" applyFont="0" applyFill="0" applyBorder="0" applyAlignment="0" applyProtection="0"/>
    <xf numFmtId="0" fontId="2" fillId="0" borderId="0" applyNumberFormat="0" applyFill="0" applyBorder="0" applyAlignment="0" applyProtection="0"/>
    <xf numFmtId="165" fontId="3" fillId="0" borderId="0" applyFont="0" applyFill="0" applyBorder="0" applyAlignment="0" applyProtection="0"/>
    <xf numFmtId="0" fontId="6" fillId="0" borderId="0"/>
    <xf numFmtId="0" fontId="3" fillId="0" borderId="0"/>
    <xf numFmtId="0" fontId="6" fillId="0" borderId="0"/>
    <xf numFmtId="0" fontId="3" fillId="0" borderId="0"/>
    <xf numFmtId="0" fontId="3" fillId="0" borderId="0"/>
    <xf numFmtId="0" fontId="4" fillId="0" borderId="0"/>
    <xf numFmtId="0" fontId="1" fillId="0" borderId="0"/>
    <xf numFmtId="0" fontId="3" fillId="0" borderId="0"/>
    <xf numFmtId="9" fontId="1" fillId="0" borderId="0" applyFont="0" applyFill="0" applyBorder="0" applyAlignment="0" applyProtection="0"/>
    <xf numFmtId="9" fontId="3" fillId="0" borderId="0" applyFont="0" applyFill="0" applyBorder="0" applyAlignment="0" applyProtection="0"/>
    <xf numFmtId="164" fontId="27" fillId="0" borderId="0" applyFont="0" applyFill="0" applyBorder="0" applyAlignment="0" applyProtection="0"/>
    <xf numFmtId="0" fontId="29" fillId="0" borderId="0"/>
  </cellStyleXfs>
  <cellXfs count="615">
    <xf numFmtId="0" fontId="0" fillId="0" borderId="0" xfId="0"/>
    <xf numFmtId="0" fontId="3" fillId="0" borderId="1" xfId="9" applyFont="1" applyFill="1" applyBorder="1" applyAlignment="1" applyProtection="1">
      <alignment horizontal="left"/>
    </xf>
    <xf numFmtId="4" fontId="3" fillId="0" borderId="1" xfId="0" applyNumberFormat="1" applyFont="1" applyFill="1" applyBorder="1"/>
    <xf numFmtId="4" fontId="3" fillId="0" borderId="1" xfId="0" applyNumberFormat="1" applyFont="1" applyFill="1" applyBorder="1" applyAlignment="1">
      <alignment horizontal="center"/>
    </xf>
    <xf numFmtId="0" fontId="3" fillId="0" borderId="1" xfId="9" applyFont="1" applyFill="1" applyBorder="1" applyAlignment="1" applyProtection="1">
      <alignment horizontal="left" wrapText="1"/>
    </xf>
    <xf numFmtId="4" fontId="3" fillId="0" borderId="1" xfId="0" applyNumberFormat="1" applyFont="1" applyFill="1" applyBorder="1" applyAlignment="1"/>
    <xf numFmtId="0" fontId="7" fillId="0" borderId="0" xfId="0" applyFont="1"/>
    <xf numFmtId="0" fontId="3" fillId="0" borderId="0" xfId="0" applyFont="1" applyFill="1"/>
    <xf numFmtId="4" fontId="7" fillId="4" borderId="6" xfId="0" applyNumberFormat="1" applyFont="1" applyFill="1" applyBorder="1" applyAlignment="1">
      <alignment vertical="justify"/>
    </xf>
    <xf numFmtId="0" fontId="3" fillId="0" borderId="0" xfId="0" applyFont="1" applyFill="1" applyAlignment="1">
      <alignment vertical="center"/>
    </xf>
    <xf numFmtId="4" fontId="3" fillId="0" borderId="0" xfId="0" applyNumberFormat="1" applyFont="1" applyFill="1" applyAlignment="1">
      <alignment vertical="justify"/>
    </xf>
    <xf numFmtId="0" fontId="3" fillId="0" borderId="0" xfId="0" applyNumberFormat="1" applyFont="1" applyFill="1" applyAlignment="1">
      <alignment horizontal="center" vertical="center"/>
    </xf>
    <xf numFmtId="4" fontId="3" fillId="0" borderId="0" xfId="0" applyNumberFormat="1" applyFont="1" applyFill="1" applyAlignment="1">
      <alignment horizontal="center" vertical="center"/>
    </xf>
    <xf numFmtId="4" fontId="3" fillId="0" borderId="0" xfId="0" applyNumberFormat="1" applyFont="1" applyFill="1"/>
    <xf numFmtId="0" fontId="8" fillId="0" borderId="0" xfId="0" applyFont="1" applyFill="1" applyBorder="1" applyAlignment="1">
      <alignment vertical="center"/>
    </xf>
    <xf numFmtId="4" fontId="9" fillId="0" borderId="0" xfId="8" applyNumberFormat="1" applyFont="1" applyFill="1" applyBorder="1" applyAlignment="1">
      <alignment horizontal="left" vertical="center" wrapText="1"/>
    </xf>
    <xf numFmtId="4" fontId="3" fillId="0" borderId="0" xfId="0" applyNumberFormat="1" applyFont="1" applyFill="1" applyBorder="1"/>
    <xf numFmtId="0" fontId="7" fillId="0" borderId="0" xfId="0" applyFont="1" applyFill="1"/>
    <xf numFmtId="4" fontId="7" fillId="5" borderId="1" xfId="0" applyNumberFormat="1" applyFont="1" applyFill="1" applyBorder="1" applyAlignment="1">
      <alignment horizontal="center" vertical="center" wrapText="1"/>
    </xf>
    <xf numFmtId="0" fontId="7" fillId="5" borderId="1" xfId="0" applyNumberFormat="1" applyFont="1" applyFill="1" applyBorder="1" applyAlignment="1">
      <alignment horizontal="center" vertical="center" wrapText="1"/>
    </xf>
    <xf numFmtId="4" fontId="7" fillId="6" borderId="1" xfId="11" applyNumberFormat="1" applyFont="1" applyFill="1" applyBorder="1" applyAlignment="1">
      <alignment horizontal="center" vertical="center" wrapText="1"/>
    </xf>
    <xf numFmtId="4" fontId="7" fillId="7" borderId="1" xfId="11" applyNumberFormat="1" applyFont="1" applyFill="1" applyBorder="1" applyAlignment="1">
      <alignment horizontal="center" vertical="center" wrapText="1"/>
    </xf>
    <xf numFmtId="4" fontId="7" fillId="5" borderId="1" xfId="11" applyNumberFormat="1" applyFont="1" applyFill="1" applyBorder="1" applyAlignment="1">
      <alignment horizontal="center" vertical="center" wrapText="1"/>
    </xf>
    <xf numFmtId="4" fontId="7" fillId="0" borderId="0" xfId="0" applyNumberFormat="1" applyFont="1" applyFill="1" applyBorder="1" applyAlignment="1">
      <alignment vertical="justify"/>
    </xf>
    <xf numFmtId="0" fontId="3" fillId="0" borderId="0" xfId="0" applyNumberFormat="1" applyFont="1" applyFill="1" applyBorder="1" applyAlignment="1">
      <alignment horizontal="center" vertical="center"/>
    </xf>
    <xf numFmtId="4" fontId="3" fillId="0" borderId="0" xfId="0" applyNumberFormat="1" applyFont="1" applyFill="1" applyBorder="1" applyAlignment="1">
      <alignment horizontal="center" vertical="center"/>
    </xf>
    <xf numFmtId="4" fontId="3" fillId="0" borderId="0" xfId="8" applyNumberFormat="1" applyFont="1" applyFill="1" applyAlignment="1">
      <alignment horizontal="center" vertical="center" wrapText="1"/>
    </xf>
    <xf numFmtId="0" fontId="15" fillId="0" borderId="0" xfId="0" applyFont="1"/>
    <xf numFmtId="0" fontId="3" fillId="0" borderId="1" xfId="0" applyFont="1" applyFill="1" applyBorder="1" applyAlignment="1" applyProtection="1">
      <alignment vertical="center"/>
    </xf>
    <xf numFmtId="167" fontId="3" fillId="0" borderId="3" xfId="10" applyNumberFormat="1" applyFont="1" applyFill="1" applyBorder="1" applyAlignment="1">
      <alignment vertical="center"/>
    </xf>
    <xf numFmtId="4" fontId="3" fillId="0" borderId="3" xfId="10" applyNumberFormat="1" applyFont="1" applyFill="1" applyBorder="1" applyAlignment="1">
      <alignment vertical="center"/>
    </xf>
    <xf numFmtId="4" fontId="3" fillId="0" borderId="1" xfId="11" applyNumberFormat="1" applyFont="1" applyFill="1" applyBorder="1" applyAlignment="1">
      <alignment horizontal="right" vertical="center" wrapText="1"/>
    </xf>
    <xf numFmtId="4" fontId="10" fillId="0" borderId="1" xfId="0" applyNumberFormat="1" applyFont="1" applyBorder="1"/>
    <xf numFmtId="4" fontId="16" fillId="5" borderId="6" xfId="0" applyNumberFormat="1" applyFont="1" applyFill="1" applyBorder="1" applyAlignment="1">
      <alignment vertical="justify"/>
    </xf>
    <xf numFmtId="0" fontId="7" fillId="5" borderId="7" xfId="0" applyNumberFormat="1" applyFont="1" applyFill="1" applyBorder="1" applyAlignment="1" applyProtection="1">
      <alignment horizontal="center" vertical="center"/>
    </xf>
    <xf numFmtId="4" fontId="7" fillId="5" borderId="7" xfId="0" applyNumberFormat="1" applyFont="1" applyFill="1" applyBorder="1" applyAlignment="1">
      <alignment horizontal="center" vertical="center"/>
    </xf>
    <xf numFmtId="4" fontId="7" fillId="5" borderId="1" xfId="10" applyNumberFormat="1" applyFont="1" applyFill="1" applyBorder="1" applyAlignment="1">
      <alignment horizontal="center" vertical="center"/>
    </xf>
    <xf numFmtId="4" fontId="7" fillId="5" borderId="1" xfId="10" applyNumberFormat="1" applyFont="1" applyFill="1" applyBorder="1" applyAlignment="1">
      <alignment vertical="center"/>
    </xf>
    <xf numFmtId="4" fontId="3" fillId="0" borderId="0" xfId="0" applyNumberFormat="1" applyFont="1" applyFill="1" applyBorder="1" applyAlignment="1">
      <alignment vertical="justify"/>
    </xf>
    <xf numFmtId="0" fontId="3" fillId="0" borderId="0" xfId="0" applyNumberFormat="1"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xf>
    <xf numFmtId="0" fontId="3" fillId="4" borderId="7" xfId="0" applyNumberFormat="1" applyFont="1" applyFill="1" applyBorder="1" applyAlignment="1">
      <alignment horizontal="center" vertical="center"/>
    </xf>
    <xf numFmtId="4" fontId="3" fillId="4" borderId="7" xfId="0" applyNumberFormat="1" applyFont="1" applyFill="1" applyBorder="1" applyAlignment="1">
      <alignment horizontal="center" vertical="center"/>
    </xf>
    <xf numFmtId="4" fontId="3" fillId="4" borderId="8" xfId="0" applyNumberFormat="1" applyFont="1" applyFill="1" applyBorder="1" applyAlignment="1">
      <alignment horizontal="center" vertical="center"/>
    </xf>
    <xf numFmtId="4" fontId="7" fillId="4" borderId="1" xfId="10" applyNumberFormat="1" applyFont="1" applyFill="1" applyBorder="1" applyAlignment="1">
      <alignment vertical="center"/>
    </xf>
    <xf numFmtId="4" fontId="3" fillId="0" borderId="0" xfId="0" applyNumberFormat="1" applyFont="1" applyFill="1" applyBorder="1" applyAlignment="1">
      <alignment vertical="center"/>
    </xf>
    <xf numFmtId="4" fontId="11" fillId="0" borderId="0" xfId="0" applyNumberFormat="1" applyFont="1" applyFill="1" applyAlignment="1">
      <alignment vertical="justify"/>
    </xf>
    <xf numFmtId="0" fontId="11" fillId="0" borderId="0" xfId="0" applyNumberFormat="1" applyFont="1" applyFill="1" applyAlignment="1">
      <alignment horizontal="center"/>
    </xf>
    <xf numFmtId="4" fontId="11" fillId="0" borderId="0" xfId="0" applyNumberFormat="1" applyFont="1" applyFill="1" applyAlignment="1">
      <alignment horizontal="center"/>
    </xf>
    <xf numFmtId="0" fontId="3" fillId="0" borderId="1" xfId="0" applyNumberFormat="1" applyFont="1" applyFill="1" applyBorder="1" applyAlignment="1" applyProtection="1"/>
    <xf numFmtId="0" fontId="3" fillId="0" borderId="1" xfId="0" applyFont="1" applyFill="1" applyBorder="1" applyAlignment="1" applyProtection="1"/>
    <xf numFmtId="167" fontId="3" fillId="0" borderId="3" xfId="10" applyNumberFormat="1" applyFont="1" applyFill="1" applyBorder="1" applyAlignment="1"/>
    <xf numFmtId="4" fontId="3" fillId="0" borderId="3" xfId="10" applyNumberFormat="1" applyFont="1" applyFill="1" applyBorder="1" applyAlignment="1"/>
    <xf numFmtId="4" fontId="3" fillId="0" borderId="9" xfId="10" applyNumberFormat="1" applyFont="1" applyFill="1" applyBorder="1" applyAlignment="1"/>
    <xf numFmtId="4" fontId="3" fillId="0" borderId="1" xfId="11" applyNumberFormat="1" applyFont="1" applyFill="1" applyBorder="1" applyAlignment="1">
      <alignment horizontal="right" wrapText="1"/>
    </xf>
    <xf numFmtId="4" fontId="10" fillId="0" borderId="1" xfId="0" applyNumberFormat="1" applyFont="1" applyBorder="1" applyAlignment="1"/>
    <xf numFmtId="167" fontId="3" fillId="0" borderId="9" xfId="11" applyNumberFormat="1" applyFont="1" applyFill="1" applyBorder="1" applyAlignment="1"/>
    <xf numFmtId="4" fontId="3" fillId="0" borderId="3" xfId="11" applyNumberFormat="1" applyFont="1" applyFill="1" applyBorder="1" applyAlignment="1"/>
    <xf numFmtId="4" fontId="3" fillId="0" borderId="9" xfId="11" applyNumberFormat="1" applyFont="1" applyFill="1" applyBorder="1" applyAlignment="1"/>
    <xf numFmtId="4" fontId="10" fillId="0" borderId="10" xfId="0" applyNumberFormat="1" applyFont="1" applyBorder="1" applyAlignment="1"/>
    <xf numFmtId="0" fontId="3" fillId="0" borderId="1" xfId="0" applyNumberFormat="1" applyFont="1" applyFill="1" applyBorder="1" applyAlignment="1" applyProtection="1">
      <alignment horizontal="center"/>
    </xf>
    <xf numFmtId="0" fontId="3" fillId="0" borderId="1" xfId="0" applyFont="1" applyFill="1" applyBorder="1" applyAlignment="1" applyProtection="1">
      <alignment horizontal="center"/>
    </xf>
    <xf numFmtId="4" fontId="7" fillId="0" borderId="12" xfId="0" applyNumberFormat="1" applyFont="1" applyFill="1" applyBorder="1" applyAlignment="1">
      <alignment vertical="justify"/>
    </xf>
    <xf numFmtId="0" fontId="7" fillId="0" borderId="12" xfId="0" applyNumberFormat="1" applyFont="1" applyFill="1" applyBorder="1" applyAlignment="1">
      <alignment horizontal="center" vertical="center"/>
    </xf>
    <xf numFmtId="4" fontId="7" fillId="0" borderId="12" xfId="0" applyNumberFormat="1" applyFont="1" applyFill="1" applyBorder="1" applyAlignment="1">
      <alignment horizontal="center" vertical="center"/>
    </xf>
    <xf numFmtId="0" fontId="3" fillId="0" borderId="1" xfId="0" applyNumberFormat="1" applyFont="1" applyFill="1" applyBorder="1" applyAlignment="1" applyProtection="1">
      <alignment vertical="center"/>
    </xf>
    <xf numFmtId="4" fontId="9" fillId="5" borderId="6" xfId="8" applyNumberFormat="1" applyFont="1" applyFill="1" applyBorder="1" applyAlignment="1">
      <alignment vertical="center" wrapText="1"/>
    </xf>
    <xf numFmtId="4" fontId="9" fillId="5" borderId="7" xfId="8" applyNumberFormat="1" applyFont="1" applyFill="1" applyBorder="1" applyAlignment="1">
      <alignment vertical="center" wrapText="1"/>
    </xf>
    <xf numFmtId="4" fontId="7" fillId="5" borderId="1" xfId="8" applyNumberFormat="1" applyFont="1" applyFill="1" applyBorder="1" applyAlignment="1">
      <alignment vertical="center" wrapText="1"/>
    </xf>
    <xf numFmtId="4" fontId="17" fillId="0" borderId="0" xfId="8" applyNumberFormat="1" applyFont="1" applyFill="1" applyBorder="1" applyAlignment="1">
      <alignment vertical="center"/>
    </xf>
    <xf numFmtId="49" fontId="8" fillId="0" borderId="0" xfId="8" applyNumberFormat="1" applyFont="1" applyFill="1" applyBorder="1" applyAlignment="1">
      <alignment vertical="center"/>
    </xf>
    <xf numFmtId="49" fontId="12" fillId="0" borderId="0" xfId="8" applyNumberFormat="1" applyFont="1" applyFill="1" applyBorder="1" applyAlignment="1">
      <alignment vertical="center"/>
    </xf>
    <xf numFmtId="4" fontId="9" fillId="0" borderId="0" xfId="8" applyNumberFormat="1" applyFont="1" applyFill="1" applyBorder="1" applyAlignment="1">
      <alignment vertical="top" wrapText="1"/>
    </xf>
    <xf numFmtId="4" fontId="18" fillId="0" borderId="0" xfId="8" applyNumberFormat="1" applyFont="1" applyFill="1" applyBorder="1" applyAlignment="1">
      <alignment horizontal="left" vertical="top" wrapText="1"/>
    </xf>
    <xf numFmtId="166" fontId="3" fillId="0" borderId="0" xfId="8" applyNumberFormat="1" applyFont="1" applyFill="1" applyAlignment="1">
      <alignment horizontal="center" vertical="center" wrapText="1"/>
    </xf>
    <xf numFmtId="4" fontId="7" fillId="5" borderId="1" xfId="8" applyNumberFormat="1" applyFont="1" applyFill="1" applyBorder="1" applyAlignment="1">
      <alignment horizontal="left" vertical="center" wrapText="1"/>
    </xf>
    <xf numFmtId="0" fontId="7" fillId="5" borderId="1" xfId="8" applyNumberFormat="1" applyFont="1" applyFill="1" applyBorder="1" applyAlignment="1">
      <alignment horizontal="center" vertical="center" wrapText="1"/>
    </xf>
    <xf numFmtId="4" fontId="7" fillId="5" borderId="1" xfId="8" applyNumberFormat="1" applyFont="1" applyFill="1" applyBorder="1" applyAlignment="1">
      <alignment horizontal="center" vertical="center" wrapText="1"/>
    </xf>
    <xf numFmtId="4" fontId="7" fillId="0" borderId="0" xfId="8" applyNumberFormat="1" applyFont="1" applyFill="1" applyAlignment="1">
      <alignment horizontal="left" vertical="center" wrapText="1"/>
    </xf>
    <xf numFmtId="0" fontId="3" fillId="0" borderId="0" xfId="8" applyNumberFormat="1" applyFont="1" applyFill="1" applyAlignment="1">
      <alignment horizontal="center" vertical="center" wrapText="1"/>
    </xf>
    <xf numFmtId="4" fontId="3" fillId="0" borderId="1" xfId="11" applyNumberFormat="1" applyFont="1" applyFill="1" applyBorder="1" applyAlignment="1">
      <alignment vertical="center" wrapText="1"/>
    </xf>
    <xf numFmtId="0" fontId="15" fillId="0" borderId="0" xfId="0" applyFont="1" applyFill="1"/>
    <xf numFmtId="4" fontId="16" fillId="5" borderId="1" xfId="8" applyNumberFormat="1" applyFont="1" applyFill="1" applyBorder="1" applyAlignment="1">
      <alignment horizontal="left" vertical="center" wrapText="1"/>
    </xf>
    <xf numFmtId="0" fontId="7" fillId="5" borderId="1" xfId="8" applyNumberFormat="1" applyFont="1" applyFill="1" applyBorder="1" applyAlignment="1" applyProtection="1">
      <alignment horizontal="center" vertical="center" wrapText="1"/>
    </xf>
    <xf numFmtId="0" fontId="7" fillId="5" borderId="1" xfId="8" applyFont="1" applyFill="1" applyBorder="1" applyAlignment="1" applyProtection="1">
      <alignment horizontal="center" vertical="center" wrapText="1"/>
    </xf>
    <xf numFmtId="166" fontId="13" fillId="5" borderId="1" xfId="8" applyNumberFormat="1" applyFont="1" applyFill="1" applyBorder="1" applyAlignment="1" applyProtection="1">
      <alignment horizontal="center" vertical="center" wrapText="1"/>
    </xf>
    <xf numFmtId="4" fontId="7" fillId="5" borderId="1" xfId="11" applyNumberFormat="1" applyFont="1" applyFill="1" applyBorder="1" applyAlignment="1">
      <alignment horizontal="right" vertical="center" wrapText="1"/>
    </xf>
    <xf numFmtId="0" fontId="13" fillId="0" borderId="0" xfId="0" applyFont="1"/>
    <xf numFmtId="4" fontId="7" fillId="0" borderId="0" xfId="8" applyNumberFormat="1" applyFont="1" applyFill="1" applyBorder="1" applyAlignment="1">
      <alignment horizontal="left" vertical="center" wrapText="1"/>
    </xf>
    <xf numFmtId="0" fontId="7" fillId="0" borderId="0" xfId="8" applyNumberFormat="1" applyFont="1" applyFill="1" applyBorder="1" applyAlignment="1">
      <alignment horizontal="center" vertical="center" wrapText="1"/>
    </xf>
    <xf numFmtId="4" fontId="3" fillId="0" borderId="0" xfId="8" applyNumberFormat="1" applyFont="1" applyFill="1" applyBorder="1" applyAlignment="1">
      <alignment horizontal="center" vertical="center" wrapText="1"/>
    </xf>
    <xf numFmtId="166" fontId="3" fillId="0" borderId="0" xfId="8" applyNumberFormat="1" applyFont="1" applyFill="1" applyBorder="1" applyAlignment="1">
      <alignment horizontal="center" vertical="center" wrapText="1"/>
    </xf>
    <xf numFmtId="4" fontId="7" fillId="0" borderId="0" xfId="8" applyNumberFormat="1" applyFont="1" applyFill="1" applyBorder="1" applyAlignment="1">
      <alignment horizontal="center" vertical="center" wrapText="1"/>
    </xf>
    <xf numFmtId="4" fontId="9" fillId="2" borderId="0" xfId="8" applyNumberFormat="1" applyFont="1" applyFill="1" applyBorder="1" applyAlignment="1">
      <alignment horizontal="left" vertical="center" wrapText="1"/>
    </xf>
    <xf numFmtId="4" fontId="16" fillId="3" borderId="0" xfId="8" applyNumberFormat="1" applyFont="1" applyFill="1" applyBorder="1" applyAlignment="1">
      <alignment horizontal="left" vertical="center" wrapText="1"/>
    </xf>
    <xf numFmtId="0" fontId="7" fillId="3" borderId="0" xfId="8" applyFont="1" applyFill="1" applyBorder="1" applyAlignment="1" applyProtection="1">
      <alignment horizontal="center" vertical="center" wrapText="1"/>
    </xf>
    <xf numFmtId="4" fontId="7" fillId="3" borderId="0" xfId="11" applyNumberFormat="1" applyFont="1" applyFill="1" applyBorder="1" applyAlignment="1">
      <alignment horizontal="right" vertical="center" wrapText="1"/>
    </xf>
    <xf numFmtId="4" fontId="7" fillId="3" borderId="0" xfId="11" applyNumberFormat="1" applyFont="1" applyFill="1" applyBorder="1" applyAlignment="1">
      <alignment horizontal="center" vertical="center" wrapText="1"/>
    </xf>
    <xf numFmtId="0" fontId="13" fillId="3" borderId="0" xfId="0" applyFont="1" applyFill="1" applyBorder="1"/>
    <xf numFmtId="166" fontId="13" fillId="4" borderId="1" xfId="8" applyNumberFormat="1" applyFont="1" applyFill="1" applyBorder="1" applyAlignment="1" applyProtection="1">
      <alignment horizontal="right" vertical="center" wrapText="1"/>
    </xf>
    <xf numFmtId="4" fontId="7" fillId="4" borderId="1" xfId="11" applyNumberFormat="1" applyFont="1" applyFill="1" applyBorder="1" applyAlignment="1">
      <alignment horizontal="right" vertical="center" wrapText="1"/>
    </xf>
    <xf numFmtId="0" fontId="10" fillId="0" borderId="0" xfId="0" applyFont="1"/>
    <xf numFmtId="4" fontId="10" fillId="0" borderId="0" xfId="0" applyNumberFormat="1" applyFont="1"/>
    <xf numFmtId="0" fontId="3" fillId="0" borderId="0" xfId="0" applyNumberFormat="1" applyFont="1" applyFill="1" applyAlignment="1">
      <alignment vertical="center"/>
    </xf>
    <xf numFmtId="4" fontId="3" fillId="0" borderId="0" xfId="0" applyNumberFormat="1" applyFont="1" applyFill="1" applyAlignment="1">
      <alignment vertical="center"/>
    </xf>
    <xf numFmtId="4" fontId="7" fillId="0" borderId="0" xfId="0" applyNumberFormat="1" applyFont="1" applyFill="1" applyAlignment="1">
      <alignment vertical="justify"/>
    </xf>
    <xf numFmtId="0" fontId="3" fillId="0" borderId="0" xfId="0" applyNumberFormat="1" applyFont="1" applyFill="1" applyBorder="1" applyAlignment="1" applyProtection="1">
      <alignment vertical="center"/>
    </xf>
    <xf numFmtId="4" fontId="3" fillId="0" borderId="0" xfId="0" applyNumberFormat="1" applyFont="1" applyFill="1" applyBorder="1" applyAlignment="1" applyProtection="1">
      <alignment vertical="center"/>
    </xf>
    <xf numFmtId="0" fontId="3" fillId="4" borderId="7" xfId="0" applyNumberFormat="1" applyFont="1" applyFill="1" applyBorder="1" applyAlignment="1">
      <alignment vertical="center"/>
    </xf>
    <xf numFmtId="4" fontId="3" fillId="4" borderId="7" xfId="0" applyNumberFormat="1" applyFont="1" applyFill="1" applyBorder="1" applyAlignment="1">
      <alignment vertical="center"/>
    </xf>
    <xf numFmtId="0" fontId="3" fillId="0" borderId="0" xfId="0" applyFont="1" applyFill="1" applyBorder="1" applyAlignment="1" applyProtection="1">
      <alignment vertical="justify"/>
    </xf>
    <xf numFmtId="0" fontId="3" fillId="0" borderId="0" xfId="0" applyFont="1" applyFill="1" applyBorder="1" applyAlignment="1" applyProtection="1">
      <alignment vertical="center"/>
    </xf>
    <xf numFmtId="4"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vertical="center"/>
    </xf>
    <xf numFmtId="0" fontId="11" fillId="0" borderId="0" xfId="0" applyNumberFormat="1" applyFont="1" applyFill="1" applyAlignment="1"/>
    <xf numFmtId="4" fontId="11" fillId="0" borderId="0" xfId="0" applyNumberFormat="1" applyFont="1" applyFill="1"/>
    <xf numFmtId="0" fontId="14" fillId="0" borderId="0" xfId="0" applyFont="1"/>
    <xf numFmtId="0" fontId="12" fillId="0" borderId="0" xfId="0" applyFont="1" applyFill="1" applyBorder="1" applyAlignment="1">
      <alignment vertical="center"/>
    </xf>
    <xf numFmtId="49" fontId="19" fillId="0" borderId="0" xfId="8" applyNumberFormat="1" applyFont="1" applyFill="1" applyBorder="1" applyAlignment="1">
      <alignment vertical="center"/>
    </xf>
    <xf numFmtId="0" fontId="20" fillId="0" borderId="0" xfId="0" applyFont="1" applyFill="1"/>
    <xf numFmtId="2" fontId="3" fillId="0" borderId="1" xfId="0" applyNumberFormat="1" applyFont="1" applyFill="1" applyBorder="1" applyAlignment="1"/>
    <xf numFmtId="4" fontId="3" fillId="0" borderId="1" xfId="0" applyNumberFormat="1" applyFont="1" applyBorder="1" applyAlignment="1"/>
    <xf numFmtId="3" fontId="7" fillId="0" borderId="4" xfId="0" applyNumberFormat="1" applyFont="1" applyBorder="1" applyAlignment="1"/>
    <xf numFmtId="3" fontId="7" fillId="8" borderId="1" xfId="0" applyNumberFormat="1" applyFont="1" applyFill="1" applyBorder="1" applyAlignment="1"/>
    <xf numFmtId="3" fontId="7" fillId="8" borderId="10" xfId="0" applyNumberFormat="1" applyFont="1" applyFill="1" applyBorder="1" applyAlignment="1"/>
    <xf numFmtId="3" fontId="7" fillId="0" borderId="4" xfId="0" applyNumberFormat="1" applyFont="1" applyBorder="1"/>
    <xf numFmtId="3" fontId="7" fillId="3" borderId="1" xfId="0" applyNumberFormat="1" applyFont="1" applyFill="1" applyBorder="1" applyAlignment="1"/>
    <xf numFmtId="3" fontId="7" fillId="4" borderId="1" xfId="0" applyNumberFormat="1" applyFont="1" applyFill="1" applyBorder="1"/>
    <xf numFmtId="4" fontId="21" fillId="0" borderId="0" xfId="8" applyNumberFormat="1" applyFont="1" applyFill="1" applyBorder="1" applyAlignment="1">
      <alignment horizontal="left" vertical="top" wrapText="1"/>
    </xf>
    <xf numFmtId="0" fontId="22" fillId="0" borderId="0" xfId="0" applyFont="1" applyFill="1"/>
    <xf numFmtId="0" fontId="23" fillId="0" borderId="0" xfId="0" applyFont="1" applyFill="1"/>
    <xf numFmtId="0" fontId="24" fillId="0" borderId="0" xfId="0" applyFont="1" applyFill="1"/>
    <xf numFmtId="0" fontId="3" fillId="9" borderId="0" xfId="0" applyFont="1" applyFill="1" applyAlignment="1">
      <alignment horizontal="right"/>
    </xf>
    <xf numFmtId="3" fontId="7" fillId="11" borderId="1" xfId="0" applyNumberFormat="1" applyFont="1" applyFill="1" applyBorder="1"/>
    <xf numFmtId="4" fontId="3" fillId="11" borderId="1" xfId="0" applyNumberFormat="1" applyFont="1" applyFill="1" applyBorder="1"/>
    <xf numFmtId="4" fontId="11" fillId="0" borderId="14" xfId="0" applyNumberFormat="1" applyFont="1" applyFill="1" applyBorder="1" applyAlignment="1">
      <alignment vertical="justify"/>
    </xf>
    <xf numFmtId="0" fontId="11" fillId="0" borderId="14" xfId="0" applyNumberFormat="1" applyFont="1" applyFill="1" applyBorder="1" applyAlignment="1">
      <alignment horizontal="center"/>
    </xf>
    <xf numFmtId="4" fontId="11" fillId="0" borderId="14" xfId="0" applyNumberFormat="1" applyFont="1" applyFill="1" applyBorder="1" applyAlignment="1">
      <alignment horizontal="center"/>
    </xf>
    <xf numFmtId="4" fontId="3" fillId="0" borderId="14" xfId="0" applyNumberFormat="1" applyFont="1" applyFill="1" applyBorder="1"/>
    <xf numFmtId="4" fontId="7" fillId="11" borderId="6" xfId="0" applyNumberFormat="1" applyFont="1" applyFill="1" applyBorder="1" applyAlignment="1">
      <alignment vertical="justify"/>
    </xf>
    <xf numFmtId="0" fontId="3" fillId="11" borderId="7" xfId="0" applyNumberFormat="1" applyFont="1" applyFill="1" applyBorder="1" applyAlignment="1">
      <alignment horizontal="center" vertical="center"/>
    </xf>
    <xf numFmtId="4" fontId="3" fillId="11" borderId="7" xfId="0" applyNumberFormat="1" applyFont="1" applyFill="1" applyBorder="1" applyAlignment="1">
      <alignment horizontal="center" vertical="center"/>
    </xf>
    <xf numFmtId="4" fontId="3" fillId="11" borderId="8" xfId="0" applyNumberFormat="1" applyFont="1" applyFill="1" applyBorder="1" applyAlignment="1">
      <alignment horizontal="center" vertical="center"/>
    </xf>
    <xf numFmtId="4" fontId="7" fillId="11" borderId="1" xfId="10" applyNumberFormat="1" applyFont="1" applyFill="1" applyBorder="1" applyAlignment="1">
      <alignment vertical="center"/>
    </xf>
    <xf numFmtId="0" fontId="3" fillId="11" borderId="1" xfId="0" applyFont="1" applyFill="1" applyBorder="1" applyAlignment="1" applyProtection="1">
      <alignment vertical="justify"/>
    </xf>
    <xf numFmtId="0" fontId="3" fillId="11" borderId="1" xfId="0" applyNumberFormat="1" applyFont="1" applyFill="1" applyBorder="1" applyAlignment="1" applyProtection="1">
      <alignment vertical="center"/>
    </xf>
    <xf numFmtId="0" fontId="3" fillId="11" borderId="1" xfId="0" applyFont="1" applyFill="1" applyBorder="1" applyAlignment="1" applyProtection="1">
      <alignment vertical="center"/>
    </xf>
    <xf numFmtId="0" fontId="10" fillId="11" borderId="1" xfId="0" applyNumberFormat="1" applyFont="1" applyFill="1" applyBorder="1" applyAlignment="1" applyProtection="1">
      <alignment vertical="center"/>
    </xf>
    <xf numFmtId="0" fontId="7" fillId="0" borderId="0" xfId="0" applyFont="1" applyAlignment="1">
      <alignment horizontal="left"/>
    </xf>
    <xf numFmtId="0" fontId="26" fillId="0" borderId="0" xfId="0" applyFont="1"/>
    <xf numFmtId="4" fontId="9" fillId="0" borderId="0" xfId="8" applyNumberFormat="1" applyFont="1" applyFill="1" applyBorder="1" applyAlignment="1">
      <alignment horizontal="left" vertical="center" wrapText="1"/>
    </xf>
    <xf numFmtId="3" fontId="7" fillId="8" borderId="11" xfId="0" applyNumberFormat="1" applyFont="1" applyFill="1" applyBorder="1" applyAlignment="1"/>
    <xf numFmtId="0" fontId="7" fillId="0" borderId="20" xfId="0" applyFont="1" applyBorder="1" applyAlignment="1">
      <alignment horizontal="center" vertical="center"/>
    </xf>
    <xf numFmtId="0" fontId="7" fillId="0" borderId="21" xfId="0" applyFont="1" applyBorder="1" applyAlignment="1">
      <alignment horizontal="center" vertical="center"/>
    </xf>
    <xf numFmtId="3" fontId="7" fillId="0" borderId="24" xfId="0" applyNumberFormat="1" applyFont="1" applyBorder="1" applyAlignment="1"/>
    <xf numFmtId="3" fontId="7" fillId="0" borderId="25" xfId="0" applyNumberFormat="1" applyFont="1" applyBorder="1" applyAlignment="1"/>
    <xf numFmtId="3" fontId="7" fillId="8" borderId="28" xfId="0" applyNumberFormat="1" applyFont="1" applyFill="1" applyBorder="1" applyAlignment="1"/>
    <xf numFmtId="3" fontId="7" fillId="8" borderId="29" xfId="0" applyNumberFormat="1" applyFont="1" applyFill="1" applyBorder="1" applyAlignment="1"/>
    <xf numFmtId="3" fontId="7" fillId="8" borderId="20" xfId="0" applyNumberFormat="1" applyFont="1" applyFill="1" applyBorder="1" applyAlignment="1"/>
    <xf numFmtId="3" fontId="7" fillId="8" borderId="21" xfId="0" applyNumberFormat="1" applyFont="1" applyFill="1" applyBorder="1" applyAlignment="1"/>
    <xf numFmtId="3" fontId="7" fillId="8" borderId="30" xfId="0" applyNumberFormat="1" applyFont="1" applyFill="1" applyBorder="1" applyAlignment="1"/>
    <xf numFmtId="3" fontId="7" fillId="8" borderId="31" xfId="0" applyNumberFormat="1" applyFont="1" applyFill="1" applyBorder="1" applyAlignment="1"/>
    <xf numFmtId="3" fontId="7" fillId="0" borderId="24" xfId="0" applyNumberFormat="1" applyFont="1" applyBorder="1"/>
    <xf numFmtId="3" fontId="7" fillId="0" borderId="25" xfId="0" applyNumberFormat="1" applyFont="1" applyBorder="1"/>
    <xf numFmtId="3" fontId="7" fillId="3" borderId="28" xfId="0" applyNumberFormat="1" applyFont="1" applyFill="1" applyBorder="1" applyAlignment="1"/>
    <xf numFmtId="3" fontId="7" fillId="3" borderId="29" xfId="0" applyNumberFormat="1" applyFont="1" applyFill="1" applyBorder="1" applyAlignment="1"/>
    <xf numFmtId="3" fontId="7" fillId="4" borderId="28" xfId="0" applyNumberFormat="1" applyFont="1" applyFill="1" applyBorder="1"/>
    <xf numFmtId="3" fontId="7" fillId="11" borderId="28" xfId="0" applyNumberFormat="1" applyFont="1" applyFill="1" applyBorder="1"/>
    <xf numFmtId="3" fontId="7" fillId="11" borderId="29" xfId="0" applyNumberFormat="1" applyFont="1" applyFill="1" applyBorder="1"/>
    <xf numFmtId="3" fontId="1" fillId="0" borderId="4" xfId="0" applyNumberFormat="1" applyFont="1" applyBorder="1" applyAlignment="1"/>
    <xf numFmtId="4" fontId="3" fillId="3" borderId="1" xfId="0" applyNumberFormat="1" applyFont="1" applyFill="1" applyBorder="1"/>
    <xf numFmtId="4" fontId="3" fillId="0" borderId="7" xfId="0" applyNumberFormat="1" applyFont="1" applyFill="1" applyBorder="1" applyAlignment="1">
      <alignment vertical="center"/>
    </xf>
    <xf numFmtId="0" fontId="7" fillId="0" borderId="0" xfId="0" applyFont="1" applyFill="1" applyBorder="1" applyAlignment="1">
      <alignment vertical="center" wrapText="1"/>
    </xf>
    <xf numFmtId="14" fontId="25" fillId="0" borderId="0" xfId="0" applyNumberFormat="1" applyFont="1" applyAlignment="1">
      <alignment vertical="center"/>
    </xf>
    <xf numFmtId="0" fontId="1" fillId="0" borderId="0" xfId="0" applyFont="1" applyBorder="1" applyAlignment="1" applyProtection="1">
      <alignment vertical="center"/>
    </xf>
    <xf numFmtId="0" fontId="7" fillId="15" borderId="1" xfId="0" applyFont="1" applyFill="1" applyBorder="1" applyAlignment="1" applyProtection="1">
      <alignment horizontal="center" vertical="center"/>
    </xf>
    <xf numFmtId="0" fontId="7" fillId="15" borderId="1" xfId="15" applyFont="1" applyFill="1" applyBorder="1" applyAlignment="1" applyProtection="1">
      <alignment horizontal="left" vertical="center" wrapText="1"/>
    </xf>
    <xf numFmtId="0" fontId="7" fillId="15" borderId="1" xfId="15" applyFont="1" applyFill="1" applyBorder="1" applyAlignment="1" applyProtection="1">
      <alignment horizontal="center" vertical="center" wrapText="1"/>
    </xf>
    <xf numFmtId="0" fontId="7" fillId="15" borderId="1" xfId="15" applyFont="1" applyFill="1" applyBorder="1" applyAlignment="1" applyProtection="1">
      <alignment vertical="center" wrapText="1"/>
    </xf>
    <xf numFmtId="0" fontId="7" fillId="16" borderId="1" xfId="0" applyFont="1" applyFill="1" applyBorder="1" applyAlignment="1" applyProtection="1">
      <alignment horizontal="center" vertical="center" wrapText="1"/>
    </xf>
    <xf numFmtId="0" fontId="7" fillId="16" borderId="1" xfId="0" applyFont="1" applyFill="1" applyBorder="1" applyAlignment="1" applyProtection="1">
      <alignment vertical="center" wrapText="1"/>
    </xf>
    <xf numFmtId="4" fontId="7" fillId="15" borderId="1" xfId="15" applyNumberFormat="1" applyFont="1" applyFill="1" applyBorder="1" applyAlignment="1" applyProtection="1">
      <alignment horizontal="right" vertical="center" wrapText="1"/>
    </xf>
    <xf numFmtId="0" fontId="1" fillId="3" borderId="1" xfId="0" applyFont="1" applyFill="1" applyBorder="1" applyAlignment="1" applyProtection="1">
      <alignment horizontal="center" vertical="center" wrapText="1"/>
    </xf>
    <xf numFmtId="0" fontId="1" fillId="3" borderId="1" xfId="0" applyFont="1" applyFill="1" applyBorder="1" applyAlignment="1" applyProtection="1">
      <alignment vertical="center" wrapText="1"/>
    </xf>
    <xf numFmtId="4" fontId="1" fillId="0" borderId="0" xfId="0" applyNumberFormat="1" applyFont="1" applyAlignment="1">
      <alignment vertical="center"/>
    </xf>
    <xf numFmtId="0" fontId="7" fillId="16" borderId="1" xfId="0" applyFont="1" applyFill="1" applyBorder="1" applyAlignment="1" applyProtection="1">
      <alignment horizontal="center" vertical="center"/>
    </xf>
    <xf numFmtId="0" fontId="7" fillId="16" borderId="1" xfId="0" applyFont="1" applyFill="1" applyBorder="1" applyAlignment="1" applyProtection="1">
      <alignment vertical="center"/>
    </xf>
    <xf numFmtId="1" fontId="1" fillId="3" borderId="1" xfId="0" applyNumberFormat="1" applyFont="1" applyFill="1" applyBorder="1" applyAlignment="1">
      <alignment horizontal="center" vertical="center"/>
    </xf>
    <xf numFmtId="4" fontId="1" fillId="0" borderId="1" xfId="15" applyNumberFormat="1" applyFont="1" applyFill="1" applyBorder="1" applyAlignment="1" applyProtection="1">
      <alignment horizontal="right" vertical="center" wrapText="1"/>
      <protection locked="0"/>
    </xf>
    <xf numFmtId="1" fontId="1" fillId="3" borderId="1" xfId="15" applyNumberFormat="1" applyFont="1" applyFill="1" applyBorder="1" applyAlignment="1" applyProtection="1">
      <alignment horizontal="left" vertical="center" wrapText="1"/>
    </xf>
    <xf numFmtId="1" fontId="1" fillId="3" borderId="1" xfId="15" applyNumberFormat="1" applyFont="1" applyFill="1" applyBorder="1" applyAlignment="1" applyProtection="1">
      <alignment horizontal="center" vertical="center" wrapText="1"/>
    </xf>
    <xf numFmtId="1" fontId="1" fillId="3" borderId="1" xfId="0" applyNumberFormat="1" applyFont="1" applyFill="1" applyBorder="1" applyAlignment="1">
      <alignment vertical="center" wrapText="1"/>
    </xf>
    <xf numFmtId="1" fontId="1" fillId="3" borderId="1" xfId="0" applyNumberFormat="1" applyFont="1" applyFill="1" applyBorder="1" applyAlignment="1">
      <alignment horizontal="center" vertical="center" wrapText="1"/>
    </xf>
    <xf numFmtId="4" fontId="1" fillId="3" borderId="1" xfId="15" applyNumberFormat="1" applyFont="1" applyFill="1" applyBorder="1" applyAlignment="1" applyProtection="1">
      <alignment horizontal="righ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1" fillId="17" borderId="1" xfId="0" applyFont="1" applyFill="1" applyBorder="1" applyAlignment="1" applyProtection="1">
      <alignment vertical="center" wrapText="1"/>
    </xf>
    <xf numFmtId="3" fontId="1" fillId="3" borderId="1" xfId="0" applyNumberFormat="1" applyFont="1" applyFill="1" applyBorder="1" applyAlignment="1" applyProtection="1">
      <alignment horizontal="center" vertical="center" wrapText="1"/>
    </xf>
    <xf numFmtId="4" fontId="1" fillId="3" borderId="1" xfId="15" applyNumberFormat="1" applyFont="1" applyFill="1" applyBorder="1" applyAlignment="1" applyProtection="1">
      <alignment horizontal="center" vertical="center" wrapText="1"/>
    </xf>
    <xf numFmtId="4" fontId="1" fillId="3" borderId="1" xfId="15" applyNumberFormat="1" applyFont="1" applyFill="1" applyBorder="1" applyAlignment="1" applyProtection="1">
      <alignment horizontal="left" vertical="center" wrapText="1"/>
    </xf>
    <xf numFmtId="4" fontId="30" fillId="14" borderId="8" xfId="15" applyNumberFormat="1" applyFont="1" applyFill="1" applyBorder="1" applyAlignment="1" applyProtection="1">
      <alignment vertical="center" wrapText="1"/>
    </xf>
    <xf numFmtId="4" fontId="1" fillId="0" borderId="0" xfId="0" applyNumberFormat="1" applyFont="1" applyBorder="1" applyAlignment="1" applyProtection="1">
      <alignment vertical="center"/>
    </xf>
    <xf numFmtId="4" fontId="1" fillId="0" borderId="0" xfId="0" applyNumberFormat="1" applyFont="1" applyFill="1" applyBorder="1" applyAlignment="1" applyProtection="1">
      <alignment vertical="center"/>
    </xf>
    <xf numFmtId="4" fontId="3" fillId="9" borderId="0" xfId="7" applyNumberFormat="1" applyFont="1" applyFill="1" applyAlignment="1">
      <alignment horizontal="center"/>
    </xf>
    <xf numFmtId="3" fontId="7" fillId="0" borderId="0" xfId="0" applyNumberFormat="1" applyFont="1"/>
    <xf numFmtId="3" fontId="7" fillId="8" borderId="5" xfId="0" applyNumberFormat="1" applyFont="1" applyFill="1" applyBorder="1" applyAlignment="1"/>
    <xf numFmtId="4" fontId="7" fillId="15" borderId="6" xfId="15" applyNumberFormat="1" applyFont="1" applyFill="1" applyBorder="1" applyAlignment="1" applyProtection="1">
      <alignment vertical="center" wrapText="1"/>
    </xf>
    <xf numFmtId="4" fontId="7" fillId="15" borderId="29" xfId="15" applyNumberFormat="1" applyFont="1" applyFill="1" applyBorder="1" applyAlignment="1" applyProtection="1">
      <alignment vertical="center"/>
    </xf>
    <xf numFmtId="4" fontId="30" fillId="18" borderId="6" xfId="15" applyNumberFormat="1" applyFont="1" applyFill="1" applyBorder="1" applyAlignment="1" applyProtection="1">
      <alignment vertical="center"/>
    </xf>
    <xf numFmtId="4" fontId="30" fillId="18" borderId="28" xfId="15" applyNumberFormat="1" applyFont="1" applyFill="1" applyBorder="1" applyAlignment="1" applyProtection="1">
      <alignment vertical="center"/>
    </xf>
    <xf numFmtId="4" fontId="30" fillId="18" borderId="1" xfId="15" applyNumberFormat="1" applyFont="1" applyFill="1" applyBorder="1" applyAlignment="1" applyProtection="1">
      <alignment vertical="center"/>
    </xf>
    <xf numFmtId="4" fontId="30" fillId="18" borderId="29" xfId="15" applyNumberFormat="1" applyFont="1" applyFill="1" applyBorder="1" applyAlignment="1" applyProtection="1">
      <alignment vertical="center"/>
    </xf>
    <xf numFmtId="4" fontId="30" fillId="14" borderId="8" xfId="15" applyNumberFormat="1" applyFont="1" applyFill="1" applyBorder="1" applyAlignment="1" applyProtection="1">
      <alignment vertical="center"/>
    </xf>
    <xf numFmtId="4" fontId="7" fillId="15" borderId="6" xfId="15" applyNumberFormat="1" applyFont="1" applyFill="1" applyBorder="1" applyAlignment="1" applyProtection="1">
      <alignment horizontal="right" vertical="center" wrapText="1"/>
    </xf>
    <xf numFmtId="4" fontId="30" fillId="18" borderId="7" xfId="15" applyNumberFormat="1" applyFont="1" applyFill="1" applyBorder="1" applyAlignment="1" applyProtection="1">
      <alignment vertical="center" wrapText="1"/>
    </xf>
    <xf numFmtId="4" fontId="3" fillId="0" borderId="0" xfId="0" applyNumberFormat="1" applyFont="1" applyFill="1" applyBorder="1" applyAlignment="1">
      <alignment horizontal="right" vertical="center"/>
    </xf>
    <xf numFmtId="4" fontId="3" fillId="0" borderId="0" xfId="0" applyNumberFormat="1" applyFont="1" applyFill="1" applyAlignment="1">
      <alignment horizontal="right"/>
    </xf>
    <xf numFmtId="0" fontId="7" fillId="16" borderId="8" xfId="0" applyFont="1" applyFill="1" applyBorder="1" applyAlignment="1" applyProtection="1">
      <alignment vertical="center" wrapText="1"/>
    </xf>
    <xf numFmtId="0" fontId="7" fillId="16" borderId="6" xfId="0" applyFont="1" applyFill="1" applyBorder="1" applyAlignment="1" applyProtection="1">
      <alignment vertical="center"/>
    </xf>
    <xf numFmtId="0" fontId="7" fillId="16" borderId="8" xfId="0" applyFont="1" applyFill="1" applyBorder="1" applyAlignment="1" applyProtection="1">
      <alignment vertical="center"/>
    </xf>
    <xf numFmtId="0" fontId="30" fillId="14" borderId="6" xfId="15" applyFont="1" applyFill="1" applyBorder="1" applyAlignment="1" applyProtection="1">
      <alignment vertical="center"/>
    </xf>
    <xf numFmtId="0" fontId="30" fillId="14" borderId="7" xfId="15" applyFont="1" applyFill="1" applyBorder="1" applyAlignment="1" applyProtection="1">
      <alignment vertical="center"/>
    </xf>
    <xf numFmtId="0" fontId="30" fillId="14" borderId="8" xfId="15" applyFont="1" applyFill="1" applyBorder="1" applyAlignment="1" applyProtection="1">
      <alignment vertical="center"/>
    </xf>
    <xf numFmtId="4" fontId="30" fillId="14" borderId="6" xfId="15" applyNumberFormat="1" applyFont="1" applyFill="1" applyBorder="1" applyAlignment="1" applyProtection="1">
      <alignment vertical="center" wrapText="1"/>
    </xf>
    <xf numFmtId="4" fontId="30" fillId="14" borderId="7" xfId="15" applyNumberFormat="1" applyFont="1" applyFill="1" applyBorder="1" applyAlignment="1" applyProtection="1">
      <alignment vertical="center" wrapText="1"/>
    </xf>
    <xf numFmtId="4" fontId="30" fillId="14" borderId="6" xfId="15" applyNumberFormat="1" applyFont="1" applyFill="1" applyBorder="1" applyAlignment="1" applyProtection="1">
      <alignment vertical="center"/>
    </xf>
    <xf numFmtId="4" fontId="30" fillId="14" borderId="7" xfId="15" applyNumberFormat="1" applyFont="1" applyFill="1" applyBorder="1" applyAlignment="1" applyProtection="1">
      <alignment vertical="center"/>
    </xf>
    <xf numFmtId="0" fontId="7" fillId="15" borderId="6" xfId="0" applyFont="1" applyFill="1" applyBorder="1" applyAlignment="1" applyProtection="1">
      <alignment vertical="center"/>
    </xf>
    <xf numFmtId="0" fontId="7" fillId="15" borderId="8" xfId="0" applyFont="1" applyFill="1" applyBorder="1" applyAlignment="1" applyProtection="1">
      <alignment vertical="center"/>
    </xf>
    <xf numFmtId="4" fontId="32" fillId="0" borderId="1" xfId="8" applyNumberFormat="1" applyFont="1" applyFill="1" applyBorder="1" applyAlignment="1">
      <alignment horizontal="left" vertical="center" wrapText="1"/>
    </xf>
    <xf numFmtId="4" fontId="32" fillId="3" borderId="1" xfId="8" applyNumberFormat="1" applyFont="1" applyFill="1" applyBorder="1" applyAlignment="1">
      <alignment horizontal="left" vertical="center" wrapText="1"/>
    </xf>
    <xf numFmtId="4" fontId="17" fillId="0" borderId="0" xfId="8" applyNumberFormat="1" applyFont="1" applyFill="1" applyBorder="1" applyAlignment="1">
      <alignment horizontal="right" vertical="center"/>
    </xf>
    <xf numFmtId="49" fontId="8" fillId="0" borderId="0" xfId="8" applyNumberFormat="1" applyFont="1" applyFill="1" applyBorder="1" applyAlignment="1">
      <alignment horizontal="right" vertical="center"/>
    </xf>
    <xf numFmtId="4" fontId="9" fillId="0" borderId="0" xfId="8" applyNumberFormat="1" applyFont="1" applyFill="1" applyBorder="1" applyAlignment="1">
      <alignment horizontal="right" vertical="top" wrapText="1"/>
    </xf>
    <xf numFmtId="4" fontId="18" fillId="0" borderId="0" xfId="8" applyNumberFormat="1" applyFont="1" applyFill="1" applyBorder="1" applyAlignment="1">
      <alignment horizontal="right" vertical="top" wrapText="1"/>
    </xf>
    <xf numFmtId="166" fontId="3" fillId="0" borderId="0" xfId="8" applyNumberFormat="1" applyFont="1" applyFill="1" applyAlignment="1">
      <alignment horizontal="right" vertical="center" wrapText="1"/>
    </xf>
    <xf numFmtId="0" fontId="7" fillId="5" borderId="1" xfId="8" applyNumberFormat="1" applyFont="1" applyFill="1" applyBorder="1" applyAlignment="1">
      <alignment horizontal="right" vertical="center" wrapText="1"/>
    </xf>
    <xf numFmtId="4" fontId="7" fillId="5" borderId="1" xfId="8" applyNumberFormat="1" applyFont="1" applyFill="1" applyBorder="1" applyAlignment="1">
      <alignment horizontal="right" vertical="center" wrapText="1"/>
    </xf>
    <xf numFmtId="0" fontId="3" fillId="0" borderId="0" xfId="8" applyNumberFormat="1" applyFont="1" applyFill="1" applyAlignment="1">
      <alignment horizontal="right" vertical="center" wrapText="1"/>
    </xf>
    <xf numFmtId="4" fontId="3" fillId="0" borderId="0" xfId="8" applyNumberFormat="1" applyFont="1" applyFill="1" applyAlignment="1">
      <alignment horizontal="right" vertical="center" wrapText="1"/>
    </xf>
    <xf numFmtId="4" fontId="1" fillId="0" borderId="1" xfId="8" applyNumberFormat="1" applyFont="1" applyFill="1" applyBorder="1" applyAlignment="1">
      <alignment horizontal="right" vertical="center" wrapText="1"/>
    </xf>
    <xf numFmtId="0" fontId="7" fillId="5" borderId="1" xfId="8" applyNumberFormat="1" applyFont="1" applyFill="1" applyBorder="1" applyAlignment="1" applyProtection="1">
      <alignment horizontal="right" vertical="center" wrapText="1"/>
    </xf>
    <xf numFmtId="166" fontId="13" fillId="5" borderId="1" xfId="8" applyNumberFormat="1" applyFont="1" applyFill="1" applyBorder="1" applyAlignment="1" applyProtection="1">
      <alignment horizontal="right" vertical="center" wrapText="1"/>
    </xf>
    <xf numFmtId="0" fontId="7" fillId="0" borderId="0" xfId="8" applyNumberFormat="1" applyFont="1" applyFill="1" applyBorder="1" applyAlignment="1">
      <alignment horizontal="right" vertical="center" wrapText="1"/>
    </xf>
    <xf numFmtId="166" fontId="3" fillId="0" borderId="0" xfId="8" applyNumberFormat="1" applyFont="1" applyFill="1" applyBorder="1" applyAlignment="1">
      <alignment horizontal="right" vertical="center" wrapText="1"/>
    </xf>
    <xf numFmtId="4" fontId="7" fillId="0" borderId="0" xfId="8" applyNumberFormat="1" applyFont="1" applyFill="1" applyBorder="1" applyAlignment="1">
      <alignment horizontal="right" vertical="center" wrapText="1"/>
    </xf>
    <xf numFmtId="4" fontId="21" fillId="0" borderId="0" xfId="8" applyNumberFormat="1" applyFont="1" applyFill="1" applyBorder="1" applyAlignment="1">
      <alignment horizontal="right" vertical="top" wrapText="1"/>
    </xf>
    <xf numFmtId="4" fontId="9" fillId="2" borderId="0" xfId="8" applyNumberFormat="1" applyFont="1" applyFill="1" applyBorder="1" applyAlignment="1">
      <alignment horizontal="right" vertical="center" wrapText="1"/>
    </xf>
    <xf numFmtId="0" fontId="7" fillId="3" borderId="0" xfId="8" applyNumberFormat="1" applyFont="1" applyFill="1" applyBorder="1" applyAlignment="1" applyProtection="1">
      <alignment horizontal="right" vertical="center" wrapText="1"/>
    </xf>
    <xf numFmtId="166" fontId="13" fillId="3" borderId="0" xfId="8" applyNumberFormat="1" applyFont="1" applyFill="1" applyBorder="1" applyAlignment="1" applyProtection="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 fontId="17" fillId="0" borderId="0" xfId="8" applyNumberFormat="1" applyFont="1" applyFill="1" applyBorder="1" applyAlignment="1">
      <alignment horizontal="center" vertical="center"/>
    </xf>
    <xf numFmtId="49" fontId="8" fillId="0" borderId="0" xfId="8" applyNumberFormat="1" applyFont="1" applyFill="1" applyBorder="1" applyAlignment="1">
      <alignment horizontal="center" vertical="center"/>
    </xf>
    <xf numFmtId="4" fontId="9" fillId="0" borderId="0" xfId="8" applyNumberFormat="1" applyFont="1" applyFill="1" applyBorder="1" applyAlignment="1">
      <alignment horizontal="center" vertical="top" wrapText="1"/>
    </xf>
    <xf numFmtId="4" fontId="18" fillId="0" borderId="0" xfId="8" applyNumberFormat="1" applyFont="1" applyFill="1" applyBorder="1" applyAlignment="1">
      <alignment horizontal="center" vertical="top" wrapText="1"/>
    </xf>
    <xf numFmtId="4" fontId="21" fillId="0" borderId="0" xfId="8" applyNumberFormat="1" applyFont="1" applyFill="1" applyBorder="1" applyAlignment="1">
      <alignment horizontal="center" vertical="top" wrapText="1"/>
    </xf>
    <xf numFmtId="4" fontId="9" fillId="2" borderId="0" xfId="8" applyNumberFormat="1" applyFont="1" applyFill="1" applyBorder="1" applyAlignment="1">
      <alignment horizontal="center" vertical="center" wrapText="1"/>
    </xf>
    <xf numFmtId="0" fontId="10" fillId="0" borderId="0" xfId="0" applyFont="1" applyAlignment="1">
      <alignment horizontal="center"/>
    </xf>
    <xf numFmtId="1" fontId="32" fillId="0" borderId="1" xfId="8" applyNumberFormat="1" applyFont="1" applyFill="1" applyBorder="1" applyAlignment="1">
      <alignment horizontal="right" vertical="center" wrapText="1"/>
    </xf>
    <xf numFmtId="4" fontId="32" fillId="0" borderId="1" xfId="8" applyNumberFormat="1" applyFont="1" applyFill="1" applyBorder="1" applyAlignment="1">
      <alignment horizontal="center" vertical="center" wrapText="1"/>
    </xf>
    <xf numFmtId="167" fontId="32" fillId="0" borderId="1" xfId="8" applyNumberFormat="1" applyFont="1" applyFill="1" applyBorder="1" applyAlignment="1" applyProtection="1">
      <alignment horizontal="right" vertical="center" wrapText="1"/>
    </xf>
    <xf numFmtId="4" fontId="32" fillId="0" borderId="1" xfId="11" applyNumberFormat="1" applyFont="1" applyFill="1" applyBorder="1" applyAlignment="1">
      <alignment horizontal="right" vertical="center" wrapText="1"/>
    </xf>
    <xf numFmtId="4" fontId="32" fillId="0" borderId="1" xfId="11" applyNumberFormat="1" applyFont="1" applyFill="1" applyBorder="1" applyAlignment="1">
      <alignment vertical="center" wrapText="1"/>
    </xf>
    <xf numFmtId="0" fontId="32" fillId="0" borderId="0" xfId="0" applyFont="1"/>
    <xf numFmtId="4" fontId="1" fillId="0" borderId="1" xfId="11" applyNumberFormat="1" applyFont="1" applyFill="1" applyBorder="1" applyAlignment="1">
      <alignment vertical="center" wrapText="1"/>
    </xf>
    <xf numFmtId="0" fontId="32" fillId="0" borderId="0" xfId="0" applyFont="1" applyFill="1"/>
    <xf numFmtId="0" fontId="32" fillId="0" borderId="1" xfId="0" applyFont="1" applyFill="1" applyBorder="1" applyAlignment="1">
      <alignment horizontal="center" vertical="center" wrapText="1"/>
    </xf>
    <xf numFmtId="0" fontId="13" fillId="11" borderId="6" xfId="0" applyFont="1" applyFill="1" applyBorder="1"/>
    <xf numFmtId="0" fontId="13" fillId="11" borderId="7" xfId="0" applyFont="1" applyFill="1" applyBorder="1" applyAlignment="1">
      <alignment horizontal="right"/>
    </xf>
    <xf numFmtId="0" fontId="13" fillId="11" borderId="7" xfId="0" applyFont="1" applyFill="1" applyBorder="1" applyAlignment="1">
      <alignment horizontal="center"/>
    </xf>
    <xf numFmtId="0" fontId="13" fillId="11" borderId="1" xfId="0" applyFont="1" applyFill="1" applyBorder="1" applyAlignment="1">
      <alignment horizontal="right"/>
    </xf>
    <xf numFmtId="4" fontId="13" fillId="11" borderId="1" xfId="0" applyNumberFormat="1" applyFont="1" applyFill="1" applyBorder="1" applyAlignment="1">
      <alignment horizontal="right"/>
    </xf>
    <xf numFmtId="0" fontId="33" fillId="0" borderId="0" xfId="0" applyFont="1"/>
    <xf numFmtId="0" fontId="7" fillId="11" borderId="7" xfId="0" applyNumberFormat="1" applyFont="1" applyFill="1" applyBorder="1" applyAlignment="1">
      <alignment horizontal="center" vertical="center"/>
    </xf>
    <xf numFmtId="4" fontId="7" fillId="11" borderId="7" xfId="0" applyNumberFormat="1" applyFont="1" applyFill="1" applyBorder="1" applyAlignment="1">
      <alignment horizontal="center" vertical="center"/>
    </xf>
    <xf numFmtId="4" fontId="7" fillId="11" borderId="1" xfId="0" applyNumberFormat="1" applyFont="1" applyFill="1" applyBorder="1"/>
    <xf numFmtId="0" fontId="13" fillId="11" borderId="7" xfId="0" applyFont="1" applyFill="1" applyBorder="1"/>
    <xf numFmtId="4" fontId="13" fillId="11" borderId="1" xfId="0" applyNumberFormat="1" applyFont="1" applyFill="1" applyBorder="1"/>
    <xf numFmtId="4" fontId="30" fillId="14" borderId="28" xfId="15" applyNumberFormat="1" applyFont="1" applyFill="1" applyBorder="1" applyAlignment="1" applyProtection="1">
      <alignment vertical="center"/>
    </xf>
    <xf numFmtId="4" fontId="30" fillId="14" borderId="28" xfId="15" applyNumberFormat="1" applyFont="1" applyFill="1" applyBorder="1" applyAlignment="1" applyProtection="1">
      <alignment vertical="center" wrapText="1"/>
    </xf>
    <xf numFmtId="0" fontId="1" fillId="0" borderId="0" xfId="0" applyFont="1" applyBorder="1" applyAlignment="1" applyProtection="1">
      <alignment horizontal="center" vertical="center"/>
    </xf>
    <xf numFmtId="0" fontId="30" fillId="14" borderId="7" xfId="15" applyFont="1" applyFill="1" applyBorder="1" applyAlignment="1" applyProtection="1">
      <alignment horizontal="center" vertical="center"/>
    </xf>
    <xf numFmtId="3" fontId="1" fillId="3" borderId="1" xfId="14" quotePrefix="1" applyNumberFormat="1" applyFont="1" applyFill="1" applyBorder="1" applyAlignment="1">
      <alignment horizontal="center" vertical="center"/>
    </xf>
    <xf numFmtId="3" fontId="1" fillId="3" borderId="1" xfId="14" applyNumberFormat="1" applyFont="1" applyFill="1" applyBorder="1" applyAlignment="1">
      <alignment horizontal="center" vertical="center" wrapText="1"/>
    </xf>
    <xf numFmtId="3" fontId="1" fillId="3" borderId="1" xfId="15" applyNumberFormat="1" applyFont="1" applyFill="1" applyBorder="1" applyAlignment="1" applyProtection="1">
      <alignment horizontal="center" vertical="center" wrapText="1"/>
    </xf>
    <xf numFmtId="4" fontId="30" fillId="14" borderId="7" xfId="15" applyNumberFormat="1" applyFont="1" applyFill="1" applyBorder="1" applyAlignment="1" applyProtection="1">
      <alignment horizontal="center" vertical="center"/>
    </xf>
    <xf numFmtId="4" fontId="30" fillId="14" borderId="7" xfId="15" applyNumberFormat="1" applyFont="1" applyFill="1" applyBorder="1" applyAlignment="1" applyProtection="1">
      <alignment horizontal="center" vertical="center" wrapText="1"/>
    </xf>
    <xf numFmtId="0" fontId="15" fillId="3" borderId="1" xfId="0" applyFont="1" applyFill="1" applyBorder="1" applyAlignment="1">
      <alignment horizontal="left" vertical="center" wrapText="1"/>
    </xf>
    <xf numFmtId="1" fontId="1" fillId="19" borderId="1" xfId="15" applyNumberFormat="1" applyFont="1" applyFill="1" applyBorder="1" applyAlignment="1" applyProtection="1">
      <alignment horizontal="left" vertical="center" wrapText="1"/>
    </xf>
    <xf numFmtId="1" fontId="1" fillId="0" borderId="1" xfId="15" applyNumberFormat="1" applyFont="1" applyFill="1" applyBorder="1" applyAlignment="1" applyProtection="1">
      <alignment horizontal="left" vertic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Alignment="1" applyProtection="1">
      <alignment horizontal="center" vertical="center"/>
    </xf>
    <xf numFmtId="0" fontId="1" fillId="0" borderId="0" xfId="0" applyFont="1" applyAlignment="1" applyProtection="1">
      <alignment vertical="center"/>
    </xf>
    <xf numFmtId="4" fontId="1" fillId="0" borderId="0" xfId="0" applyNumberFormat="1" applyFont="1" applyAlignment="1" applyProtection="1">
      <alignment vertical="center"/>
    </xf>
    <xf numFmtId="4" fontId="1" fillId="0" borderId="0" xfId="0" applyNumberFormat="1" applyFont="1" applyFill="1" applyAlignment="1" applyProtection="1">
      <alignment vertical="center"/>
    </xf>
    <xf numFmtId="10" fontId="1" fillId="0" borderId="0" xfId="0" applyNumberFormat="1" applyFont="1" applyAlignment="1">
      <alignment vertical="center"/>
    </xf>
    <xf numFmtId="0" fontId="1" fillId="3" borderId="0" xfId="0" applyFont="1" applyFill="1" applyAlignment="1">
      <alignment vertical="center"/>
    </xf>
    <xf numFmtId="4" fontId="1" fillId="0" borderId="0" xfId="0" applyNumberFormat="1" applyFont="1" applyAlignment="1">
      <alignment horizontal="right" vertical="center"/>
    </xf>
    <xf numFmtId="0" fontId="1" fillId="0" borderId="0" xfId="0" applyFont="1" applyBorder="1" applyAlignment="1">
      <alignment horizontal="center" vertical="center"/>
    </xf>
    <xf numFmtId="0" fontId="1" fillId="3" borderId="1" xfId="0" applyFont="1" applyFill="1" applyBorder="1" applyAlignment="1">
      <alignment wrapText="1"/>
    </xf>
    <xf numFmtId="0" fontId="1" fillId="3" borderId="1" xfId="0" applyFont="1" applyFill="1" applyBorder="1" applyAlignment="1">
      <alignment horizontal="justify"/>
    </xf>
    <xf numFmtId="1" fontId="1" fillId="3" borderId="1" xfId="0" applyNumberFormat="1" applyFont="1" applyFill="1" applyBorder="1" applyAlignment="1">
      <alignment vertical="center"/>
    </xf>
    <xf numFmtId="3" fontId="1" fillId="3" borderId="1" xfId="14" applyNumberFormat="1" applyFont="1" applyFill="1" applyBorder="1" applyAlignment="1">
      <alignment horizontal="center" vertical="center"/>
    </xf>
    <xf numFmtId="1" fontId="1" fillId="0" borderId="1" xfId="14" applyNumberFormat="1"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1" fillId="3" borderId="1" xfId="14" applyNumberFormat="1" applyFont="1" applyFill="1" applyBorder="1" applyAlignment="1">
      <alignment horizontal="center" vertical="center" wrapText="1"/>
    </xf>
    <xf numFmtId="1" fontId="1" fillId="3" borderId="18" xfId="15" applyNumberFormat="1" applyFont="1" applyFill="1" applyBorder="1" applyAlignment="1" applyProtection="1">
      <alignment horizontal="left" vertical="center" wrapText="1"/>
    </xf>
    <xf numFmtId="1" fontId="1" fillId="3" borderId="17" xfId="15" applyNumberFormat="1" applyFont="1" applyFill="1" applyBorder="1" applyAlignment="1" applyProtection="1">
      <alignment horizontal="center" vertical="center" wrapText="1"/>
    </xf>
    <xf numFmtId="1" fontId="1" fillId="3" borderId="1" xfId="15" applyNumberFormat="1" applyFont="1" applyFill="1" applyBorder="1" applyAlignment="1" applyProtection="1">
      <alignment horizontal="justify" vertical="center" wrapText="1"/>
    </xf>
    <xf numFmtId="3" fontId="1" fillId="3" borderId="1" xfId="0" quotePrefix="1" applyNumberFormat="1"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1" fontId="1" fillId="3" borderId="0" xfId="15" applyNumberFormat="1" applyFont="1" applyFill="1" applyBorder="1" applyAlignment="1" applyProtection="1">
      <alignment horizontal="left" vertical="center" wrapText="1"/>
    </xf>
    <xf numFmtId="3" fontId="30" fillId="21" borderId="1" xfId="15" applyNumberFormat="1" applyFont="1" applyFill="1" applyBorder="1" applyAlignment="1" applyProtection="1">
      <alignment horizontal="center" vertical="center" wrapText="1"/>
    </xf>
    <xf numFmtId="3" fontId="7" fillId="21" borderId="1" xfId="15" applyNumberFormat="1" applyFont="1" applyFill="1" applyBorder="1" applyAlignment="1" applyProtection="1">
      <alignment horizontal="center" vertical="center"/>
    </xf>
    <xf numFmtId="3" fontId="30" fillId="21" borderId="1" xfId="15" applyNumberFormat="1" applyFont="1" applyFill="1" applyBorder="1" applyAlignment="1" applyProtection="1">
      <alignment horizontal="center" vertical="center"/>
    </xf>
    <xf numFmtId="3" fontId="7" fillId="21" borderId="1" xfId="15" applyNumberFormat="1" applyFont="1" applyFill="1" applyBorder="1" applyAlignment="1" applyProtection="1">
      <alignment horizontal="center" vertical="center" wrapText="1"/>
    </xf>
    <xf numFmtId="3" fontId="1" fillId="21" borderId="1" xfId="15"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1" fillId="0" borderId="0" xfId="0" applyFont="1" applyBorder="1" applyAlignment="1" applyProtection="1">
      <alignment horizontal="center" vertical="center" wrapText="1"/>
    </xf>
    <xf numFmtId="0" fontId="7" fillId="15" borderId="1" xfId="0" applyFont="1" applyFill="1" applyBorder="1" applyAlignment="1" applyProtection="1">
      <alignment horizontal="center" vertical="center" wrapText="1"/>
    </xf>
    <xf numFmtId="0" fontId="30" fillId="14" borderId="7" xfId="15" applyFont="1" applyFill="1" applyBorder="1" applyAlignment="1" applyProtection="1">
      <alignment vertical="center" wrapText="1"/>
    </xf>
    <xf numFmtId="0" fontId="7" fillId="16" borderId="7" xfId="0" applyFont="1" applyFill="1" applyBorder="1" applyAlignment="1" applyProtection="1">
      <alignment vertical="center" wrapText="1"/>
    </xf>
    <xf numFmtId="0" fontId="7" fillId="15" borderId="7" xfId="0" applyFont="1" applyFill="1" applyBorder="1" applyAlignment="1" applyProtection="1">
      <alignment vertical="center" wrapText="1"/>
    </xf>
    <xf numFmtId="1" fontId="1" fillId="3" borderId="1" xfId="0" applyNumberFormat="1" applyFont="1" applyFill="1" applyBorder="1" applyAlignment="1">
      <alignment horizontal="left" vertical="center" wrapText="1"/>
    </xf>
    <xf numFmtId="3" fontId="1" fillId="3" borderId="1" xfId="0" applyNumberFormat="1" applyFont="1" applyFill="1" applyBorder="1" applyAlignment="1" applyProtection="1">
      <alignment horizontal="center" vertical="center"/>
    </xf>
    <xf numFmtId="3" fontId="1" fillId="3" borderId="1" xfId="0" applyNumberFormat="1" applyFont="1" applyFill="1" applyBorder="1" applyAlignment="1" applyProtection="1">
      <alignment horizontal="left" vertical="center" wrapText="1"/>
    </xf>
    <xf numFmtId="4" fontId="1" fillId="3" borderId="1" xfId="15" applyNumberFormat="1" applyFont="1" applyFill="1" applyBorder="1" applyAlignment="1" applyProtection="1">
      <alignment horizontal="right" vertical="center" wrapText="1"/>
      <protection locked="0"/>
    </xf>
    <xf numFmtId="3" fontId="1" fillId="3" borderId="0" xfId="0" applyNumberFormat="1" applyFont="1" applyFill="1" applyAlignment="1">
      <alignment horizontal="center" vertical="center"/>
    </xf>
    <xf numFmtId="3" fontId="1" fillId="3" borderId="0" xfId="0" applyNumberFormat="1" applyFont="1" applyFill="1" applyAlignment="1" applyProtection="1">
      <alignment horizontal="center" vertical="center"/>
    </xf>
    <xf numFmtId="3" fontId="1" fillId="3" borderId="0" xfId="0" applyNumberFormat="1" applyFont="1" applyFill="1" applyBorder="1" applyAlignment="1" applyProtection="1">
      <alignment horizontal="center" vertical="center"/>
    </xf>
    <xf numFmtId="0" fontId="1" fillId="3" borderId="0" xfId="0" applyFont="1" applyFill="1" applyAlignment="1" applyProtection="1">
      <alignment horizontal="center" vertical="center"/>
    </xf>
    <xf numFmtId="0" fontId="1" fillId="3" borderId="0" xfId="0" applyFont="1" applyFill="1" applyAlignment="1" applyProtection="1">
      <alignment vertical="center"/>
    </xf>
    <xf numFmtId="3" fontId="1" fillId="3" borderId="1" xfId="14" applyNumberFormat="1" applyFont="1" applyFill="1" applyBorder="1" applyAlignment="1">
      <alignment vertical="center" wrapText="1"/>
    </xf>
    <xf numFmtId="3" fontId="1" fillId="3" borderId="1" xfId="14" quotePrefix="1" applyNumberFormat="1" applyFont="1" applyFill="1" applyBorder="1" applyAlignment="1">
      <alignment vertical="center"/>
    </xf>
    <xf numFmtId="3" fontId="1" fillId="3" borderId="1" xfId="15" applyNumberFormat="1" applyFont="1" applyFill="1" applyBorder="1" applyAlignment="1" applyProtection="1">
      <alignment vertical="center" wrapText="1"/>
    </xf>
    <xf numFmtId="3" fontId="1" fillId="3" borderId="1" xfId="14" applyNumberFormat="1" applyFont="1" applyFill="1" applyBorder="1" applyAlignment="1">
      <alignment vertical="center"/>
    </xf>
    <xf numFmtId="1" fontId="1" fillId="0" borderId="1" xfId="14" applyNumberFormat="1" applyFont="1" applyFill="1" applyBorder="1" applyAlignment="1">
      <alignment vertical="center" wrapText="1"/>
    </xf>
    <xf numFmtId="4" fontId="1" fillId="3" borderId="1" xfId="15" applyNumberFormat="1" applyFont="1" applyFill="1" applyBorder="1" applyAlignment="1" applyProtection="1">
      <alignment vertical="center" wrapText="1"/>
    </xf>
    <xf numFmtId="4" fontId="1" fillId="0" borderId="0" xfId="0" applyNumberFormat="1" applyFont="1" applyAlignment="1" applyProtection="1">
      <alignment horizontal="right" vertical="center"/>
    </xf>
    <xf numFmtId="4" fontId="28" fillId="13" borderId="40" xfId="0" applyNumberFormat="1" applyFont="1" applyFill="1" applyBorder="1" applyAlignment="1" applyProtection="1">
      <alignment horizontal="right" vertical="center"/>
    </xf>
    <xf numFmtId="4" fontId="1" fillId="0" borderId="0" xfId="0" applyNumberFormat="1" applyFont="1" applyBorder="1" applyAlignment="1" applyProtection="1">
      <alignment horizontal="right" vertical="center"/>
    </xf>
    <xf numFmtId="4" fontId="7" fillId="15" borderId="1" xfId="15" applyNumberFormat="1" applyFont="1" applyFill="1" applyBorder="1" applyAlignment="1" applyProtection="1">
      <alignment horizontal="right" vertical="center"/>
    </xf>
    <xf numFmtId="4" fontId="7" fillId="15" borderId="29" xfId="15" applyNumberFormat="1" applyFont="1" applyFill="1" applyBorder="1" applyAlignment="1" applyProtection="1">
      <alignment horizontal="right" vertical="center"/>
    </xf>
    <xf numFmtId="4" fontId="1" fillId="20" borderId="0" xfId="0" applyNumberFormat="1" applyFont="1" applyFill="1" applyAlignment="1">
      <alignment horizontal="right" vertical="center"/>
    </xf>
    <xf numFmtId="4" fontId="30" fillId="14" borderId="10" xfId="15" applyNumberFormat="1" applyFont="1" applyFill="1" applyBorder="1" applyAlignment="1" applyProtection="1">
      <alignment horizontal="center" vertical="center" wrapText="1"/>
    </xf>
    <xf numFmtId="4" fontId="7" fillId="15" borderId="28" xfId="15" applyNumberFormat="1" applyFont="1" applyFill="1" applyBorder="1" applyAlignment="1" applyProtection="1">
      <alignment vertical="center"/>
    </xf>
    <xf numFmtId="4" fontId="7" fillId="15" borderId="1" xfId="15" applyNumberFormat="1" applyFont="1" applyFill="1" applyBorder="1" applyAlignment="1" applyProtection="1">
      <alignment vertical="center"/>
    </xf>
    <xf numFmtId="4" fontId="7" fillId="15" borderId="28" xfId="15" applyNumberFormat="1" applyFont="1" applyFill="1" applyBorder="1" applyAlignment="1" applyProtection="1">
      <alignment vertical="center" wrapText="1"/>
    </xf>
    <xf numFmtId="4" fontId="7" fillId="15" borderId="1" xfId="15" applyNumberFormat="1" applyFont="1" applyFill="1" applyBorder="1" applyAlignment="1" applyProtection="1">
      <alignment vertical="center" wrapText="1"/>
    </xf>
    <xf numFmtId="4" fontId="7" fillId="15" borderId="29" xfId="15" applyNumberFormat="1" applyFont="1" applyFill="1" applyBorder="1" applyAlignment="1" applyProtection="1">
      <alignment vertical="center" wrapText="1"/>
    </xf>
    <xf numFmtId="4" fontId="1" fillId="3" borderId="6" xfId="14" applyNumberFormat="1" applyFont="1" applyFill="1" applyBorder="1" applyAlignment="1">
      <alignment vertical="center"/>
    </xf>
    <xf numFmtId="4" fontId="1" fillId="0" borderId="28" xfId="15" applyNumberFormat="1" applyFont="1" applyFill="1" applyBorder="1" applyAlignment="1" applyProtection="1">
      <alignment vertical="center" wrapText="1"/>
      <protection locked="0"/>
    </xf>
    <xf numFmtId="4" fontId="1" fillId="0" borderId="1" xfId="15" applyNumberFormat="1" applyFont="1" applyFill="1" applyBorder="1" applyAlignment="1" applyProtection="1">
      <alignment vertical="center" wrapText="1"/>
      <protection locked="0"/>
    </xf>
    <xf numFmtId="4" fontId="7" fillId="16" borderId="29" xfId="15" applyNumberFormat="1" applyFont="1" applyFill="1" applyBorder="1" applyAlignment="1" applyProtection="1">
      <alignment vertical="center" wrapText="1"/>
    </xf>
    <xf numFmtId="4" fontId="1" fillId="0" borderId="28" xfId="15" applyNumberFormat="1" applyFont="1" applyFill="1" applyBorder="1" applyAlignment="1" applyProtection="1">
      <alignment vertical="center" wrapText="1"/>
    </xf>
    <xf numFmtId="4" fontId="1" fillId="3" borderId="28" xfId="15" applyNumberFormat="1" applyFont="1" applyFill="1" applyBorder="1" applyAlignment="1" applyProtection="1">
      <alignment vertical="center" wrapText="1"/>
    </xf>
    <xf numFmtId="3" fontId="1" fillId="3" borderId="1" xfId="0" applyNumberFormat="1" applyFont="1" applyFill="1" applyBorder="1" applyAlignment="1">
      <alignment vertical="center" wrapText="1"/>
    </xf>
    <xf numFmtId="4" fontId="31" fillId="18" borderId="6" xfId="15" applyNumberFormat="1" applyFont="1" applyFill="1" applyBorder="1" applyAlignment="1" applyProtection="1">
      <alignment vertical="center" wrapText="1"/>
    </xf>
    <xf numFmtId="4" fontId="1" fillId="3" borderId="6" xfId="15" applyNumberFormat="1" applyFont="1" applyFill="1" applyBorder="1" applyAlignment="1" applyProtection="1">
      <alignment vertical="center" wrapText="1"/>
    </xf>
    <xf numFmtId="4" fontId="7" fillId="15" borderId="6" xfId="15" applyNumberFormat="1" applyFont="1" applyFill="1" applyBorder="1" applyAlignment="1" applyProtection="1">
      <alignment horizontal="right" vertical="center"/>
    </xf>
    <xf numFmtId="4" fontId="1" fillId="3" borderId="6" xfId="15" applyNumberFormat="1" applyFont="1" applyFill="1" applyBorder="1" applyAlignment="1" applyProtection="1">
      <alignment horizontal="right" vertical="center" wrapText="1"/>
    </xf>
    <xf numFmtId="4" fontId="30" fillId="22" borderId="1" xfId="15" applyNumberFormat="1" applyFont="1" applyFill="1" applyBorder="1" applyAlignment="1" applyProtection="1">
      <alignment horizontal="right" vertical="center"/>
    </xf>
    <xf numFmtId="4" fontId="30" fillId="22" borderId="1" xfId="15" applyNumberFormat="1" applyFont="1" applyFill="1" applyBorder="1" applyAlignment="1" applyProtection="1">
      <alignment vertical="center"/>
    </xf>
    <xf numFmtId="4" fontId="30" fillId="22" borderId="29" xfId="15" applyNumberFormat="1" applyFont="1" applyFill="1" applyBorder="1" applyAlignment="1" applyProtection="1">
      <alignment vertical="center"/>
    </xf>
    <xf numFmtId="4" fontId="15" fillId="3" borderId="1" xfId="0" applyNumberFormat="1" applyFont="1" applyFill="1" applyBorder="1" applyAlignment="1">
      <alignment vertical="center" wrapText="1"/>
    </xf>
    <xf numFmtId="4" fontId="13" fillId="0" borderId="0" xfId="0" applyNumberFormat="1" applyFont="1"/>
    <xf numFmtId="4" fontId="7" fillId="5" borderId="6" xfId="8" applyNumberFormat="1" applyFont="1" applyFill="1" applyBorder="1" applyAlignment="1">
      <alignment horizontal="center" vertical="center" wrapText="1"/>
    </xf>
    <xf numFmtId="170" fontId="9" fillId="2" borderId="0" xfId="8" applyNumberFormat="1" applyFont="1" applyFill="1" applyBorder="1" applyAlignment="1">
      <alignment horizontal="right" vertical="center" wrapText="1"/>
    </xf>
    <xf numFmtId="0" fontId="3" fillId="9" borderId="0" xfId="0" applyFont="1" applyFill="1" applyAlignment="1">
      <alignment horizontal="right" vertical="center"/>
    </xf>
    <xf numFmtId="4" fontId="3" fillId="9" borderId="0" xfId="7" applyNumberFormat="1" applyFont="1" applyFill="1" applyAlignment="1">
      <alignment horizontal="center" vertical="center"/>
    </xf>
    <xf numFmtId="4" fontId="10" fillId="0" borderId="1" xfId="0" applyNumberFormat="1" applyFont="1" applyBorder="1" applyAlignment="1">
      <alignment vertical="center"/>
    </xf>
    <xf numFmtId="4" fontId="3" fillId="11" borderId="1" xfId="0" applyNumberFormat="1" applyFont="1" applyFill="1" applyBorder="1" applyAlignment="1">
      <alignment vertical="center"/>
    </xf>
    <xf numFmtId="3" fontId="7" fillId="0" borderId="9" xfId="0" applyNumberFormat="1" applyFont="1" applyBorder="1" applyAlignment="1"/>
    <xf numFmtId="3" fontId="7" fillId="0" borderId="13" xfId="0" applyNumberFormat="1" applyFont="1" applyBorder="1" applyAlignment="1"/>
    <xf numFmtId="3" fontId="7" fillId="0" borderId="50" xfId="0" applyNumberFormat="1" applyFont="1" applyBorder="1" applyAlignment="1"/>
    <xf numFmtId="0" fontId="1" fillId="0" borderId="0" xfId="0" applyFont="1"/>
    <xf numFmtId="3" fontId="1" fillId="0" borderId="24" xfId="0" applyNumberFormat="1" applyFont="1" applyBorder="1" applyAlignment="1"/>
    <xf numFmtId="3" fontId="1" fillId="0" borderId="0" xfId="0" applyNumberFormat="1" applyFont="1"/>
    <xf numFmtId="0" fontId="7" fillId="0" borderId="53" xfId="0" applyFont="1" applyBorder="1"/>
    <xf numFmtId="1" fontId="1" fillId="3" borderId="41" xfId="15" applyNumberFormat="1" applyFont="1" applyFill="1" applyBorder="1" applyAlignment="1" applyProtection="1">
      <alignment horizontal="left" vertical="center" wrapText="1"/>
    </xf>
    <xf numFmtId="1" fontId="15" fillId="3" borderId="41" xfId="0" applyNumberFormat="1" applyFont="1" applyFill="1" applyBorder="1" applyAlignment="1">
      <alignment vertical="center" wrapText="1"/>
    </xf>
    <xf numFmtId="4" fontId="1" fillId="3" borderId="41" xfId="0" applyNumberFormat="1" applyFont="1" applyFill="1" applyBorder="1" applyAlignment="1" applyProtection="1">
      <alignment horizontal="left" vertical="center" wrapText="1"/>
    </xf>
    <xf numFmtId="1" fontId="1" fillId="3" borderId="41" xfId="0" applyNumberFormat="1" applyFont="1" applyFill="1" applyBorder="1" applyAlignment="1">
      <alignment vertical="center" wrapText="1"/>
    </xf>
    <xf numFmtId="4" fontId="1" fillId="3" borderId="41" xfId="0" applyNumberFormat="1" applyFont="1" applyFill="1" applyBorder="1" applyAlignment="1">
      <alignment vertical="center" wrapText="1"/>
    </xf>
    <xf numFmtId="0" fontId="1" fillId="3" borderId="41" xfId="0" applyFont="1" applyFill="1" applyBorder="1"/>
    <xf numFmtId="0" fontId="7" fillId="4" borderId="19" xfId="0" applyFont="1" applyFill="1" applyBorder="1"/>
    <xf numFmtId="0" fontId="7" fillId="0" borderId="32" xfId="0" applyFont="1" applyFill="1" applyBorder="1"/>
    <xf numFmtId="0" fontId="7" fillId="11" borderId="19" xfId="0" applyFont="1" applyFill="1" applyBorder="1"/>
    <xf numFmtId="0" fontId="7" fillId="0" borderId="10" xfId="0" applyFont="1" applyBorder="1" applyAlignment="1">
      <alignment horizontal="center" vertical="center" wrapText="1"/>
    </xf>
    <xf numFmtId="3" fontId="7" fillId="0" borderId="30" xfId="0" applyNumberFormat="1" applyFont="1" applyFill="1" applyBorder="1"/>
    <xf numFmtId="3" fontId="7" fillId="0" borderId="11" xfId="0" applyNumberFormat="1" applyFont="1" applyFill="1" applyBorder="1"/>
    <xf numFmtId="3" fontId="7" fillId="0" borderId="49" xfId="0" applyNumberFormat="1" applyFont="1" applyBorder="1" applyAlignment="1"/>
    <xf numFmtId="3" fontId="7" fillId="4" borderId="29" xfId="0" applyNumberFormat="1" applyFont="1" applyFill="1" applyBorder="1"/>
    <xf numFmtId="3" fontId="7" fillId="0" borderId="31" xfId="0" applyNumberFormat="1" applyFont="1" applyFill="1" applyBorder="1"/>
    <xf numFmtId="3" fontId="7" fillId="3" borderId="0" xfId="0" applyNumberFormat="1" applyFont="1" applyFill="1" applyBorder="1" applyAlignment="1"/>
    <xf numFmtId="4" fontId="7" fillId="5" borderId="6" xfId="0" applyNumberFormat="1" applyFont="1" applyFill="1" applyBorder="1" applyAlignment="1">
      <alignment vertical="center" wrapText="1"/>
    </xf>
    <xf numFmtId="4" fontId="7" fillId="5" borderId="6" xfId="10" applyNumberFormat="1" applyFont="1" applyFill="1" applyBorder="1" applyAlignment="1">
      <alignment vertical="center"/>
    </xf>
    <xf numFmtId="4" fontId="7" fillId="11" borderId="6" xfId="10" applyNumberFormat="1" applyFont="1" applyFill="1" applyBorder="1" applyAlignment="1">
      <alignment vertical="center"/>
    </xf>
    <xf numFmtId="4" fontId="7" fillId="6" borderId="8" xfId="11" applyNumberFormat="1" applyFont="1" applyFill="1" applyBorder="1" applyAlignment="1">
      <alignment horizontal="center" vertical="center" wrapText="1"/>
    </xf>
    <xf numFmtId="4" fontId="1" fillId="0" borderId="8" xfId="15" applyNumberFormat="1" applyFont="1" applyFill="1" applyBorder="1" applyAlignment="1" applyProtection="1">
      <alignment vertical="center" wrapText="1"/>
      <protection locked="0"/>
    </xf>
    <xf numFmtId="4" fontId="10" fillId="0" borderId="8" xfId="0" applyNumberFormat="1" applyFont="1" applyBorder="1"/>
    <xf numFmtId="4" fontId="7" fillId="5" borderId="8" xfId="10" applyNumberFormat="1" applyFont="1" applyFill="1" applyBorder="1" applyAlignment="1">
      <alignment vertical="center"/>
    </xf>
    <xf numFmtId="4" fontId="7" fillId="11" borderId="8" xfId="10" applyNumberFormat="1" applyFont="1" applyFill="1" applyBorder="1" applyAlignment="1">
      <alignment vertical="center"/>
    </xf>
    <xf numFmtId="4" fontId="7" fillId="6" borderId="28" xfId="11" applyNumberFormat="1" applyFont="1" applyFill="1" applyBorder="1" applyAlignment="1">
      <alignment horizontal="center" vertical="center" wrapText="1"/>
    </xf>
    <xf numFmtId="4" fontId="7" fillId="5" borderId="29" xfId="11" applyNumberFormat="1" applyFont="1" applyFill="1" applyBorder="1" applyAlignment="1">
      <alignment horizontal="center" vertical="center" wrapText="1"/>
    </xf>
    <xf numFmtId="4" fontId="3" fillId="0" borderId="32" xfId="8" applyNumberFormat="1" applyFont="1" applyFill="1" applyBorder="1" applyAlignment="1">
      <alignment horizontal="center" vertical="center" wrapText="1"/>
    </xf>
    <xf numFmtId="4" fontId="3" fillId="0" borderId="56" xfId="8" applyNumberFormat="1" applyFont="1" applyFill="1" applyBorder="1" applyAlignment="1">
      <alignment horizontal="center" vertical="center" wrapText="1"/>
    </xf>
    <xf numFmtId="4" fontId="1" fillId="0" borderId="29" xfId="15" applyNumberFormat="1" applyFont="1" applyFill="1" applyBorder="1" applyAlignment="1" applyProtection="1">
      <alignment vertical="center" wrapText="1"/>
      <protection locked="0"/>
    </xf>
    <xf numFmtId="4" fontId="3" fillId="0" borderId="28" xfId="11" applyNumberFormat="1" applyFont="1" applyFill="1" applyBorder="1" applyAlignment="1">
      <alignment horizontal="right" vertical="center" wrapText="1"/>
    </xf>
    <xf numFmtId="4" fontId="3" fillId="0" borderId="29" xfId="11" applyNumberFormat="1" applyFont="1" applyFill="1" applyBorder="1" applyAlignment="1">
      <alignment horizontal="right" vertical="center" wrapText="1"/>
    </xf>
    <xf numFmtId="4" fontId="7" fillId="5" borderId="28" xfId="10" applyNumberFormat="1" applyFont="1" applyFill="1" applyBorder="1" applyAlignment="1">
      <alignment vertical="center"/>
    </xf>
    <xf numFmtId="4" fontId="7" fillId="5" borderId="29" xfId="10" applyNumberFormat="1" applyFont="1" applyFill="1" applyBorder="1" applyAlignment="1">
      <alignment vertical="center"/>
    </xf>
    <xf numFmtId="4" fontId="3" fillId="0" borderId="32" xfId="0" applyNumberFormat="1" applyFont="1" applyFill="1" applyBorder="1"/>
    <xf numFmtId="4" fontId="3" fillId="0" borderId="56" xfId="0" applyNumberFormat="1" applyFont="1" applyFill="1" applyBorder="1"/>
    <xf numFmtId="4" fontId="7" fillId="11" borderId="28" xfId="10" applyNumberFormat="1" applyFont="1" applyFill="1" applyBorder="1" applyAlignment="1">
      <alignment vertical="center"/>
    </xf>
    <xf numFmtId="4" fontId="7" fillId="11" borderId="29" xfId="10" applyNumberFormat="1" applyFont="1" applyFill="1" applyBorder="1" applyAlignment="1">
      <alignment vertical="center"/>
    </xf>
    <xf numFmtId="4" fontId="7" fillId="5" borderId="6" xfId="11" applyNumberFormat="1" applyFont="1" applyFill="1" applyBorder="1" applyAlignment="1">
      <alignment horizontal="center" vertical="center" wrapText="1"/>
    </xf>
    <xf numFmtId="4" fontId="1" fillId="0" borderId="6" xfId="15" applyNumberFormat="1" applyFont="1" applyFill="1" applyBorder="1" applyAlignment="1" applyProtection="1">
      <alignment vertical="center" wrapText="1"/>
      <protection locked="0"/>
    </xf>
    <xf numFmtId="4" fontId="10" fillId="0" borderId="6" xfId="0" applyNumberFormat="1" applyFont="1" applyBorder="1"/>
    <xf numFmtId="0" fontId="15" fillId="0" borderId="32" xfId="0" applyFont="1" applyBorder="1"/>
    <xf numFmtId="0" fontId="15" fillId="0" borderId="0" xfId="0" applyFont="1" applyBorder="1"/>
    <xf numFmtId="0" fontId="15" fillId="0" borderId="56" xfId="0" applyFont="1" applyBorder="1"/>
    <xf numFmtId="4" fontId="10" fillId="0" borderId="28" xfId="0" applyNumberFormat="1" applyFont="1" applyBorder="1"/>
    <xf numFmtId="4" fontId="10" fillId="0" borderId="29" xfId="0" applyNumberFormat="1" applyFont="1" applyBorder="1"/>
    <xf numFmtId="0" fontId="3" fillId="0" borderId="32" xfId="0" applyFont="1" applyFill="1" applyBorder="1"/>
    <xf numFmtId="0" fontId="3" fillId="0" borderId="0" xfId="0" applyFont="1" applyFill="1" applyBorder="1"/>
    <xf numFmtId="0" fontId="3" fillId="0" borderId="56" xfId="0" applyFont="1" applyFill="1" applyBorder="1"/>
    <xf numFmtId="4" fontId="7" fillId="5" borderId="6" xfId="0" applyNumberFormat="1" applyFont="1" applyFill="1" applyBorder="1" applyAlignment="1">
      <alignment horizontal="center" vertical="center" wrapText="1"/>
    </xf>
    <xf numFmtId="4" fontId="3" fillId="0" borderId="57" xfId="10" applyNumberFormat="1" applyFont="1" applyFill="1" applyBorder="1" applyAlignment="1">
      <alignment vertical="center"/>
    </xf>
    <xf numFmtId="4" fontId="3" fillId="0" borderId="57" xfId="10" applyNumberFormat="1" applyFont="1" applyFill="1" applyBorder="1" applyAlignment="1"/>
    <xf numFmtId="4" fontId="3" fillId="0" borderId="8" xfId="0" applyNumberFormat="1" applyFont="1" applyFill="1" applyBorder="1" applyAlignment="1"/>
    <xf numFmtId="4" fontId="3" fillId="0" borderId="28" xfId="0" applyNumberFormat="1" applyFont="1" applyFill="1" applyBorder="1" applyAlignment="1"/>
    <xf numFmtId="4" fontId="3" fillId="0" borderId="29" xfId="0" applyNumberFormat="1" applyFont="1" applyFill="1" applyBorder="1" applyAlignment="1"/>
    <xf numFmtId="4" fontId="3" fillId="0" borderId="6" xfId="0" applyNumberFormat="1" applyFont="1" applyFill="1" applyBorder="1" applyAlignment="1"/>
    <xf numFmtId="4" fontId="3" fillId="0" borderId="28" xfId="0" applyNumberFormat="1" applyFont="1" applyBorder="1" applyAlignment="1"/>
    <xf numFmtId="4" fontId="3" fillId="0" borderId="29" xfId="0" applyNumberFormat="1" applyFont="1" applyBorder="1" applyAlignment="1"/>
    <xf numFmtId="4" fontId="3" fillId="0" borderId="6" xfId="11" applyNumberFormat="1" applyFont="1" applyFill="1" applyBorder="1" applyAlignment="1">
      <alignment vertical="center" wrapText="1"/>
    </xf>
    <xf numFmtId="4" fontId="7" fillId="5" borderId="6" xfId="11" applyNumberFormat="1" applyFont="1" applyFill="1" applyBorder="1" applyAlignment="1">
      <alignment horizontal="right" vertical="center" wrapText="1"/>
    </xf>
    <xf numFmtId="4" fontId="7" fillId="5" borderId="8" xfId="11" applyNumberFormat="1" applyFont="1" applyFill="1" applyBorder="1" applyAlignment="1">
      <alignment horizontal="right" vertical="center" wrapText="1"/>
    </xf>
    <xf numFmtId="4" fontId="7" fillId="5" borderId="28" xfId="11" applyNumberFormat="1" applyFont="1" applyFill="1" applyBorder="1" applyAlignment="1">
      <alignment horizontal="right" vertical="center" wrapText="1"/>
    </xf>
    <xf numFmtId="4" fontId="7" fillId="5" borderId="29" xfId="11" applyNumberFormat="1" applyFont="1" applyFill="1" applyBorder="1" applyAlignment="1">
      <alignment horizontal="right" vertical="center" wrapText="1"/>
    </xf>
    <xf numFmtId="4" fontId="3" fillId="0" borderId="28" xfId="11" applyNumberFormat="1" applyFont="1" applyFill="1" applyBorder="1" applyAlignment="1">
      <alignment vertical="center" wrapText="1"/>
    </xf>
    <xf numFmtId="4" fontId="3" fillId="0" borderId="29" xfId="11" applyNumberFormat="1" applyFont="1" applyFill="1" applyBorder="1" applyAlignment="1">
      <alignment vertical="center" wrapText="1"/>
    </xf>
    <xf numFmtId="0" fontId="3" fillId="0" borderId="32" xfId="0" applyFont="1" applyFill="1" applyBorder="1" applyAlignment="1">
      <alignment vertical="center"/>
    </xf>
    <xf numFmtId="0" fontId="3" fillId="0" borderId="0" xfId="0" applyFont="1" applyFill="1" applyBorder="1" applyAlignment="1">
      <alignment vertical="center"/>
    </xf>
    <xf numFmtId="0" fontId="3" fillId="0" borderId="56" xfId="0" applyFont="1" applyFill="1" applyBorder="1" applyAlignment="1">
      <alignment vertical="center"/>
    </xf>
    <xf numFmtId="4" fontId="10" fillId="0" borderId="28" xfId="0" applyNumberFormat="1" applyFont="1" applyBorder="1" applyAlignment="1">
      <alignment vertical="center"/>
    </xf>
    <xf numFmtId="4" fontId="10" fillId="0" borderId="29" xfId="0" applyNumberFormat="1" applyFont="1" applyBorder="1" applyAlignment="1">
      <alignment vertical="center"/>
    </xf>
    <xf numFmtId="4" fontId="30" fillId="14" borderId="1" xfId="15" applyNumberFormat="1" applyFont="1" applyFill="1" applyBorder="1" applyAlignment="1" applyProtection="1">
      <alignment horizontal="right" vertical="center"/>
    </xf>
    <xf numFmtId="4" fontId="30" fillId="14" borderId="1" xfId="15" applyNumberFormat="1" applyFont="1" applyFill="1" applyBorder="1" applyAlignment="1" applyProtection="1">
      <alignment vertical="center"/>
    </xf>
    <xf numFmtId="4" fontId="30" fillId="14" borderId="29" xfId="15" applyNumberFormat="1" applyFont="1" applyFill="1" applyBorder="1" applyAlignment="1" applyProtection="1">
      <alignment vertical="center"/>
    </xf>
    <xf numFmtId="4" fontId="30" fillId="14" borderId="1" xfId="15" applyNumberFormat="1" applyFont="1" applyFill="1" applyBorder="1" applyAlignment="1" applyProtection="1">
      <alignment horizontal="right" vertical="center" wrapText="1"/>
    </xf>
    <xf numFmtId="4" fontId="30" fillId="14" borderId="1" xfId="15" applyNumberFormat="1" applyFont="1" applyFill="1" applyBorder="1" applyAlignment="1" applyProtection="1">
      <alignment vertical="center" wrapText="1"/>
    </xf>
    <xf numFmtId="4" fontId="30" fillId="18" borderId="1" xfId="15" applyNumberFormat="1" applyFont="1" applyFill="1" applyBorder="1" applyAlignment="1" applyProtection="1">
      <alignment vertical="center" wrapText="1"/>
    </xf>
    <xf numFmtId="4" fontId="31" fillId="14" borderId="6" xfId="15" applyNumberFormat="1" applyFont="1" applyFill="1" applyBorder="1" applyAlignment="1" applyProtection="1">
      <alignment vertical="center" wrapText="1"/>
    </xf>
    <xf numFmtId="4" fontId="30" fillId="18" borderId="10" xfId="15" applyNumberFormat="1" applyFont="1" applyFill="1" applyBorder="1" applyAlignment="1" applyProtection="1">
      <alignment horizontal="center" vertical="center" wrapText="1"/>
    </xf>
    <xf numFmtId="0" fontId="15" fillId="3" borderId="0" xfId="0" applyFont="1" applyFill="1"/>
    <xf numFmtId="4" fontId="7" fillId="3" borderId="0" xfId="8" applyNumberFormat="1" applyFont="1" applyFill="1" applyBorder="1" applyAlignment="1">
      <alignment horizontal="left" vertical="center" wrapText="1"/>
    </xf>
    <xf numFmtId="0" fontId="7" fillId="3" borderId="0" xfId="8" applyNumberFormat="1" applyFont="1" applyFill="1" applyBorder="1" applyAlignment="1">
      <alignment horizontal="center" vertical="center" wrapText="1"/>
    </xf>
    <xf numFmtId="4" fontId="7" fillId="3" borderId="0" xfId="8" applyNumberFormat="1" applyFont="1" applyFill="1" applyBorder="1" applyAlignment="1">
      <alignment horizontal="center" vertical="center" wrapText="1"/>
    </xf>
    <xf numFmtId="1" fontId="1" fillId="3" borderId="42" xfId="15" applyNumberFormat="1" applyFont="1" applyFill="1" applyBorder="1" applyAlignment="1" applyProtection="1">
      <alignment horizontal="left" vertical="center" wrapText="1"/>
    </xf>
    <xf numFmtId="3" fontId="1" fillId="0" borderId="4" xfId="0" applyNumberFormat="1" applyFont="1" applyBorder="1" applyAlignment="1">
      <alignment vertical="center" wrapText="1"/>
    </xf>
    <xf numFmtId="3" fontId="1" fillId="0" borderId="25" xfId="0" applyNumberFormat="1" applyFont="1" applyBorder="1" applyAlignment="1"/>
    <xf numFmtId="3" fontId="1" fillId="0" borderId="24" xfId="0" applyNumberFormat="1" applyFont="1" applyBorder="1"/>
    <xf numFmtId="3" fontId="1" fillId="0" borderId="4" xfId="0" applyNumberFormat="1" applyFont="1" applyBorder="1"/>
    <xf numFmtId="1" fontId="1" fillId="3" borderId="41" xfId="0" applyNumberFormat="1" applyFont="1" applyFill="1" applyBorder="1" applyAlignment="1">
      <alignment horizontal="left"/>
    </xf>
    <xf numFmtId="4" fontId="1" fillId="3" borderId="16" xfId="0" applyNumberFormat="1" applyFont="1" applyFill="1" applyBorder="1" applyAlignment="1">
      <alignment horizontal="justify" vertical="center" wrapText="1"/>
    </xf>
    <xf numFmtId="4" fontId="1" fillId="0" borderId="41" xfId="0" applyNumberFormat="1" applyFont="1" applyBorder="1" applyAlignment="1">
      <alignment horizontal="justify" vertical="center" wrapText="1"/>
    </xf>
    <xf numFmtId="0" fontId="1" fillId="9" borderId="0" xfId="0" applyFont="1" applyFill="1" applyAlignment="1">
      <alignment horizontal="right"/>
    </xf>
    <xf numFmtId="4" fontId="1" fillId="9" borderId="0" xfId="7" applyNumberFormat="1" applyFont="1" applyFill="1" applyAlignment="1">
      <alignment horizontal="center"/>
    </xf>
    <xf numFmtId="4" fontId="1" fillId="0" borderId="22" xfId="0" applyNumberFormat="1" applyFont="1" applyBorder="1" applyAlignment="1"/>
    <xf numFmtId="4" fontId="1" fillId="0" borderId="3" xfId="0" applyNumberFormat="1" applyFont="1" applyBorder="1" applyAlignment="1">
      <alignment vertical="center" wrapText="1"/>
    </xf>
    <xf numFmtId="4" fontId="1" fillId="0" borderId="23" xfId="0" applyNumberFormat="1" applyFont="1" applyBorder="1" applyAlignment="1"/>
    <xf numFmtId="4" fontId="1" fillId="0" borderId="3" xfId="0" applyNumberFormat="1" applyFont="1" applyBorder="1" applyAlignment="1"/>
    <xf numFmtId="4" fontId="1" fillId="0" borderId="22" xfId="0" applyNumberFormat="1" applyFont="1" applyBorder="1"/>
    <xf numFmtId="4" fontId="1" fillId="0" borderId="3" xfId="0" applyNumberFormat="1" applyFont="1" applyBorder="1"/>
    <xf numFmtId="4" fontId="1" fillId="0" borderId="23" xfId="0" applyNumberFormat="1" applyFont="1" applyBorder="1"/>
    <xf numFmtId="0" fontId="7" fillId="0" borderId="41" xfId="0" applyFont="1" applyBorder="1"/>
    <xf numFmtId="3" fontId="1" fillId="0" borderId="51" xfId="0" applyNumberFormat="1" applyFont="1" applyBorder="1" applyAlignment="1"/>
    <xf numFmtId="3" fontId="1" fillId="0" borderId="43" xfId="0" applyNumberFormat="1" applyFont="1" applyBorder="1" applyAlignment="1"/>
    <xf numFmtId="3" fontId="1" fillId="0" borderId="44" xfId="0" applyNumberFormat="1" applyFont="1" applyBorder="1" applyAlignment="1"/>
    <xf numFmtId="3" fontId="1" fillId="0" borderId="51" xfId="0" applyNumberFormat="1" applyFont="1" applyBorder="1"/>
    <xf numFmtId="3" fontId="1" fillId="0" borderId="43" xfId="0" applyNumberFormat="1" applyFont="1" applyBorder="1"/>
    <xf numFmtId="0" fontId="7" fillId="8" borderId="42" xfId="0" applyFont="1" applyFill="1" applyBorder="1"/>
    <xf numFmtId="3" fontId="1" fillId="0" borderId="22" xfId="0" applyNumberFormat="1" applyFont="1" applyBorder="1" applyAlignment="1"/>
    <xf numFmtId="3" fontId="1" fillId="0" borderId="3" xfId="0" applyNumberFormat="1" applyFont="1" applyBorder="1" applyAlignment="1">
      <alignment vertical="center" wrapText="1"/>
    </xf>
    <xf numFmtId="3" fontId="1" fillId="0" borderId="23" xfId="0" applyNumberFormat="1" applyFont="1" applyBorder="1" applyAlignment="1"/>
    <xf numFmtId="3" fontId="1" fillId="0" borderId="3" xfId="0" applyNumberFormat="1" applyFont="1" applyBorder="1" applyAlignment="1"/>
    <xf numFmtId="3" fontId="1" fillId="0" borderId="22" xfId="0" applyNumberFormat="1" applyFont="1" applyBorder="1"/>
    <xf numFmtId="3" fontId="1" fillId="0" borderId="3" xfId="0" applyNumberFormat="1" applyFont="1" applyBorder="1"/>
    <xf numFmtId="0" fontId="36" fillId="0" borderId="41" xfId="0" applyFont="1" applyBorder="1"/>
    <xf numFmtId="4" fontId="1" fillId="0" borderId="41" xfId="0" applyNumberFormat="1" applyFont="1" applyBorder="1" applyAlignment="1"/>
    <xf numFmtId="1" fontId="1" fillId="0" borderId="41" xfId="0" applyNumberFormat="1" applyFont="1" applyBorder="1"/>
    <xf numFmtId="0" fontId="1" fillId="0" borderId="54" xfId="0" applyFont="1" applyBorder="1"/>
    <xf numFmtId="3" fontId="1" fillId="0" borderId="26" xfId="0" applyNumberFormat="1" applyFont="1" applyBorder="1"/>
    <xf numFmtId="3" fontId="1" fillId="0" borderId="5" xfId="0" applyNumberFormat="1" applyFont="1" applyBorder="1"/>
    <xf numFmtId="3" fontId="1" fillId="0" borderId="27" xfId="0" applyNumberFormat="1" applyFont="1" applyBorder="1"/>
    <xf numFmtId="0" fontId="7" fillId="9" borderId="41" xfId="0" applyFont="1" applyFill="1" applyBorder="1" applyAlignment="1">
      <alignment horizontal="center"/>
    </xf>
    <xf numFmtId="3" fontId="1" fillId="0" borderId="13" xfId="0" applyNumberFormat="1" applyFont="1" applyBorder="1" applyAlignment="1">
      <alignment vertical="center" wrapText="1"/>
    </xf>
    <xf numFmtId="3" fontId="1" fillId="0" borderId="41" xfId="0" applyNumberFormat="1" applyFont="1" applyBorder="1" applyAlignment="1">
      <alignment vertical="center"/>
    </xf>
    <xf numFmtId="3" fontId="1" fillId="0" borderId="1" xfId="0" applyNumberFormat="1" applyFont="1" applyBorder="1" applyAlignment="1">
      <alignment vertical="center"/>
    </xf>
    <xf numFmtId="3" fontId="1" fillId="0" borderId="58" xfId="0" applyNumberFormat="1" applyFont="1" applyBorder="1" applyAlignment="1">
      <alignment vertical="center"/>
    </xf>
    <xf numFmtId="3" fontId="1" fillId="0" borderId="24" xfId="0" applyNumberFormat="1" applyFont="1" applyBorder="1" applyAlignment="1">
      <alignment vertical="center"/>
    </xf>
    <xf numFmtId="3" fontId="1" fillId="0" borderId="4" xfId="0" applyNumberFormat="1" applyFont="1" applyBorder="1" applyAlignment="1">
      <alignment vertical="center"/>
    </xf>
    <xf numFmtId="3" fontId="1" fillId="0" borderId="25" xfId="0" applyNumberFormat="1" applyFont="1" applyBorder="1" applyAlignment="1">
      <alignment vertical="center"/>
    </xf>
    <xf numFmtId="0" fontId="7" fillId="8" borderId="42" xfId="0" applyFont="1" applyFill="1" applyBorder="1" applyAlignment="1">
      <alignment vertical="center" wrapText="1"/>
    </xf>
    <xf numFmtId="0" fontId="7" fillId="8" borderId="32" xfId="0" applyFont="1" applyFill="1" applyBorder="1"/>
    <xf numFmtId="0" fontId="7" fillId="0" borderId="48" xfId="0" applyFont="1" applyBorder="1"/>
    <xf numFmtId="49" fontId="7" fillId="3" borderId="41" xfId="0" applyNumberFormat="1" applyFont="1" applyFill="1" applyBorder="1"/>
    <xf numFmtId="4" fontId="1" fillId="0" borderId="41" xfId="0" applyNumberFormat="1" applyFont="1" applyBorder="1" applyAlignment="1">
      <alignment horizontal="justify" wrapText="1"/>
    </xf>
    <xf numFmtId="0" fontId="1" fillId="0" borderId="53" xfId="0" applyFont="1" applyBorder="1"/>
    <xf numFmtId="3" fontId="1" fillId="0" borderId="23" xfId="0" applyNumberFormat="1" applyFont="1" applyBorder="1"/>
    <xf numFmtId="0" fontId="1" fillId="3" borderId="32" xfId="0" applyFont="1" applyFill="1" applyBorder="1"/>
    <xf numFmtId="3" fontId="1" fillId="0" borderId="30" xfId="0" applyNumberFormat="1" applyFont="1" applyBorder="1" applyAlignment="1"/>
    <xf numFmtId="3" fontId="1" fillId="0" borderId="11" xfId="0" applyNumberFormat="1" applyFont="1" applyBorder="1" applyAlignment="1"/>
    <xf numFmtId="3" fontId="1" fillId="0" borderId="31" xfId="0" applyNumberFormat="1" applyFont="1" applyBorder="1" applyAlignment="1"/>
    <xf numFmtId="3" fontId="1" fillId="0" borderId="30" xfId="0" applyNumberFormat="1" applyFont="1" applyBorder="1"/>
    <xf numFmtId="3" fontId="1" fillId="0" borderId="11" xfId="0" applyNumberFormat="1" applyFont="1" applyBorder="1"/>
    <xf numFmtId="0" fontId="7" fillId="3" borderId="19" xfId="0" applyFont="1" applyFill="1" applyBorder="1"/>
    <xf numFmtId="0" fontId="1" fillId="3" borderId="0" xfId="0" applyFont="1" applyFill="1"/>
    <xf numFmtId="0" fontId="7" fillId="8" borderId="19" xfId="0" applyFont="1" applyFill="1" applyBorder="1"/>
    <xf numFmtId="0" fontId="1" fillId="9" borderId="19" xfId="0" applyFont="1" applyFill="1" applyBorder="1"/>
    <xf numFmtId="3" fontId="1" fillId="0" borderId="28" xfId="0" applyNumberFormat="1" applyFont="1" applyBorder="1"/>
    <xf numFmtId="3" fontId="1" fillId="0" borderId="1" xfId="0" applyNumberFormat="1" applyFont="1" applyBorder="1"/>
    <xf numFmtId="0" fontId="1" fillId="0" borderId="0" xfId="0" applyFont="1" applyFill="1"/>
    <xf numFmtId="169" fontId="1" fillId="0" borderId="0" xfId="12" applyNumberFormat="1" applyFont="1"/>
    <xf numFmtId="4" fontId="1" fillId="0" borderId="0" xfId="0" applyNumberFormat="1" applyFont="1"/>
    <xf numFmtId="1" fontId="7" fillId="4" borderId="41" xfId="0" applyNumberFormat="1" applyFont="1" applyFill="1" applyBorder="1" applyAlignment="1">
      <alignment horizontal="left"/>
    </xf>
    <xf numFmtId="4" fontId="7" fillId="4" borderId="41" xfId="0" applyNumberFormat="1" applyFont="1" applyFill="1" applyBorder="1" applyAlignment="1" applyProtection="1">
      <alignment horizontal="left" vertical="center" wrapText="1"/>
    </xf>
    <xf numFmtId="1" fontId="7" fillId="4" borderId="41" xfId="0" applyNumberFormat="1" applyFont="1" applyFill="1" applyBorder="1" applyAlignment="1">
      <alignment vertical="center" wrapText="1"/>
    </xf>
    <xf numFmtId="1" fontId="7" fillId="4" borderId="41" xfId="15" applyNumberFormat="1" applyFont="1" applyFill="1" applyBorder="1" applyAlignment="1" applyProtection="1">
      <alignment horizontal="left" vertical="center" wrapText="1"/>
    </xf>
    <xf numFmtId="4" fontId="7" fillId="4" borderId="16" xfId="0" applyNumberFormat="1" applyFont="1" applyFill="1" applyBorder="1" applyAlignment="1">
      <alignment horizontal="justify" vertical="center" wrapText="1"/>
    </xf>
    <xf numFmtId="4" fontId="7" fillId="4" borderId="41" xfId="0" applyNumberFormat="1" applyFont="1" applyFill="1" applyBorder="1" applyAlignment="1">
      <alignment horizontal="justify" vertical="center" wrapText="1"/>
    </xf>
    <xf numFmtId="4" fontId="7" fillId="4" borderId="41" xfId="0" applyNumberFormat="1" applyFont="1" applyFill="1" applyBorder="1" applyAlignment="1">
      <alignment vertical="center" wrapText="1"/>
    </xf>
    <xf numFmtId="0" fontId="7" fillId="10" borderId="28" xfId="0" applyFont="1" applyFill="1" applyBorder="1" applyAlignment="1">
      <alignment horizontal="center"/>
    </xf>
    <xf numFmtId="0" fontId="7" fillId="10" borderId="1" xfId="0" applyFont="1" applyFill="1" applyBorder="1" applyAlignment="1">
      <alignment horizontal="center"/>
    </xf>
    <xf numFmtId="0" fontId="7" fillId="10" borderId="29" xfId="0" applyFont="1" applyFill="1" applyBorder="1" applyAlignment="1">
      <alignment horizontal="center"/>
    </xf>
    <xf numFmtId="0" fontId="7" fillId="5" borderId="28" xfId="0" applyFont="1" applyFill="1" applyBorder="1" applyAlignment="1">
      <alignment horizontal="center"/>
    </xf>
    <xf numFmtId="0" fontId="7" fillId="5" borderId="1" xfId="0" applyFont="1" applyFill="1" applyBorder="1" applyAlignment="1">
      <alignment horizontal="center"/>
    </xf>
    <xf numFmtId="0" fontId="7" fillId="5" borderId="29" xfId="0" applyFont="1" applyFill="1" applyBorder="1" applyAlignment="1">
      <alignment horizontal="center"/>
    </xf>
    <xf numFmtId="0" fontId="7" fillId="5" borderId="52" xfId="0" applyFont="1" applyFill="1" applyBorder="1" applyAlignment="1">
      <alignment horizontal="center" vertical="center"/>
    </xf>
    <xf numFmtId="0" fontId="7" fillId="5" borderId="42" xfId="0" applyFont="1" applyFill="1" applyBorder="1" applyAlignment="1">
      <alignment horizontal="center" vertical="center"/>
    </xf>
    <xf numFmtId="4" fontId="9" fillId="0" borderId="0" xfId="8" applyNumberFormat="1" applyFont="1" applyFill="1" applyBorder="1" applyAlignment="1">
      <alignment horizontal="left" vertical="center" wrapText="1"/>
    </xf>
    <xf numFmtId="4" fontId="7" fillId="10" borderId="19" xfId="8" applyNumberFormat="1" applyFont="1" applyFill="1" applyBorder="1" applyAlignment="1">
      <alignment horizontal="center" vertical="center" wrapText="1"/>
    </xf>
    <xf numFmtId="4" fontId="7" fillId="10" borderId="7" xfId="8" applyNumberFormat="1" applyFont="1" applyFill="1" applyBorder="1" applyAlignment="1">
      <alignment horizontal="center" vertical="center" wrapText="1"/>
    </xf>
    <xf numFmtId="4" fontId="7" fillId="10" borderId="55" xfId="8" applyNumberFormat="1" applyFont="1" applyFill="1" applyBorder="1" applyAlignment="1">
      <alignment horizontal="center" vertical="center" wrapText="1"/>
    </xf>
    <xf numFmtId="4" fontId="7" fillId="5" borderId="7" xfId="8" applyNumberFormat="1" applyFont="1" applyFill="1" applyBorder="1" applyAlignment="1">
      <alignment horizontal="center" vertical="center" wrapText="1"/>
    </xf>
    <xf numFmtId="4" fontId="7" fillId="11" borderId="6" xfId="8" applyNumberFormat="1" applyFont="1" applyFill="1" applyBorder="1" applyAlignment="1">
      <alignment horizontal="center" vertical="center" wrapText="1"/>
    </xf>
    <xf numFmtId="4" fontId="7" fillId="11" borderId="7" xfId="8" applyNumberFormat="1" applyFont="1" applyFill="1" applyBorder="1" applyAlignment="1">
      <alignment horizontal="center" vertical="center" wrapText="1"/>
    </xf>
    <xf numFmtId="4" fontId="7" fillId="12" borderId="6" xfId="8" applyNumberFormat="1" applyFont="1" applyFill="1" applyBorder="1" applyAlignment="1">
      <alignment horizontal="center" vertical="center" wrapText="1"/>
    </xf>
    <xf numFmtId="4" fontId="7" fillId="12" borderId="7" xfId="8" applyNumberFormat="1" applyFont="1" applyFill="1" applyBorder="1" applyAlignment="1">
      <alignment horizontal="center" vertical="center" wrapText="1"/>
    </xf>
    <xf numFmtId="4" fontId="7" fillId="10" borderId="6" xfId="8" applyNumberFormat="1" applyFont="1" applyFill="1" applyBorder="1" applyAlignment="1">
      <alignment horizontal="center" vertical="center" wrapText="1"/>
    </xf>
    <xf numFmtId="4" fontId="7" fillId="5" borderId="6" xfId="8" applyNumberFormat="1" applyFont="1" applyFill="1" applyBorder="1" applyAlignment="1">
      <alignment horizontal="center" vertical="center" wrapText="1"/>
    </xf>
    <xf numFmtId="4" fontId="7" fillId="4" borderId="1" xfId="8" applyNumberFormat="1" applyFont="1" applyFill="1" applyBorder="1" applyAlignment="1">
      <alignment horizontal="left" vertical="center" wrapText="1"/>
    </xf>
    <xf numFmtId="0" fontId="7" fillId="0" borderId="0" xfId="8" applyNumberFormat="1" applyFont="1" applyFill="1" applyAlignment="1">
      <alignment horizontal="center" vertical="center"/>
    </xf>
    <xf numFmtId="4" fontId="21" fillId="0" borderId="33" xfId="8" applyNumberFormat="1" applyFont="1" applyFill="1" applyBorder="1" applyAlignment="1">
      <alignment horizontal="justify" vertical="top" wrapText="1"/>
    </xf>
    <xf numFmtId="4" fontId="21" fillId="0" borderId="34" xfId="8" applyNumberFormat="1" applyFont="1" applyFill="1" applyBorder="1" applyAlignment="1">
      <alignment horizontal="justify" vertical="top" wrapText="1"/>
    </xf>
    <xf numFmtId="4" fontId="21" fillId="0" borderId="35" xfId="8" applyNumberFormat="1" applyFont="1" applyFill="1" applyBorder="1" applyAlignment="1">
      <alignment horizontal="justify" vertical="top" wrapText="1"/>
    </xf>
    <xf numFmtId="4" fontId="9" fillId="0" borderId="12" xfId="8" applyNumberFormat="1" applyFont="1" applyFill="1" applyBorder="1" applyAlignment="1">
      <alignment horizontal="left" vertical="top" wrapText="1"/>
    </xf>
    <xf numFmtId="4" fontId="35" fillId="0" borderId="33" xfId="8" applyNumberFormat="1" applyFont="1" applyFill="1" applyBorder="1" applyAlignment="1">
      <alignment horizontal="justify" vertical="top" wrapText="1"/>
    </xf>
    <xf numFmtId="4" fontId="35" fillId="0" borderId="33" xfId="8" applyNumberFormat="1" applyFont="1" applyFill="1" applyBorder="1" applyAlignment="1">
      <alignment horizontal="left" vertical="center" wrapText="1"/>
    </xf>
    <xf numFmtId="4" fontId="21" fillId="0" borderId="34" xfId="8" applyNumberFormat="1" applyFont="1" applyFill="1" applyBorder="1" applyAlignment="1">
      <alignment horizontal="left" vertical="center" wrapText="1"/>
    </xf>
    <xf numFmtId="4" fontId="21" fillId="0" borderId="35" xfId="8" applyNumberFormat="1" applyFont="1" applyFill="1" applyBorder="1" applyAlignment="1">
      <alignment horizontal="left" vertical="center" wrapText="1"/>
    </xf>
    <xf numFmtId="4" fontId="21" fillId="0" borderId="0" xfId="8" applyNumberFormat="1" applyFont="1" applyFill="1" applyBorder="1" applyAlignment="1">
      <alignment horizontal="left" vertical="top" wrapText="1"/>
    </xf>
    <xf numFmtId="4" fontId="16" fillId="5" borderId="6" xfId="0" applyNumberFormat="1" applyFont="1" applyFill="1" applyBorder="1" applyAlignment="1">
      <alignment horizontal="center" vertical="justify"/>
    </xf>
    <xf numFmtId="4" fontId="16" fillId="5" borderId="7" xfId="0" applyNumberFormat="1" applyFont="1" applyFill="1" applyBorder="1" applyAlignment="1">
      <alignment horizontal="center" vertical="justify"/>
    </xf>
    <xf numFmtId="4" fontId="16" fillId="5" borderId="8" xfId="0" applyNumberFormat="1" applyFont="1" applyFill="1" applyBorder="1" applyAlignment="1">
      <alignment horizontal="center" vertical="justify"/>
    </xf>
    <xf numFmtId="4" fontId="30" fillId="14" borderId="5" xfId="15" applyNumberFormat="1" applyFont="1" applyFill="1" applyBorder="1" applyAlignment="1" applyProtection="1">
      <alignment horizontal="center" vertical="center" wrapText="1"/>
    </xf>
    <xf numFmtId="4" fontId="30" fillId="14" borderId="1" xfId="15" applyNumberFormat="1" applyFont="1" applyFill="1" applyBorder="1" applyAlignment="1" applyProtection="1">
      <alignment horizontal="center" vertical="center" wrapText="1"/>
    </xf>
    <xf numFmtId="4" fontId="30" fillId="18" borderId="13" xfId="15" applyNumberFormat="1" applyFont="1" applyFill="1" applyBorder="1" applyAlignment="1" applyProtection="1">
      <alignment horizontal="center" vertical="center" wrapText="1"/>
    </xf>
    <xf numFmtId="4" fontId="30" fillId="18" borderId="10" xfId="15" applyNumberFormat="1" applyFont="1" applyFill="1" applyBorder="1" applyAlignment="1" applyProtection="1">
      <alignment horizontal="center" vertical="center" wrapText="1"/>
    </xf>
    <xf numFmtId="4" fontId="30" fillId="18" borderId="5" xfId="15" applyNumberFormat="1" applyFont="1" applyFill="1" applyBorder="1" applyAlignment="1" applyProtection="1">
      <alignment horizontal="center" vertical="center" wrapText="1"/>
    </xf>
    <xf numFmtId="4" fontId="30" fillId="18" borderId="1" xfId="15" applyNumberFormat="1" applyFont="1" applyFill="1" applyBorder="1" applyAlignment="1" applyProtection="1">
      <alignment horizontal="center" vertical="center" wrapText="1"/>
    </xf>
    <xf numFmtId="3" fontId="30" fillId="21" borderId="13" xfId="15" applyNumberFormat="1" applyFont="1" applyFill="1" applyBorder="1" applyAlignment="1" applyProtection="1">
      <alignment horizontal="center" vertical="center" wrapText="1"/>
    </xf>
    <xf numFmtId="3" fontId="30" fillId="21" borderId="10" xfId="15" applyNumberFormat="1" applyFont="1" applyFill="1" applyBorder="1" applyAlignment="1" applyProtection="1">
      <alignment horizontal="center" vertical="center" wrapText="1"/>
    </xf>
    <xf numFmtId="0" fontId="7" fillId="4" borderId="36" xfId="0" applyFont="1" applyFill="1" applyBorder="1" applyAlignment="1">
      <alignment horizontal="center" vertical="center" wrapText="1"/>
    </xf>
    <xf numFmtId="0" fontId="7" fillId="4" borderId="37" xfId="0" applyFont="1" applyFill="1" applyBorder="1" applyAlignment="1">
      <alignment horizontal="center" vertical="center" wrapText="1"/>
    </xf>
    <xf numFmtId="0" fontId="7" fillId="4" borderId="37" xfId="0" applyFont="1" applyFill="1" applyBorder="1" applyAlignment="1">
      <alignment vertical="center" wrapText="1"/>
    </xf>
    <xf numFmtId="0" fontId="7" fillId="4" borderId="37" xfId="0" applyFont="1" applyFill="1" applyBorder="1" applyAlignment="1">
      <alignment horizontal="right" vertical="center" wrapText="1"/>
    </xf>
    <xf numFmtId="0" fontId="7" fillId="4" borderId="38" xfId="0" applyFont="1" applyFill="1" applyBorder="1" applyAlignment="1">
      <alignment horizontal="right" vertical="center" wrapText="1"/>
    </xf>
    <xf numFmtId="0" fontId="7" fillId="0" borderId="39" xfId="0" applyFont="1" applyBorder="1" applyAlignment="1" applyProtection="1">
      <alignment horizontal="center" vertical="center"/>
    </xf>
    <xf numFmtId="0" fontId="7" fillId="0" borderId="39" xfId="0" applyFont="1" applyBorder="1" applyAlignment="1" applyProtection="1">
      <alignment vertical="center"/>
    </xf>
    <xf numFmtId="0" fontId="7" fillId="0" borderId="39" xfId="0" applyFont="1" applyBorder="1" applyAlignment="1" applyProtection="1">
      <alignment horizontal="right" vertical="center"/>
    </xf>
    <xf numFmtId="4" fontId="30" fillId="18" borderId="46" xfId="15" applyNumberFormat="1" applyFont="1" applyFill="1" applyBorder="1" applyAlignment="1" applyProtection="1">
      <alignment horizontal="center" vertical="center" wrapText="1"/>
    </xf>
    <xf numFmtId="0" fontId="30" fillId="14" borderId="17" xfId="15" applyFont="1" applyFill="1" applyBorder="1" applyAlignment="1" applyProtection="1">
      <alignment horizontal="center" vertical="justify"/>
    </xf>
    <xf numFmtId="0" fontId="30" fillId="14" borderId="45" xfId="15" applyFont="1" applyFill="1" applyBorder="1" applyAlignment="1" applyProtection="1">
      <alignment horizontal="center" vertical="justify"/>
    </xf>
    <xf numFmtId="0" fontId="30" fillId="14" borderId="18" xfId="15" applyFont="1" applyFill="1" applyBorder="1" applyAlignment="1" applyProtection="1">
      <alignment horizontal="center" vertical="justify"/>
    </xf>
    <xf numFmtId="0" fontId="30" fillId="14" borderId="15" xfId="15" applyFont="1" applyFill="1" applyBorder="1" applyAlignment="1" applyProtection="1">
      <alignment horizontal="center" vertical="justify"/>
    </xf>
    <xf numFmtId="0" fontId="30" fillId="14" borderId="12" xfId="15" applyFont="1" applyFill="1" applyBorder="1" applyAlignment="1" applyProtection="1">
      <alignment horizontal="center" vertical="justify"/>
    </xf>
    <xf numFmtId="0" fontId="30" fillId="14" borderId="2" xfId="15" applyFont="1" applyFill="1" applyBorder="1" applyAlignment="1" applyProtection="1">
      <alignment horizontal="center" vertical="justify"/>
    </xf>
    <xf numFmtId="0" fontId="30" fillId="14" borderId="13" xfId="15" applyFont="1" applyFill="1" applyBorder="1" applyAlignment="1" applyProtection="1">
      <alignment horizontal="center" vertical="center"/>
    </xf>
    <xf numFmtId="0" fontId="30" fillId="14" borderId="10" xfId="15" applyFont="1" applyFill="1" applyBorder="1" applyAlignment="1" applyProtection="1">
      <alignment horizontal="center" vertical="center"/>
    </xf>
    <xf numFmtId="0" fontId="30" fillId="14" borderId="13" xfId="15" applyFont="1" applyFill="1" applyBorder="1" applyAlignment="1" applyProtection="1">
      <alignment horizontal="center" vertical="center" wrapText="1"/>
    </xf>
    <xf numFmtId="0" fontId="30" fillId="14" borderId="10" xfId="15" applyFont="1" applyFill="1" applyBorder="1" applyAlignment="1" applyProtection="1">
      <alignment horizontal="center" vertical="center" wrapText="1"/>
    </xf>
    <xf numFmtId="4" fontId="30" fillId="18" borderId="17" xfId="15" applyNumberFormat="1" applyFont="1" applyFill="1" applyBorder="1" applyAlignment="1" applyProtection="1">
      <alignment horizontal="center" vertical="center" wrapText="1"/>
    </xf>
    <xf numFmtId="4" fontId="30" fillId="18" borderId="15" xfId="15" applyNumberFormat="1" applyFont="1" applyFill="1" applyBorder="1" applyAlignment="1" applyProtection="1">
      <alignment horizontal="center" vertical="center" wrapText="1"/>
    </xf>
    <xf numFmtId="4" fontId="30" fillId="14" borderId="27" xfId="15" applyNumberFormat="1" applyFont="1" applyFill="1" applyBorder="1" applyAlignment="1" applyProtection="1">
      <alignment horizontal="center" vertical="center" wrapText="1"/>
    </xf>
    <xf numFmtId="4" fontId="30" fillId="14" borderId="29" xfId="15" applyNumberFormat="1" applyFont="1" applyFill="1" applyBorder="1" applyAlignment="1" applyProtection="1">
      <alignment horizontal="center" vertical="center"/>
    </xf>
    <xf numFmtId="4" fontId="30" fillId="14" borderId="47" xfId="15" applyNumberFormat="1" applyFont="1" applyFill="1" applyBorder="1" applyAlignment="1" applyProtection="1">
      <alignment horizontal="center" vertical="center" wrapText="1"/>
    </xf>
    <xf numFmtId="4" fontId="30" fillId="14" borderId="26" xfId="15" applyNumberFormat="1" applyFont="1" applyFill="1" applyBorder="1" applyAlignment="1" applyProtection="1">
      <alignment horizontal="center" vertical="center" wrapText="1"/>
    </xf>
    <xf numFmtId="4" fontId="30" fillId="14" borderId="28" xfId="15" applyNumberFormat="1" applyFont="1" applyFill="1" applyBorder="1" applyAlignment="1" applyProtection="1">
      <alignment horizontal="center" vertical="center" wrapText="1"/>
    </xf>
    <xf numFmtId="4" fontId="30" fillId="18" borderId="26" xfId="15" applyNumberFormat="1" applyFont="1" applyFill="1" applyBorder="1" applyAlignment="1" applyProtection="1">
      <alignment horizontal="center" vertical="center" wrapText="1"/>
    </xf>
    <xf numFmtId="4" fontId="30" fillId="18" borderId="28" xfId="15" applyNumberFormat="1" applyFont="1" applyFill="1" applyBorder="1" applyAlignment="1" applyProtection="1">
      <alignment horizontal="center" vertical="center" wrapText="1"/>
    </xf>
    <xf numFmtId="4" fontId="30" fillId="18" borderId="27" xfId="15" applyNumberFormat="1" applyFont="1" applyFill="1" applyBorder="1" applyAlignment="1" applyProtection="1">
      <alignment horizontal="center" vertical="center" wrapText="1"/>
    </xf>
    <xf numFmtId="4" fontId="30" fillId="18" borderId="29" xfId="15" applyNumberFormat="1" applyFont="1" applyFill="1" applyBorder="1" applyAlignment="1" applyProtection="1">
      <alignment horizontal="center" vertical="center"/>
    </xf>
    <xf numFmtId="3" fontId="25" fillId="0" borderId="24" xfId="0" applyNumberFormat="1" applyFont="1" applyBorder="1" applyAlignment="1"/>
    <xf numFmtId="3" fontId="37" fillId="11" borderId="28" xfId="0" applyNumberFormat="1" applyFont="1" applyFill="1" applyBorder="1"/>
    <xf numFmtId="3" fontId="37" fillId="11" borderId="29" xfId="0" applyNumberFormat="1" applyFont="1" applyFill="1" applyBorder="1"/>
    <xf numFmtId="3" fontId="37" fillId="4" borderId="29" xfId="0" applyNumberFormat="1" applyFont="1" applyFill="1" applyBorder="1"/>
    <xf numFmtId="3" fontId="37" fillId="4" borderId="28" xfId="0" applyNumberFormat="1" applyFont="1" applyFill="1" applyBorder="1"/>
  </cellXfs>
  <cellStyles count="16">
    <cellStyle name="Euro" xfId="1"/>
    <cellStyle name="F8" xfId="2"/>
    <cellStyle name="Millares" xfId="14" builtinId="3"/>
    <cellStyle name="Millares 2" xfId="3"/>
    <cellStyle name="Normal" xfId="0" builtinId="0"/>
    <cellStyle name="Normal 2" xfId="4"/>
    <cellStyle name="Normal 2 2" xfId="5"/>
    <cellStyle name="Normal 3" xfId="6"/>
    <cellStyle name="Normal 4" xfId="7"/>
    <cellStyle name="Normal 5" xfId="8"/>
    <cellStyle name="Normal_GASPE2000A" xfId="9"/>
    <cellStyle name="Normal_INFINGUA" xfId="15"/>
    <cellStyle name="Normal_presupuesto2000-ad8Viacha_1" xfId="10"/>
    <cellStyle name="Normal_presupuesto2000-ad8Viacha_1 2" xfId="11"/>
    <cellStyle name="Porcentaje" xfId="12" builtinId="5"/>
    <cellStyle name="Porcentaje 2" xfId="13"/>
  </cellStyles>
  <dxfs count="0"/>
  <tableStyles count="0" defaultTableStyle="TableStyleMedium9" defaultPivotStyle="PivotStyleLight16"/>
  <colors>
    <mruColors>
      <color rgb="FF008080"/>
      <color rgb="FF006666"/>
      <color rgb="FF00CC66"/>
      <color rgb="FF00CC00"/>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28"/>
  <sheetViews>
    <sheetView tabSelected="1" topLeftCell="M1" zoomScale="80" zoomScaleNormal="80" workbookViewId="0">
      <pane ySplit="1560" topLeftCell="A202" activePane="bottomLeft"/>
      <selection activeCell="B1" sqref="A1:B1048576"/>
      <selection pane="bottomLeft" activeCell="R224" sqref="R224"/>
    </sheetView>
  </sheetViews>
  <sheetFormatPr baseColWidth="10" defaultColWidth="11.42578125" defaultRowHeight="12.75"/>
  <cols>
    <col min="1" max="1" width="2.42578125" style="380" customWidth="1"/>
    <col min="2" max="2" width="64" style="380" customWidth="1"/>
    <col min="3" max="18" width="12" style="380" customWidth="1"/>
    <col min="19" max="19" width="1.85546875" style="380" customWidth="1"/>
    <col min="20" max="16384" width="11.42578125" style="380"/>
  </cols>
  <sheetData>
    <row r="1" spans="2:21" ht="15.75">
      <c r="B1" s="148" t="s">
        <v>374</v>
      </c>
      <c r="C1" s="116"/>
      <c r="K1" s="6"/>
    </row>
    <row r="2" spans="2:21" ht="15">
      <c r="B2" s="6"/>
      <c r="G2" s="149" t="s">
        <v>50</v>
      </c>
      <c r="H2" s="149"/>
      <c r="I2" s="149"/>
    </row>
    <row r="3" spans="2:21">
      <c r="B3" s="6" t="s">
        <v>102</v>
      </c>
      <c r="C3" s="6"/>
      <c r="D3" s="6"/>
      <c r="E3" s="6"/>
      <c r="F3" s="6"/>
      <c r="G3" s="6"/>
      <c r="H3" s="6"/>
      <c r="I3" s="6"/>
      <c r="J3" s="6"/>
      <c r="K3" s="6"/>
      <c r="L3" s="6"/>
      <c r="M3" s="6"/>
      <c r="N3" s="6"/>
    </row>
    <row r="4" spans="2:21">
      <c r="B4" s="6"/>
      <c r="C4" s="6"/>
      <c r="D4" s="6"/>
      <c r="E4" s="6"/>
      <c r="F4" s="6"/>
      <c r="G4" s="6"/>
      <c r="H4" s="6"/>
      <c r="I4" s="6"/>
      <c r="J4" s="6"/>
      <c r="K4" s="6"/>
      <c r="L4" s="6"/>
      <c r="M4" s="6"/>
      <c r="N4" s="6"/>
      <c r="Q4" s="473" t="s">
        <v>39</v>
      </c>
      <c r="R4" s="474">
        <v>6.96</v>
      </c>
    </row>
    <row r="5" spans="2:21">
      <c r="B5" s="545" t="s">
        <v>1</v>
      </c>
      <c r="C5" s="539" t="s">
        <v>13</v>
      </c>
      <c r="D5" s="540"/>
      <c r="E5" s="540"/>
      <c r="F5" s="541"/>
      <c r="G5" s="542" t="s">
        <v>14</v>
      </c>
      <c r="H5" s="543"/>
      <c r="I5" s="543"/>
      <c r="J5" s="544"/>
      <c r="K5" s="539" t="s">
        <v>26</v>
      </c>
      <c r="L5" s="540"/>
      <c r="M5" s="540"/>
      <c r="N5" s="541"/>
      <c r="O5" s="542" t="s">
        <v>8</v>
      </c>
      <c r="P5" s="543"/>
      <c r="Q5" s="543"/>
      <c r="R5" s="544"/>
    </row>
    <row r="6" spans="2:21">
      <c r="B6" s="546"/>
      <c r="C6" s="152" t="s">
        <v>20</v>
      </c>
      <c r="D6" s="393" t="s">
        <v>58</v>
      </c>
      <c r="E6" s="393" t="s">
        <v>63</v>
      </c>
      <c r="F6" s="153" t="s">
        <v>7</v>
      </c>
      <c r="G6" s="152" t="s">
        <v>20</v>
      </c>
      <c r="H6" s="393" t="s">
        <v>58</v>
      </c>
      <c r="I6" s="393" t="s">
        <v>63</v>
      </c>
      <c r="J6" s="153" t="s">
        <v>7</v>
      </c>
      <c r="K6" s="152" t="s">
        <v>20</v>
      </c>
      <c r="L6" s="393" t="s">
        <v>58</v>
      </c>
      <c r="M6" s="393" t="s">
        <v>63</v>
      </c>
      <c r="N6" s="153" t="s">
        <v>7</v>
      </c>
      <c r="O6" s="152" t="s">
        <v>20</v>
      </c>
      <c r="P6" s="393" t="s">
        <v>58</v>
      </c>
      <c r="Q6" s="393" t="s">
        <v>63</v>
      </c>
      <c r="R6" s="153" t="s">
        <v>7</v>
      </c>
    </row>
    <row r="7" spans="2:21" ht="13.5" customHeight="1">
      <c r="B7" s="383"/>
      <c r="C7" s="475"/>
      <c r="D7" s="476"/>
      <c r="E7" s="476"/>
      <c r="F7" s="477"/>
      <c r="G7" s="475"/>
      <c r="H7" s="478"/>
      <c r="I7" s="478"/>
      <c r="J7" s="477"/>
      <c r="K7" s="475"/>
      <c r="L7" s="476"/>
      <c r="M7" s="476"/>
      <c r="N7" s="477"/>
      <c r="O7" s="479"/>
      <c r="P7" s="480"/>
      <c r="Q7" s="480"/>
      <c r="R7" s="481"/>
    </row>
    <row r="8" spans="2:21" ht="13.5" customHeight="1">
      <c r="B8" s="482" t="s">
        <v>36</v>
      </c>
      <c r="C8" s="154">
        <f t="shared" ref="C8:R8" si="0">SUM(C9:C20)</f>
        <v>465352</v>
      </c>
      <c r="D8" s="122">
        <f t="shared" si="0"/>
        <v>16000</v>
      </c>
      <c r="E8" s="122">
        <f t="shared" si="0"/>
        <v>0</v>
      </c>
      <c r="F8" s="155">
        <f t="shared" si="0"/>
        <v>481352</v>
      </c>
      <c r="G8" s="154">
        <f t="shared" si="0"/>
        <v>0</v>
      </c>
      <c r="H8" s="122">
        <f t="shared" si="0"/>
        <v>0</v>
      </c>
      <c r="I8" s="122">
        <f t="shared" si="0"/>
        <v>0</v>
      </c>
      <c r="J8" s="155">
        <f t="shared" si="0"/>
        <v>0</v>
      </c>
      <c r="K8" s="154">
        <f t="shared" si="0"/>
        <v>0</v>
      </c>
      <c r="L8" s="122">
        <f t="shared" si="0"/>
        <v>0</v>
      </c>
      <c r="M8" s="122">
        <f t="shared" si="0"/>
        <v>0</v>
      </c>
      <c r="N8" s="155">
        <f t="shared" si="0"/>
        <v>0</v>
      </c>
      <c r="O8" s="154">
        <f t="shared" si="0"/>
        <v>465352</v>
      </c>
      <c r="P8" s="122">
        <f t="shared" si="0"/>
        <v>16000</v>
      </c>
      <c r="Q8" s="122">
        <f t="shared" si="0"/>
        <v>0</v>
      </c>
      <c r="R8" s="155">
        <f t="shared" si="0"/>
        <v>481352</v>
      </c>
      <c r="T8" s="382"/>
      <c r="U8" s="382"/>
    </row>
    <row r="9" spans="2:21" ht="13.5" customHeight="1">
      <c r="B9" s="384" t="str">
        <f>Inversiones!B8</f>
        <v>Camioneta (4x4) de campo</v>
      </c>
      <c r="C9" s="381">
        <f>Inversiones!G8</f>
        <v>278400</v>
      </c>
      <c r="D9" s="169">
        <f>Inversiones!H8</f>
        <v>0</v>
      </c>
      <c r="E9" s="169">
        <f>Inversiones!I8</f>
        <v>0</v>
      </c>
      <c r="F9" s="467">
        <f>SUM(C9:E9)</f>
        <v>278400</v>
      </c>
      <c r="G9" s="381">
        <f>Inversiones!J8</f>
        <v>0</v>
      </c>
      <c r="H9" s="169">
        <f>Inversiones!K8</f>
        <v>0</v>
      </c>
      <c r="I9" s="169">
        <f>Inversiones!L8</f>
        <v>0</v>
      </c>
      <c r="J9" s="467">
        <f>SUM(G9:I9)</f>
        <v>0</v>
      </c>
      <c r="K9" s="381">
        <f>Inversiones!M8</f>
        <v>0</v>
      </c>
      <c r="L9" s="169">
        <f>Inversiones!N8</f>
        <v>0</v>
      </c>
      <c r="M9" s="169">
        <f>Inversiones!O8</f>
        <v>0</v>
      </c>
      <c r="N9" s="467">
        <f>SUM(K9:M9)</f>
        <v>0</v>
      </c>
      <c r="O9" s="468">
        <f>C9+G9+K9</f>
        <v>278400</v>
      </c>
      <c r="P9" s="469">
        <f t="shared" ref="P9:Q9" si="1">D9+H9+L9</f>
        <v>0</v>
      </c>
      <c r="Q9" s="469">
        <f t="shared" si="1"/>
        <v>0</v>
      </c>
      <c r="R9" s="467">
        <f>SUM(O9:Q9)</f>
        <v>278400</v>
      </c>
      <c r="T9" s="382"/>
      <c r="U9" s="382"/>
    </row>
    <row r="10" spans="2:21" ht="13.5" customHeight="1">
      <c r="B10" s="384" t="str">
        <f>Inversiones!B9</f>
        <v>Motocicletas</v>
      </c>
      <c r="C10" s="381">
        <f>Inversiones!G9</f>
        <v>147552</v>
      </c>
      <c r="D10" s="169">
        <f>Inversiones!H9</f>
        <v>0</v>
      </c>
      <c r="E10" s="169">
        <f>Inversiones!I9</f>
        <v>0</v>
      </c>
      <c r="F10" s="467">
        <f t="shared" ref="F10:F19" si="2">SUM(C10:E10)</f>
        <v>147552</v>
      </c>
      <c r="G10" s="381">
        <f>Inversiones!J9</f>
        <v>0</v>
      </c>
      <c r="H10" s="169">
        <f>Inversiones!K9</f>
        <v>0</v>
      </c>
      <c r="I10" s="169">
        <f>Inversiones!L9</f>
        <v>0</v>
      </c>
      <c r="J10" s="467">
        <f t="shared" ref="J10:J14" si="3">SUM(G10:I10)</f>
        <v>0</v>
      </c>
      <c r="K10" s="381">
        <f>Inversiones!M9</f>
        <v>0</v>
      </c>
      <c r="L10" s="169">
        <f>Inversiones!N9</f>
        <v>0</v>
      </c>
      <c r="M10" s="169">
        <f>Inversiones!O9</f>
        <v>0</v>
      </c>
      <c r="N10" s="467">
        <f t="shared" ref="N10:N14" si="4">SUM(K10:M10)</f>
        <v>0</v>
      </c>
      <c r="O10" s="468">
        <f t="shared" ref="O10:O14" si="5">C10+G10+K10</f>
        <v>147552</v>
      </c>
      <c r="P10" s="469">
        <f t="shared" ref="P10:P14" si="6">D10+H10+L10</f>
        <v>0</v>
      </c>
      <c r="Q10" s="469">
        <f t="shared" ref="Q10:Q14" si="7">E10+I10+M10</f>
        <v>0</v>
      </c>
      <c r="R10" s="467">
        <f t="shared" ref="R10:R14" si="8">SUM(O10:Q10)</f>
        <v>147552</v>
      </c>
      <c r="T10" s="382"/>
      <c r="U10" s="382"/>
    </row>
    <row r="11" spans="2:21" ht="13.5" customHeight="1">
      <c r="B11" s="384" t="str">
        <f>Inversiones!B10</f>
        <v>Motocicleta</v>
      </c>
      <c r="C11" s="381">
        <f>Inversiones!G10</f>
        <v>0</v>
      </c>
      <c r="D11" s="169">
        <f>Inversiones!H10</f>
        <v>16000</v>
      </c>
      <c r="E11" s="169">
        <f>Inversiones!I10</f>
        <v>0</v>
      </c>
      <c r="F11" s="467">
        <f t="shared" si="2"/>
        <v>16000</v>
      </c>
      <c r="G11" s="381">
        <f>Inversiones!J10</f>
        <v>0</v>
      </c>
      <c r="H11" s="169">
        <f>Inversiones!K10</f>
        <v>0</v>
      </c>
      <c r="I11" s="169">
        <f>Inversiones!L10</f>
        <v>0</v>
      </c>
      <c r="J11" s="467">
        <f t="shared" si="3"/>
        <v>0</v>
      </c>
      <c r="K11" s="381">
        <f>Inversiones!M10</f>
        <v>0</v>
      </c>
      <c r="L11" s="169">
        <f>Inversiones!N10</f>
        <v>0</v>
      </c>
      <c r="M11" s="169">
        <f>Inversiones!O10</f>
        <v>0</v>
      </c>
      <c r="N11" s="467">
        <f t="shared" si="4"/>
        <v>0</v>
      </c>
      <c r="O11" s="468">
        <f t="shared" si="5"/>
        <v>0</v>
      </c>
      <c r="P11" s="469">
        <f t="shared" si="6"/>
        <v>16000</v>
      </c>
      <c r="Q11" s="469">
        <f t="shared" si="7"/>
        <v>0</v>
      </c>
      <c r="R11" s="467">
        <f t="shared" si="8"/>
        <v>16000</v>
      </c>
      <c r="T11" s="382"/>
      <c r="U11" s="382"/>
    </row>
    <row r="12" spans="2:21" ht="13.5" customHeight="1">
      <c r="B12" s="384" t="str">
        <f>Inversiones!B11</f>
        <v>Equipo de computación portatil</v>
      </c>
      <c r="C12" s="381">
        <f>Inversiones!G11</f>
        <v>12000</v>
      </c>
      <c r="D12" s="169">
        <f>Inversiones!H11</f>
        <v>0</v>
      </c>
      <c r="E12" s="169">
        <f>Inversiones!I11</f>
        <v>0</v>
      </c>
      <c r="F12" s="467">
        <f t="shared" si="2"/>
        <v>12000</v>
      </c>
      <c r="G12" s="381">
        <f>Inversiones!J11</f>
        <v>0</v>
      </c>
      <c r="H12" s="169">
        <f>Inversiones!K11</f>
        <v>0</v>
      </c>
      <c r="I12" s="169">
        <f>Inversiones!L11</f>
        <v>0</v>
      </c>
      <c r="J12" s="467">
        <f t="shared" si="3"/>
        <v>0</v>
      </c>
      <c r="K12" s="381">
        <f>Inversiones!M11</f>
        <v>0</v>
      </c>
      <c r="L12" s="169">
        <f>Inversiones!N11</f>
        <v>0</v>
      </c>
      <c r="M12" s="169">
        <f>Inversiones!O11</f>
        <v>0</v>
      </c>
      <c r="N12" s="467">
        <f t="shared" si="4"/>
        <v>0</v>
      </c>
      <c r="O12" s="468">
        <f t="shared" si="5"/>
        <v>12000</v>
      </c>
      <c r="P12" s="469">
        <f t="shared" si="6"/>
        <v>0</v>
      </c>
      <c r="Q12" s="469">
        <f t="shared" si="7"/>
        <v>0</v>
      </c>
      <c r="R12" s="467">
        <f t="shared" si="8"/>
        <v>12000</v>
      </c>
      <c r="T12" s="382"/>
      <c r="U12" s="382"/>
    </row>
    <row r="13" spans="2:21" ht="13.5" customHeight="1">
      <c r="B13" s="384" t="str">
        <f>Inversiones!B12</f>
        <v>Proyector multimedia</v>
      </c>
      <c r="C13" s="381">
        <f>Inversiones!G12</f>
        <v>9000</v>
      </c>
      <c r="D13" s="169">
        <f>Inversiones!H12</f>
        <v>0</v>
      </c>
      <c r="E13" s="169">
        <f>Inversiones!I12</f>
        <v>0</v>
      </c>
      <c r="F13" s="467">
        <f t="shared" si="2"/>
        <v>9000</v>
      </c>
      <c r="G13" s="381">
        <f>Inversiones!J12</f>
        <v>0</v>
      </c>
      <c r="H13" s="169">
        <f>Inversiones!K12</f>
        <v>0</v>
      </c>
      <c r="I13" s="169">
        <f>Inversiones!L12</f>
        <v>0</v>
      </c>
      <c r="J13" s="467">
        <f t="shared" si="3"/>
        <v>0</v>
      </c>
      <c r="K13" s="381">
        <f>Inversiones!M12</f>
        <v>0</v>
      </c>
      <c r="L13" s="169">
        <f>Inversiones!N12</f>
        <v>0</v>
      </c>
      <c r="M13" s="169">
        <f>Inversiones!O12</f>
        <v>0</v>
      </c>
      <c r="N13" s="467">
        <f t="shared" si="4"/>
        <v>0</v>
      </c>
      <c r="O13" s="468">
        <f t="shared" si="5"/>
        <v>9000</v>
      </c>
      <c r="P13" s="469">
        <f t="shared" si="6"/>
        <v>0</v>
      </c>
      <c r="Q13" s="469">
        <f t="shared" si="7"/>
        <v>0</v>
      </c>
      <c r="R13" s="467">
        <f t="shared" si="8"/>
        <v>9000</v>
      </c>
      <c r="T13" s="382"/>
      <c r="U13" s="382"/>
    </row>
    <row r="14" spans="2:21" ht="13.5" customHeight="1">
      <c r="B14" s="384" t="str">
        <f>Inversiones!B13</f>
        <v>Camára fotográfica digital</v>
      </c>
      <c r="C14" s="381">
        <f>Inversiones!G13</f>
        <v>8400</v>
      </c>
      <c r="D14" s="169">
        <f>Inversiones!H13</f>
        <v>0</v>
      </c>
      <c r="E14" s="169">
        <f>Inversiones!I13</f>
        <v>0</v>
      </c>
      <c r="F14" s="467">
        <f t="shared" si="2"/>
        <v>8400</v>
      </c>
      <c r="G14" s="381">
        <f>Inversiones!J13</f>
        <v>0</v>
      </c>
      <c r="H14" s="169">
        <f>Inversiones!K13</f>
        <v>0</v>
      </c>
      <c r="I14" s="169">
        <f>Inversiones!L13</f>
        <v>0</v>
      </c>
      <c r="J14" s="467">
        <f t="shared" si="3"/>
        <v>0</v>
      </c>
      <c r="K14" s="381">
        <f>Inversiones!M13</f>
        <v>0</v>
      </c>
      <c r="L14" s="169">
        <f>Inversiones!N13</f>
        <v>0</v>
      </c>
      <c r="M14" s="169">
        <f>Inversiones!O13</f>
        <v>0</v>
      </c>
      <c r="N14" s="467">
        <f t="shared" si="4"/>
        <v>0</v>
      </c>
      <c r="O14" s="468">
        <f t="shared" si="5"/>
        <v>8400</v>
      </c>
      <c r="P14" s="469">
        <f t="shared" si="6"/>
        <v>0</v>
      </c>
      <c r="Q14" s="469">
        <f t="shared" si="7"/>
        <v>0</v>
      </c>
      <c r="R14" s="467">
        <f t="shared" si="8"/>
        <v>8400</v>
      </c>
      <c r="T14" s="382"/>
      <c r="U14" s="382"/>
    </row>
    <row r="15" spans="2:21" ht="13.5" customHeight="1">
      <c r="B15" s="384" t="str">
        <f>Inversiones!B14</f>
        <v>Mesa</v>
      </c>
      <c r="C15" s="381">
        <f>Inversiones!G14</f>
        <v>3000</v>
      </c>
      <c r="D15" s="169">
        <f>Inversiones!H14</f>
        <v>0</v>
      </c>
      <c r="E15" s="169">
        <f>Inversiones!I14</f>
        <v>0</v>
      </c>
      <c r="F15" s="467">
        <f t="shared" si="2"/>
        <v>3000</v>
      </c>
      <c r="G15" s="381">
        <f>Inversiones!J14</f>
        <v>0</v>
      </c>
      <c r="H15" s="169">
        <f>Inversiones!K14</f>
        <v>0</v>
      </c>
      <c r="I15" s="169">
        <f>Inversiones!L14</f>
        <v>0</v>
      </c>
      <c r="J15" s="467">
        <f t="shared" ref="J15:J19" si="9">SUM(G15:I15)</f>
        <v>0</v>
      </c>
      <c r="K15" s="381">
        <f>Inversiones!M14</f>
        <v>0</v>
      </c>
      <c r="L15" s="169">
        <f>Inversiones!N14</f>
        <v>0</v>
      </c>
      <c r="M15" s="169">
        <f>Inversiones!O14</f>
        <v>0</v>
      </c>
      <c r="N15" s="467">
        <f t="shared" ref="N15:N19" si="10">SUM(K15:M15)</f>
        <v>0</v>
      </c>
      <c r="O15" s="468">
        <f t="shared" ref="O15:O19" si="11">C15+G15+K15</f>
        <v>3000</v>
      </c>
      <c r="P15" s="469">
        <f t="shared" ref="P15:P19" si="12">D15+H15+L15</f>
        <v>0</v>
      </c>
      <c r="Q15" s="469">
        <f t="shared" ref="Q15:Q19" si="13">E15+I15+M15</f>
        <v>0</v>
      </c>
      <c r="R15" s="467">
        <f t="shared" ref="R15:R19" si="14">SUM(O15:Q15)</f>
        <v>3000</v>
      </c>
      <c r="T15" s="382"/>
      <c r="U15" s="382"/>
    </row>
    <row r="16" spans="2:21" ht="13.5" customHeight="1">
      <c r="B16" s="384" t="str">
        <f>Inversiones!B15</f>
        <v>Sillas</v>
      </c>
      <c r="C16" s="381">
        <f>Inversiones!G15</f>
        <v>1400</v>
      </c>
      <c r="D16" s="169">
        <f>Inversiones!H15</f>
        <v>0</v>
      </c>
      <c r="E16" s="169">
        <f>Inversiones!I15</f>
        <v>0</v>
      </c>
      <c r="F16" s="467">
        <f t="shared" si="2"/>
        <v>1400</v>
      </c>
      <c r="G16" s="381">
        <f>Inversiones!J15</f>
        <v>0</v>
      </c>
      <c r="H16" s="169">
        <f>Inversiones!K15</f>
        <v>0</v>
      </c>
      <c r="I16" s="169">
        <f>Inversiones!L15</f>
        <v>0</v>
      </c>
      <c r="J16" s="467">
        <f t="shared" si="9"/>
        <v>0</v>
      </c>
      <c r="K16" s="381">
        <f>Inversiones!M15</f>
        <v>0</v>
      </c>
      <c r="L16" s="169">
        <f>Inversiones!N15</f>
        <v>0</v>
      </c>
      <c r="M16" s="169">
        <f>Inversiones!O15</f>
        <v>0</v>
      </c>
      <c r="N16" s="467">
        <f t="shared" si="10"/>
        <v>0</v>
      </c>
      <c r="O16" s="468">
        <f t="shared" si="11"/>
        <v>1400</v>
      </c>
      <c r="P16" s="469">
        <f t="shared" si="12"/>
        <v>0</v>
      </c>
      <c r="Q16" s="469">
        <f t="shared" si="13"/>
        <v>0</v>
      </c>
      <c r="R16" s="467">
        <f t="shared" si="14"/>
        <v>1400</v>
      </c>
      <c r="T16" s="382"/>
      <c r="U16" s="382"/>
    </row>
    <row r="17" spans="2:22" ht="13.5" customHeight="1">
      <c r="B17" s="384" t="str">
        <f>Inversiones!B16</f>
        <v>Estantes metálicos</v>
      </c>
      <c r="C17" s="381">
        <f>Inversiones!G16</f>
        <v>1400</v>
      </c>
      <c r="D17" s="169">
        <f>Inversiones!H16</f>
        <v>0</v>
      </c>
      <c r="E17" s="169">
        <f>Inversiones!I16</f>
        <v>0</v>
      </c>
      <c r="F17" s="467">
        <f t="shared" si="2"/>
        <v>1400</v>
      </c>
      <c r="G17" s="381">
        <f>Inversiones!J16</f>
        <v>0</v>
      </c>
      <c r="H17" s="169">
        <f>Inversiones!K16</f>
        <v>0</v>
      </c>
      <c r="I17" s="169">
        <f>Inversiones!L16</f>
        <v>0</v>
      </c>
      <c r="J17" s="467">
        <f t="shared" si="9"/>
        <v>0</v>
      </c>
      <c r="K17" s="381">
        <f>Inversiones!M16</f>
        <v>0</v>
      </c>
      <c r="L17" s="169">
        <f>Inversiones!N16</f>
        <v>0</v>
      </c>
      <c r="M17" s="169">
        <f>Inversiones!O16</f>
        <v>0</v>
      </c>
      <c r="N17" s="467">
        <f t="shared" si="10"/>
        <v>0</v>
      </c>
      <c r="O17" s="468">
        <f t="shared" si="11"/>
        <v>1400</v>
      </c>
      <c r="P17" s="469">
        <f t="shared" si="12"/>
        <v>0</v>
      </c>
      <c r="Q17" s="469">
        <f t="shared" si="13"/>
        <v>0</v>
      </c>
      <c r="R17" s="467">
        <f t="shared" si="14"/>
        <v>1400</v>
      </c>
      <c r="T17" s="382"/>
      <c r="U17" s="382"/>
    </row>
    <row r="18" spans="2:22" ht="13.5" customHeight="1">
      <c r="B18" s="384" t="str">
        <f>Inversiones!B17</f>
        <v>Pizarra acrílica</v>
      </c>
      <c r="C18" s="381">
        <f>Inversiones!G17</f>
        <v>1500</v>
      </c>
      <c r="D18" s="169">
        <f>Inversiones!H17</f>
        <v>0</v>
      </c>
      <c r="E18" s="169">
        <f>Inversiones!I17</f>
        <v>0</v>
      </c>
      <c r="F18" s="467">
        <f t="shared" si="2"/>
        <v>1500</v>
      </c>
      <c r="G18" s="381">
        <f>Inversiones!J17</f>
        <v>0</v>
      </c>
      <c r="H18" s="169">
        <f>Inversiones!K17</f>
        <v>0</v>
      </c>
      <c r="I18" s="169">
        <f>Inversiones!L17</f>
        <v>0</v>
      </c>
      <c r="J18" s="467">
        <f t="shared" si="9"/>
        <v>0</v>
      </c>
      <c r="K18" s="381">
        <f>Inversiones!M17</f>
        <v>0</v>
      </c>
      <c r="L18" s="169">
        <f>Inversiones!N17</f>
        <v>0</v>
      </c>
      <c r="M18" s="169">
        <f>Inversiones!O17</f>
        <v>0</v>
      </c>
      <c r="N18" s="467">
        <f t="shared" si="10"/>
        <v>0</v>
      </c>
      <c r="O18" s="468">
        <f t="shared" si="11"/>
        <v>1500</v>
      </c>
      <c r="P18" s="469">
        <f t="shared" si="12"/>
        <v>0</v>
      </c>
      <c r="Q18" s="469">
        <f t="shared" si="13"/>
        <v>0</v>
      </c>
      <c r="R18" s="467">
        <f t="shared" si="14"/>
        <v>1500</v>
      </c>
      <c r="T18" s="382"/>
      <c r="U18" s="382"/>
    </row>
    <row r="19" spans="2:22" ht="13.5" customHeight="1">
      <c r="B19" s="384" t="str">
        <f>Inversiones!B18</f>
        <v>Escritorio</v>
      </c>
      <c r="C19" s="381">
        <f>Inversiones!G18</f>
        <v>2700</v>
      </c>
      <c r="D19" s="169">
        <f>Inversiones!H18</f>
        <v>0</v>
      </c>
      <c r="E19" s="169">
        <f>Inversiones!I18</f>
        <v>0</v>
      </c>
      <c r="F19" s="467">
        <f t="shared" si="2"/>
        <v>2700</v>
      </c>
      <c r="G19" s="381">
        <f>Inversiones!J18</f>
        <v>0</v>
      </c>
      <c r="H19" s="169">
        <f>Inversiones!K18</f>
        <v>0</v>
      </c>
      <c r="I19" s="169">
        <f>Inversiones!L18</f>
        <v>0</v>
      </c>
      <c r="J19" s="467">
        <f t="shared" si="9"/>
        <v>0</v>
      </c>
      <c r="K19" s="381">
        <f>Inversiones!M18</f>
        <v>0</v>
      </c>
      <c r="L19" s="169">
        <f>Inversiones!N18</f>
        <v>0</v>
      </c>
      <c r="M19" s="169">
        <f>Inversiones!O18</f>
        <v>0</v>
      </c>
      <c r="N19" s="467">
        <f t="shared" si="10"/>
        <v>0</v>
      </c>
      <c r="O19" s="468">
        <f t="shared" si="11"/>
        <v>2700</v>
      </c>
      <c r="P19" s="469">
        <f t="shared" si="12"/>
        <v>0</v>
      </c>
      <c r="Q19" s="469">
        <f t="shared" si="13"/>
        <v>0</v>
      </c>
      <c r="R19" s="467">
        <f t="shared" si="14"/>
        <v>2700</v>
      </c>
      <c r="T19" s="382"/>
      <c r="U19" s="382"/>
    </row>
    <row r="20" spans="2:22" ht="10.5" customHeight="1">
      <c r="B20" s="465"/>
      <c r="C20" s="483"/>
      <c r="D20" s="484"/>
      <c r="E20" s="484"/>
      <c r="F20" s="485"/>
      <c r="G20" s="483"/>
      <c r="H20" s="484"/>
      <c r="I20" s="484"/>
      <c r="J20" s="485"/>
      <c r="K20" s="483"/>
      <c r="L20" s="484"/>
      <c r="M20" s="484"/>
      <c r="N20" s="485"/>
      <c r="O20" s="486"/>
      <c r="P20" s="487"/>
      <c r="Q20" s="487"/>
      <c r="R20" s="485"/>
      <c r="T20" s="382"/>
      <c r="U20" s="382"/>
    </row>
    <row r="21" spans="2:22" ht="13.5" customHeight="1">
      <c r="B21" s="488" t="s">
        <v>15</v>
      </c>
      <c r="C21" s="156">
        <f t="shared" ref="C21:R21" si="15">+C8</f>
        <v>465352</v>
      </c>
      <c r="D21" s="123">
        <f t="shared" si="15"/>
        <v>16000</v>
      </c>
      <c r="E21" s="123">
        <f t="shared" si="15"/>
        <v>0</v>
      </c>
      <c r="F21" s="157">
        <f t="shared" si="15"/>
        <v>481352</v>
      </c>
      <c r="G21" s="156">
        <f t="shared" si="15"/>
        <v>0</v>
      </c>
      <c r="H21" s="123">
        <f t="shared" si="15"/>
        <v>0</v>
      </c>
      <c r="I21" s="123">
        <f t="shared" si="15"/>
        <v>0</v>
      </c>
      <c r="J21" s="157">
        <f t="shared" si="15"/>
        <v>0</v>
      </c>
      <c r="K21" s="156">
        <f t="shared" si="15"/>
        <v>0</v>
      </c>
      <c r="L21" s="123">
        <f t="shared" si="15"/>
        <v>0</v>
      </c>
      <c r="M21" s="123">
        <f t="shared" si="15"/>
        <v>0</v>
      </c>
      <c r="N21" s="157">
        <f t="shared" si="15"/>
        <v>0</v>
      </c>
      <c r="O21" s="156">
        <f t="shared" si="15"/>
        <v>465352</v>
      </c>
      <c r="P21" s="123">
        <f t="shared" si="15"/>
        <v>16000</v>
      </c>
      <c r="Q21" s="123">
        <f t="shared" si="15"/>
        <v>0</v>
      </c>
      <c r="R21" s="157">
        <f t="shared" si="15"/>
        <v>481352</v>
      </c>
      <c r="T21" s="382"/>
      <c r="U21" s="382">
        <v>16000</v>
      </c>
      <c r="V21" s="380">
        <v>0</v>
      </c>
    </row>
    <row r="22" spans="2:22" ht="13.5" customHeight="1">
      <c r="B22" s="383"/>
      <c r="C22" s="489"/>
      <c r="D22" s="490"/>
      <c r="E22" s="490"/>
      <c r="F22" s="491"/>
      <c r="G22" s="489"/>
      <c r="H22" s="492"/>
      <c r="I22" s="492"/>
      <c r="J22" s="491"/>
      <c r="K22" s="489"/>
      <c r="L22" s="490"/>
      <c r="M22" s="490"/>
      <c r="N22" s="491"/>
      <c r="O22" s="493"/>
      <c r="P22" s="494"/>
      <c r="Q22" s="494"/>
      <c r="R22" s="491"/>
      <c r="T22" s="382"/>
      <c r="U22" s="382"/>
    </row>
    <row r="23" spans="2:22" ht="13.5" customHeight="1">
      <c r="B23" s="482" t="s">
        <v>37</v>
      </c>
      <c r="C23" s="381"/>
      <c r="D23" s="466"/>
      <c r="E23" s="466"/>
      <c r="F23" s="467"/>
      <c r="G23" s="381"/>
      <c r="H23" s="169"/>
      <c r="I23" s="169"/>
      <c r="J23" s="467"/>
      <c r="K23" s="381"/>
      <c r="L23" s="466"/>
      <c r="M23" s="466"/>
      <c r="N23" s="467"/>
      <c r="O23" s="468"/>
      <c r="P23" s="469"/>
      <c r="Q23" s="469"/>
      <c r="R23" s="467"/>
      <c r="T23" s="382"/>
      <c r="U23" s="382"/>
    </row>
    <row r="24" spans="2:22" ht="13.5" customHeight="1">
      <c r="B24" s="495" t="s">
        <v>38</v>
      </c>
      <c r="C24" s="154">
        <f t="shared" ref="C24:I24" si="16">SUM(C25:C32)</f>
        <v>419700.98400000005</v>
      </c>
      <c r="D24" s="122">
        <f t="shared" si="16"/>
        <v>55739.056000000004</v>
      </c>
      <c r="E24" s="122">
        <f t="shared" si="16"/>
        <v>0</v>
      </c>
      <c r="F24" s="155">
        <f t="shared" si="16"/>
        <v>475440.04000000004</v>
      </c>
      <c r="G24" s="154">
        <f t="shared" si="16"/>
        <v>440686.03199999995</v>
      </c>
      <c r="H24" s="122">
        <f t="shared" si="16"/>
        <v>58526.008000000002</v>
      </c>
      <c r="I24" s="122">
        <f t="shared" si="16"/>
        <v>0</v>
      </c>
      <c r="J24" s="155">
        <f t="shared" ref="J24" si="17">SUM(J25:J32)</f>
        <v>499212.04</v>
      </c>
      <c r="K24" s="154">
        <f>SUM(K25:K32)</f>
        <v>476724.17800000001</v>
      </c>
      <c r="L24" s="122">
        <f>SUM(L25:L32)</f>
        <v>64119.712000000007</v>
      </c>
      <c r="M24" s="122">
        <f>SUM(M25:M32)</f>
        <v>0</v>
      </c>
      <c r="N24" s="155">
        <f t="shared" ref="N24" si="18">SUM(N25:N32)</f>
        <v>540843.89</v>
      </c>
      <c r="O24" s="154">
        <f>SUM(O25:O32)</f>
        <v>1337111.1940000001</v>
      </c>
      <c r="P24" s="122">
        <f>SUM(P25:P32)</f>
        <v>178384.77600000001</v>
      </c>
      <c r="Q24" s="122">
        <f>SUM(Q25:Q32)</f>
        <v>0</v>
      </c>
      <c r="R24" s="155">
        <f t="shared" ref="R24" si="19">SUM(R25:R32)</f>
        <v>1515495.9700000002</v>
      </c>
      <c r="T24" s="382"/>
      <c r="U24" s="382"/>
    </row>
    <row r="25" spans="2:22" ht="25.5">
      <c r="B25" s="385" t="str">
        <f>Personal!B8</f>
        <v>Responsable Proyecto / Seg. Alimentaria / organización / género (1 resp. x 5716 Bs x 14 meses)</v>
      </c>
      <c r="C25" s="381">
        <f>Personal!H8</f>
        <v>80022</v>
      </c>
      <c r="D25" s="169">
        <f>Personal!I8</f>
        <v>0</v>
      </c>
      <c r="E25" s="169">
        <f>Personal!J8</f>
        <v>0</v>
      </c>
      <c r="F25" s="467">
        <f t="shared" ref="F25:F31" si="20">SUM(C25:E25)</f>
        <v>80022</v>
      </c>
      <c r="G25" s="381">
        <f>Personal!K8</f>
        <v>84023.1</v>
      </c>
      <c r="H25" s="169">
        <f>Personal!L8</f>
        <v>0</v>
      </c>
      <c r="I25" s="169">
        <f>Personal!M8</f>
        <v>0</v>
      </c>
      <c r="J25" s="467">
        <f t="shared" ref="J25:J31" si="21">SUM(G25:I25)</f>
        <v>84023.1</v>
      </c>
      <c r="K25" s="381">
        <f>Personal!N8</f>
        <v>90224.81</v>
      </c>
      <c r="L25" s="169">
        <f>Personal!O8</f>
        <v>0</v>
      </c>
      <c r="M25" s="169">
        <f>Personal!P8</f>
        <v>0</v>
      </c>
      <c r="N25" s="467">
        <f t="shared" ref="N25:N31" si="22">SUM(K25:M25)</f>
        <v>90224.81</v>
      </c>
      <c r="O25" s="468">
        <f t="shared" ref="O25:O31" si="23">C25+G25+K25</f>
        <v>254269.91</v>
      </c>
      <c r="P25" s="469">
        <f t="shared" ref="P25:P31" si="24">D25+H25+L25</f>
        <v>0</v>
      </c>
      <c r="Q25" s="469">
        <f t="shared" ref="Q25:Q31" si="25">E25+I25+M25</f>
        <v>0</v>
      </c>
      <c r="R25" s="467">
        <f t="shared" ref="R25:R31" si="26">SUM(O25:Q25)</f>
        <v>254269.91</v>
      </c>
      <c r="T25" s="382"/>
      <c r="U25" s="382"/>
    </row>
    <row r="26" spans="2:22">
      <c r="B26" s="385" t="str">
        <f>Personal!B9</f>
        <v xml:space="preserve">Técnicos 1 en producción agropecuaria (1 tec. x 45730 Bs x 14 meses)  </v>
      </c>
      <c r="C26" s="381">
        <f>Personal!H9</f>
        <v>64017.600000000006</v>
      </c>
      <c r="D26" s="169">
        <f>Personal!I9</f>
        <v>0</v>
      </c>
      <c r="E26" s="169">
        <f>Personal!J9</f>
        <v>0</v>
      </c>
      <c r="F26" s="467">
        <f t="shared" si="20"/>
        <v>64017.600000000006</v>
      </c>
      <c r="G26" s="381">
        <f>Personal!K9</f>
        <v>67218.48</v>
      </c>
      <c r="H26" s="169">
        <f>Personal!L9</f>
        <v>0</v>
      </c>
      <c r="I26" s="169">
        <f>Personal!M9</f>
        <v>0</v>
      </c>
      <c r="J26" s="467">
        <f t="shared" si="21"/>
        <v>67218.48</v>
      </c>
      <c r="K26" s="381">
        <f>Personal!N9</f>
        <v>72579.95</v>
      </c>
      <c r="L26" s="169">
        <f>Personal!O9</f>
        <v>0</v>
      </c>
      <c r="M26" s="169">
        <f>Personal!P9</f>
        <v>0</v>
      </c>
      <c r="N26" s="467">
        <f t="shared" si="22"/>
        <v>72579.95</v>
      </c>
      <c r="O26" s="468">
        <f t="shared" si="23"/>
        <v>203816.03000000003</v>
      </c>
      <c r="P26" s="469">
        <f t="shared" si="24"/>
        <v>0</v>
      </c>
      <c r="Q26" s="469">
        <f t="shared" si="25"/>
        <v>0</v>
      </c>
      <c r="R26" s="467">
        <f t="shared" si="26"/>
        <v>203816.03000000003</v>
      </c>
      <c r="T26" s="382"/>
      <c r="U26" s="382"/>
    </row>
    <row r="27" spans="2:22">
      <c r="B27" s="385" t="str">
        <f>Personal!B10</f>
        <v xml:space="preserve">Técnicos 2 en producción agropecuaria (1 tec. x 4573 Bs x 14 meses)  </v>
      </c>
      <c r="C27" s="381">
        <f>Personal!H10</f>
        <v>64017.600000000006</v>
      </c>
      <c r="D27" s="169">
        <f>Personal!I10</f>
        <v>0</v>
      </c>
      <c r="E27" s="169">
        <f>Personal!J10</f>
        <v>0</v>
      </c>
      <c r="F27" s="467">
        <f t="shared" ref="F27:F29" si="27">SUM(C27:E27)</f>
        <v>64017.600000000006</v>
      </c>
      <c r="G27" s="381">
        <f>Personal!K10</f>
        <v>67218.48</v>
      </c>
      <c r="H27" s="169">
        <f>Personal!L10</f>
        <v>0</v>
      </c>
      <c r="I27" s="169">
        <f>Personal!M10</f>
        <v>0</v>
      </c>
      <c r="J27" s="467">
        <f t="shared" ref="J27:J29" si="28">SUM(G27:I27)</f>
        <v>67218.48</v>
      </c>
      <c r="K27" s="381">
        <f>Personal!N10</f>
        <v>72579.95</v>
      </c>
      <c r="L27" s="169">
        <f>Personal!O10</f>
        <v>0</v>
      </c>
      <c r="M27" s="169">
        <f>Personal!P10</f>
        <v>0</v>
      </c>
      <c r="N27" s="467">
        <f t="shared" ref="N27:N29" si="29">SUM(K27:M27)</f>
        <v>72579.95</v>
      </c>
      <c r="O27" s="468">
        <f t="shared" ref="O27:O29" si="30">C27+G27+K27</f>
        <v>203816.03000000003</v>
      </c>
      <c r="P27" s="469">
        <f t="shared" ref="P27:P29" si="31">D27+H27+L27</f>
        <v>0</v>
      </c>
      <c r="Q27" s="469">
        <f t="shared" ref="Q27:Q29" si="32">E27+I27+M27</f>
        <v>0</v>
      </c>
      <c r="R27" s="467">
        <f t="shared" ref="R27:R29" si="33">SUM(O27:Q27)</f>
        <v>203816.03000000003</v>
      </c>
      <c r="T27" s="382"/>
      <c r="U27" s="382"/>
    </row>
    <row r="28" spans="2:22">
      <c r="B28" s="385" t="str">
        <f>Personal!B11</f>
        <v xml:space="preserve">Técnicos 3 en producción agropecuaria (1 tec. x 4573 Bs x 14 meses)  </v>
      </c>
      <c r="C28" s="381">
        <f>Personal!H11</f>
        <v>64017.600000000006</v>
      </c>
      <c r="D28" s="169">
        <f>Personal!I11</f>
        <v>0</v>
      </c>
      <c r="E28" s="169">
        <f>Personal!J11</f>
        <v>0</v>
      </c>
      <c r="F28" s="467">
        <f t="shared" si="27"/>
        <v>64017.600000000006</v>
      </c>
      <c r="G28" s="381">
        <f>Personal!K11</f>
        <v>67218.48</v>
      </c>
      <c r="H28" s="169">
        <f>Personal!L11</f>
        <v>0</v>
      </c>
      <c r="I28" s="169">
        <f>Personal!M11</f>
        <v>0</v>
      </c>
      <c r="J28" s="467">
        <f t="shared" si="28"/>
        <v>67218.48</v>
      </c>
      <c r="K28" s="381">
        <f>Personal!N11</f>
        <v>72579.95</v>
      </c>
      <c r="L28" s="169">
        <f>Personal!O11</f>
        <v>0</v>
      </c>
      <c r="M28" s="169">
        <f>Personal!P11</f>
        <v>0</v>
      </c>
      <c r="N28" s="467">
        <f t="shared" si="29"/>
        <v>72579.95</v>
      </c>
      <c r="O28" s="468">
        <f t="shared" si="30"/>
        <v>203816.03000000003</v>
      </c>
      <c r="P28" s="469">
        <f t="shared" si="31"/>
        <v>0</v>
      </c>
      <c r="Q28" s="469">
        <f t="shared" si="32"/>
        <v>0</v>
      </c>
      <c r="R28" s="467">
        <f t="shared" si="33"/>
        <v>203816.03000000003</v>
      </c>
      <c r="T28" s="382"/>
      <c r="U28" s="382"/>
    </row>
    <row r="29" spans="2:22">
      <c r="B29" s="385" t="str">
        <f>Personal!B12</f>
        <v xml:space="preserve">Técnicos 4 en producción agropecuaria (1 tec. x 4573 Bs x 14 meses)  </v>
      </c>
      <c r="C29" s="381">
        <f>Personal!H12</f>
        <v>64017.600000000006</v>
      </c>
      <c r="D29" s="169">
        <f>Personal!I12</f>
        <v>0</v>
      </c>
      <c r="E29" s="169">
        <f>Personal!J12</f>
        <v>0</v>
      </c>
      <c r="F29" s="467">
        <f t="shared" si="27"/>
        <v>64017.600000000006</v>
      </c>
      <c r="G29" s="381">
        <f>Personal!K12</f>
        <v>67218.48</v>
      </c>
      <c r="H29" s="169">
        <f>Personal!L12</f>
        <v>0</v>
      </c>
      <c r="I29" s="169">
        <f>Personal!M12</f>
        <v>0</v>
      </c>
      <c r="J29" s="467">
        <f t="shared" si="28"/>
        <v>67218.48</v>
      </c>
      <c r="K29" s="381">
        <f>Personal!N12</f>
        <v>72579.95</v>
      </c>
      <c r="L29" s="169">
        <f>Personal!O12</f>
        <v>0</v>
      </c>
      <c r="M29" s="169">
        <f>Personal!P12</f>
        <v>0</v>
      </c>
      <c r="N29" s="467">
        <f t="shared" si="29"/>
        <v>72579.95</v>
      </c>
      <c r="O29" s="468">
        <f t="shared" si="30"/>
        <v>203816.03000000003</v>
      </c>
      <c r="P29" s="469">
        <f t="shared" si="31"/>
        <v>0</v>
      </c>
      <c r="Q29" s="469">
        <f t="shared" si="32"/>
        <v>0</v>
      </c>
      <c r="R29" s="467">
        <f t="shared" si="33"/>
        <v>203816.03000000003</v>
      </c>
      <c r="T29" s="382"/>
      <c r="U29" s="382"/>
    </row>
    <row r="30" spans="2:22">
      <c r="B30" s="385" t="str">
        <f>Personal!B13</f>
        <v>Encargado de seguimiento y monitoreo (4977 x 14 meses)</v>
      </c>
      <c r="C30" s="381">
        <f>Personal!H13</f>
        <v>41804.292000000001</v>
      </c>
      <c r="D30" s="169">
        <f>Personal!I13</f>
        <v>27869.528000000002</v>
      </c>
      <c r="E30" s="169">
        <f>Personal!J13</f>
        <v>0</v>
      </c>
      <c r="F30" s="467">
        <f t="shared" si="20"/>
        <v>69673.820000000007</v>
      </c>
      <c r="G30" s="381">
        <f>Personal!K13</f>
        <v>43894.505999999994</v>
      </c>
      <c r="H30" s="169">
        <f>Personal!L13</f>
        <v>29263.004000000001</v>
      </c>
      <c r="I30" s="169">
        <f>Personal!M13</f>
        <v>0</v>
      </c>
      <c r="J30" s="467">
        <f t="shared" si="21"/>
        <v>73157.509999999995</v>
      </c>
      <c r="K30" s="381">
        <f>Personal!N13</f>
        <v>48089.784</v>
      </c>
      <c r="L30" s="169">
        <f>Personal!O13</f>
        <v>32059.856000000003</v>
      </c>
      <c r="M30" s="169">
        <f>Personal!P13</f>
        <v>0</v>
      </c>
      <c r="N30" s="467">
        <f t="shared" si="22"/>
        <v>80149.64</v>
      </c>
      <c r="O30" s="468">
        <f t="shared" si="23"/>
        <v>133788.58199999999</v>
      </c>
      <c r="P30" s="469">
        <f t="shared" si="24"/>
        <v>89192.388000000006</v>
      </c>
      <c r="Q30" s="469">
        <f t="shared" si="25"/>
        <v>0</v>
      </c>
      <c r="R30" s="467">
        <f t="shared" si="26"/>
        <v>222980.97</v>
      </c>
      <c r="T30" s="382"/>
      <c r="U30" s="382"/>
    </row>
    <row r="31" spans="2:22">
      <c r="B31" s="385" t="str">
        <f>Personal!B14</f>
        <v>Administrador (4977 x 14 meses)</v>
      </c>
      <c r="C31" s="381">
        <f>Personal!H14</f>
        <v>41804.292000000001</v>
      </c>
      <c r="D31" s="169">
        <f>Personal!I14</f>
        <v>27869.528000000002</v>
      </c>
      <c r="E31" s="169">
        <f>Personal!J14</f>
        <v>0</v>
      </c>
      <c r="F31" s="467">
        <f t="shared" si="20"/>
        <v>69673.820000000007</v>
      </c>
      <c r="G31" s="381">
        <f>Personal!K14</f>
        <v>43894.505999999994</v>
      </c>
      <c r="H31" s="169">
        <f>Personal!L14</f>
        <v>29263.004000000001</v>
      </c>
      <c r="I31" s="169">
        <f>Personal!M14</f>
        <v>0</v>
      </c>
      <c r="J31" s="467">
        <f t="shared" si="21"/>
        <v>73157.509999999995</v>
      </c>
      <c r="K31" s="381">
        <f>Personal!N14</f>
        <v>48089.784</v>
      </c>
      <c r="L31" s="169">
        <f>Personal!O14</f>
        <v>32059.856000000003</v>
      </c>
      <c r="M31" s="169">
        <f>Personal!P14</f>
        <v>0</v>
      </c>
      <c r="N31" s="467">
        <f t="shared" si="22"/>
        <v>80149.64</v>
      </c>
      <c r="O31" s="468">
        <f t="shared" si="23"/>
        <v>133788.58199999999</v>
      </c>
      <c r="P31" s="469">
        <f t="shared" si="24"/>
        <v>89192.388000000006</v>
      </c>
      <c r="Q31" s="469">
        <f t="shared" si="25"/>
        <v>0</v>
      </c>
      <c r="R31" s="467">
        <f t="shared" si="26"/>
        <v>222980.97</v>
      </c>
      <c r="T31" s="382"/>
      <c r="U31" s="382"/>
    </row>
    <row r="32" spans="2:22">
      <c r="B32" s="496"/>
      <c r="C32" s="381"/>
      <c r="D32" s="466"/>
      <c r="E32" s="466"/>
      <c r="F32" s="467"/>
      <c r="G32" s="381"/>
      <c r="H32" s="169"/>
      <c r="I32" s="169"/>
      <c r="J32" s="467"/>
      <c r="K32" s="381"/>
      <c r="L32" s="466"/>
      <c r="M32" s="466"/>
      <c r="N32" s="467"/>
      <c r="O32" s="468"/>
      <c r="P32" s="469"/>
      <c r="Q32" s="469"/>
      <c r="R32" s="467"/>
      <c r="T32" s="382"/>
      <c r="U32" s="382"/>
    </row>
    <row r="33" spans="2:21" ht="13.5" customHeight="1">
      <c r="B33" s="495" t="s">
        <v>34</v>
      </c>
      <c r="C33" s="154">
        <f>SUM(C34:C37)</f>
        <v>0</v>
      </c>
      <c r="D33" s="122">
        <f t="shared" ref="D33:R33" si="34">SUM(D34:D37)</f>
        <v>0</v>
      </c>
      <c r="E33" s="122">
        <f t="shared" si="34"/>
        <v>0</v>
      </c>
      <c r="F33" s="155">
        <f t="shared" si="34"/>
        <v>0</v>
      </c>
      <c r="G33" s="154">
        <f t="shared" si="34"/>
        <v>12420</v>
      </c>
      <c r="H33" s="122">
        <f t="shared" si="34"/>
        <v>0</v>
      </c>
      <c r="I33" s="122">
        <f t="shared" si="34"/>
        <v>0</v>
      </c>
      <c r="J33" s="155">
        <f t="shared" si="34"/>
        <v>12420</v>
      </c>
      <c r="K33" s="154">
        <f t="shared" si="34"/>
        <v>0</v>
      </c>
      <c r="L33" s="122">
        <f t="shared" si="34"/>
        <v>0</v>
      </c>
      <c r="M33" s="122">
        <f t="shared" si="34"/>
        <v>0</v>
      </c>
      <c r="N33" s="155">
        <f t="shared" si="34"/>
        <v>0</v>
      </c>
      <c r="O33" s="154">
        <f t="shared" si="34"/>
        <v>12420</v>
      </c>
      <c r="P33" s="122">
        <f t="shared" si="34"/>
        <v>0</v>
      </c>
      <c r="Q33" s="122">
        <f t="shared" si="34"/>
        <v>0</v>
      </c>
      <c r="R33" s="155">
        <f t="shared" si="34"/>
        <v>12420</v>
      </c>
      <c r="T33" s="382"/>
      <c r="U33" s="382"/>
    </row>
    <row r="34" spans="2:21" ht="13.5" customHeight="1">
      <c r="B34" s="497" t="str">
        <f>'Gastos de Viaje'!B11</f>
        <v>Pago matrícula personal proyecto - cursos</v>
      </c>
      <c r="C34" s="381">
        <f>'Gastos de Viaje'!G11</f>
        <v>0</v>
      </c>
      <c r="D34" s="169">
        <f>'Gastos de Viaje'!H11</f>
        <v>0</v>
      </c>
      <c r="E34" s="169">
        <f>'Gastos de Viaje'!I11</f>
        <v>0</v>
      </c>
      <c r="F34" s="467">
        <f t="shared" ref="F34" si="35">SUM(C34:E34)</f>
        <v>0</v>
      </c>
      <c r="G34" s="381">
        <f>'Gastos de Viaje'!J11</f>
        <v>3600</v>
      </c>
      <c r="H34" s="169">
        <f>'Gastos de Viaje'!K11</f>
        <v>0</v>
      </c>
      <c r="I34" s="169">
        <f>'Gastos de Viaje'!L11</f>
        <v>0</v>
      </c>
      <c r="J34" s="467">
        <f t="shared" ref="J34" si="36">SUM(G34:I34)</f>
        <v>3600</v>
      </c>
      <c r="K34" s="381">
        <f>'Gastos de Viaje'!M11</f>
        <v>0</v>
      </c>
      <c r="L34" s="169">
        <f>'Gastos de Viaje'!N11</f>
        <v>0</v>
      </c>
      <c r="M34" s="169">
        <f>'Gastos de Viaje'!O11</f>
        <v>0</v>
      </c>
      <c r="N34" s="467">
        <f t="shared" ref="N34" si="37">SUM(K34:M34)</f>
        <v>0</v>
      </c>
      <c r="O34" s="468">
        <f t="shared" ref="O34" si="38">C34+G34+K34</f>
        <v>3600</v>
      </c>
      <c r="P34" s="469">
        <f t="shared" ref="P34" si="39">D34+H34+L34</f>
        <v>0</v>
      </c>
      <c r="Q34" s="469">
        <f t="shared" ref="Q34" si="40">E34+I34+M34</f>
        <v>0</v>
      </c>
      <c r="R34" s="467">
        <f t="shared" ref="R34" si="41">SUM(O34:Q34)</f>
        <v>3600</v>
      </c>
      <c r="T34" s="382"/>
      <c r="U34" s="382"/>
    </row>
    <row r="35" spans="2:21" ht="13.5" customHeight="1">
      <c r="B35" s="497" t="str">
        <f>'Gastos de Viaje'!B12</f>
        <v>Pasajes</v>
      </c>
      <c r="C35" s="381">
        <f>'Gastos de Viaje'!G12</f>
        <v>0</v>
      </c>
      <c r="D35" s="169">
        <f>'Gastos de Viaje'!H12</f>
        <v>0</v>
      </c>
      <c r="E35" s="169">
        <f>'Gastos de Viaje'!I12</f>
        <v>0</v>
      </c>
      <c r="F35" s="467">
        <f t="shared" ref="F35:F37" si="42">SUM(C35:E35)</f>
        <v>0</v>
      </c>
      <c r="G35" s="381">
        <f>'Gastos de Viaje'!J12</f>
        <v>6000</v>
      </c>
      <c r="H35" s="169">
        <f>'Gastos de Viaje'!K12</f>
        <v>0</v>
      </c>
      <c r="I35" s="169">
        <f>'Gastos de Viaje'!L12</f>
        <v>0</v>
      </c>
      <c r="J35" s="467">
        <f t="shared" ref="J35:J37" si="43">SUM(G35:I35)</f>
        <v>6000</v>
      </c>
      <c r="K35" s="381">
        <f>'Gastos de Viaje'!M12</f>
        <v>0</v>
      </c>
      <c r="L35" s="169">
        <f>'Gastos de Viaje'!N12</f>
        <v>0</v>
      </c>
      <c r="M35" s="169">
        <f>'Gastos de Viaje'!O12</f>
        <v>0</v>
      </c>
      <c r="N35" s="467">
        <f t="shared" ref="N35:N37" si="44">SUM(K35:M35)</f>
        <v>0</v>
      </c>
      <c r="O35" s="468">
        <f t="shared" ref="O35:O37" si="45">C35+G35+K35</f>
        <v>6000</v>
      </c>
      <c r="P35" s="469">
        <f t="shared" ref="P35:P37" si="46">D35+H35+L35</f>
        <v>0</v>
      </c>
      <c r="Q35" s="469">
        <f t="shared" ref="Q35:Q37" si="47">E35+I35+M35</f>
        <v>0</v>
      </c>
      <c r="R35" s="467">
        <f t="shared" ref="R35:R37" si="48">SUM(O35:Q35)</f>
        <v>6000</v>
      </c>
      <c r="T35" s="382"/>
      <c r="U35" s="382"/>
    </row>
    <row r="36" spans="2:21" ht="13.5" customHeight="1">
      <c r="B36" s="497" t="str">
        <f>'Gastos de Viaje'!B13</f>
        <v>Alojamiento</v>
      </c>
      <c r="C36" s="381">
        <f>'Gastos de Viaje'!G13</f>
        <v>0</v>
      </c>
      <c r="D36" s="169">
        <f>'Gastos de Viaje'!H13</f>
        <v>0</v>
      </c>
      <c r="E36" s="169">
        <f>'Gastos de Viaje'!I13</f>
        <v>0</v>
      </c>
      <c r="F36" s="467">
        <f t="shared" si="42"/>
        <v>0</v>
      </c>
      <c r="G36" s="381">
        <f>'Gastos de Viaje'!J13</f>
        <v>1380</v>
      </c>
      <c r="H36" s="169">
        <f>'Gastos de Viaje'!K13</f>
        <v>0</v>
      </c>
      <c r="I36" s="169">
        <f>'Gastos de Viaje'!L13</f>
        <v>0</v>
      </c>
      <c r="J36" s="467">
        <f t="shared" si="43"/>
        <v>1380</v>
      </c>
      <c r="K36" s="381">
        <f>'Gastos de Viaje'!M13</f>
        <v>0</v>
      </c>
      <c r="L36" s="169">
        <f>'Gastos de Viaje'!N13</f>
        <v>0</v>
      </c>
      <c r="M36" s="169">
        <f>'Gastos de Viaje'!O13</f>
        <v>0</v>
      </c>
      <c r="N36" s="467">
        <f t="shared" si="44"/>
        <v>0</v>
      </c>
      <c r="O36" s="468">
        <f t="shared" si="45"/>
        <v>1380</v>
      </c>
      <c r="P36" s="469">
        <f t="shared" si="46"/>
        <v>0</v>
      </c>
      <c r="Q36" s="469">
        <f t="shared" si="47"/>
        <v>0</v>
      </c>
      <c r="R36" s="467">
        <f t="shared" si="48"/>
        <v>1380</v>
      </c>
      <c r="T36" s="382"/>
      <c r="U36" s="382"/>
    </row>
    <row r="37" spans="2:21" ht="13.5" customHeight="1">
      <c r="B37" s="497" t="str">
        <f>'Gastos de Viaje'!B14</f>
        <v>Viáticos</v>
      </c>
      <c r="C37" s="381">
        <f>'Gastos de Viaje'!G14</f>
        <v>0</v>
      </c>
      <c r="D37" s="169">
        <f>'Gastos de Viaje'!H14</f>
        <v>0</v>
      </c>
      <c r="E37" s="169">
        <f>'Gastos de Viaje'!I14</f>
        <v>0</v>
      </c>
      <c r="F37" s="467">
        <f t="shared" si="42"/>
        <v>0</v>
      </c>
      <c r="G37" s="381">
        <f>'Gastos de Viaje'!J14</f>
        <v>1440</v>
      </c>
      <c r="H37" s="169">
        <f>'Gastos de Viaje'!K14</f>
        <v>0</v>
      </c>
      <c r="I37" s="169">
        <f>'Gastos de Viaje'!L14</f>
        <v>0</v>
      </c>
      <c r="J37" s="467">
        <f t="shared" si="43"/>
        <v>1440</v>
      </c>
      <c r="K37" s="381">
        <f>'Gastos de Viaje'!M14</f>
        <v>0</v>
      </c>
      <c r="L37" s="169">
        <f>'Gastos de Viaje'!N14</f>
        <v>0</v>
      </c>
      <c r="M37" s="169">
        <f>'Gastos de Viaje'!O14</f>
        <v>0</v>
      </c>
      <c r="N37" s="467">
        <f t="shared" si="44"/>
        <v>0</v>
      </c>
      <c r="O37" s="468">
        <f t="shared" si="45"/>
        <v>1440</v>
      </c>
      <c r="P37" s="469">
        <f t="shared" si="46"/>
        <v>0</v>
      </c>
      <c r="Q37" s="469">
        <f t="shared" si="47"/>
        <v>0</v>
      </c>
      <c r="R37" s="467">
        <f t="shared" si="48"/>
        <v>1440</v>
      </c>
      <c r="T37" s="382"/>
      <c r="U37" s="382"/>
    </row>
    <row r="38" spans="2:21" ht="8.25" customHeight="1">
      <c r="B38" s="498"/>
      <c r="C38" s="499"/>
      <c r="D38" s="500"/>
      <c r="E38" s="500"/>
      <c r="F38" s="501"/>
      <c r="G38" s="499"/>
      <c r="H38" s="500"/>
      <c r="I38" s="500"/>
      <c r="J38" s="501"/>
      <c r="K38" s="499"/>
      <c r="L38" s="500"/>
      <c r="M38" s="500"/>
      <c r="N38" s="501"/>
      <c r="O38" s="499"/>
      <c r="P38" s="500"/>
      <c r="Q38" s="500"/>
      <c r="R38" s="501"/>
      <c r="T38" s="382"/>
      <c r="U38" s="382"/>
    </row>
    <row r="39" spans="2:21" ht="13.5" customHeight="1">
      <c r="B39" s="488" t="s">
        <v>16</v>
      </c>
      <c r="C39" s="158">
        <f>+C24+C33</f>
        <v>419700.98400000005</v>
      </c>
      <c r="D39" s="124">
        <f t="shared" ref="D39:R39" si="49">+D24+D33</f>
        <v>55739.056000000004</v>
      </c>
      <c r="E39" s="124">
        <f t="shared" si="49"/>
        <v>0</v>
      </c>
      <c r="F39" s="159">
        <f t="shared" si="49"/>
        <v>475440.04000000004</v>
      </c>
      <c r="G39" s="158">
        <f t="shared" si="49"/>
        <v>453106.03199999995</v>
      </c>
      <c r="H39" s="124">
        <f t="shared" si="49"/>
        <v>58526.008000000002</v>
      </c>
      <c r="I39" s="124">
        <f t="shared" si="49"/>
        <v>0</v>
      </c>
      <c r="J39" s="159">
        <f t="shared" si="49"/>
        <v>511632.04</v>
      </c>
      <c r="K39" s="158">
        <f t="shared" si="49"/>
        <v>476724.17800000001</v>
      </c>
      <c r="L39" s="124">
        <f t="shared" si="49"/>
        <v>64119.712000000007</v>
      </c>
      <c r="M39" s="124">
        <f t="shared" si="49"/>
        <v>0</v>
      </c>
      <c r="N39" s="159">
        <f t="shared" si="49"/>
        <v>540843.89</v>
      </c>
      <c r="O39" s="158">
        <f t="shared" si="49"/>
        <v>1349531.1940000001</v>
      </c>
      <c r="P39" s="124">
        <f t="shared" si="49"/>
        <v>178384.77600000001</v>
      </c>
      <c r="Q39" s="124">
        <f t="shared" si="49"/>
        <v>0</v>
      </c>
      <c r="R39" s="159">
        <f t="shared" si="49"/>
        <v>1527915.9700000002</v>
      </c>
      <c r="T39" s="382"/>
      <c r="U39" s="382"/>
    </row>
    <row r="40" spans="2:21" ht="13.5" customHeight="1">
      <c r="B40" s="383"/>
      <c r="C40" s="489"/>
      <c r="D40" s="490"/>
      <c r="E40" s="490"/>
      <c r="F40" s="491"/>
      <c r="G40" s="489"/>
      <c r="H40" s="492"/>
      <c r="I40" s="492"/>
      <c r="J40" s="491"/>
      <c r="K40" s="489"/>
      <c r="L40" s="490"/>
      <c r="M40" s="490"/>
      <c r="N40" s="491"/>
      <c r="O40" s="493"/>
      <c r="P40" s="494"/>
      <c r="Q40" s="494"/>
      <c r="R40" s="491"/>
      <c r="T40" s="382"/>
      <c r="U40" s="382"/>
    </row>
    <row r="41" spans="2:21" ht="13.5" customHeight="1">
      <c r="B41" s="482" t="s">
        <v>41</v>
      </c>
      <c r="C41" s="381"/>
      <c r="D41" s="466"/>
      <c r="E41" s="466"/>
      <c r="F41" s="467"/>
      <c r="G41" s="381"/>
      <c r="H41" s="169"/>
      <c r="I41" s="169"/>
      <c r="J41" s="467"/>
      <c r="K41" s="381"/>
      <c r="L41" s="466"/>
      <c r="M41" s="466"/>
      <c r="N41" s="467"/>
      <c r="O41" s="468"/>
      <c r="P41" s="469"/>
      <c r="Q41" s="469"/>
      <c r="R41" s="467"/>
      <c r="T41" s="382"/>
      <c r="U41" s="382"/>
    </row>
    <row r="42" spans="2:21" ht="13.5" customHeight="1">
      <c r="B42" s="502" t="s">
        <v>100</v>
      </c>
      <c r="C42" s="381"/>
      <c r="D42" s="466"/>
      <c r="E42" s="466"/>
      <c r="F42" s="467"/>
      <c r="G42" s="381"/>
      <c r="H42" s="169"/>
      <c r="I42" s="169"/>
      <c r="J42" s="467"/>
      <c r="K42" s="381"/>
      <c r="L42" s="466"/>
      <c r="M42" s="466"/>
      <c r="N42" s="467"/>
      <c r="O42" s="468"/>
      <c r="P42" s="469"/>
      <c r="Q42" s="469"/>
      <c r="R42" s="467"/>
      <c r="T42" s="382"/>
      <c r="U42" s="382"/>
    </row>
    <row r="43" spans="2:21" ht="13.5" customHeight="1">
      <c r="B43" s="532" t="str">
        <f>'Actividades del proyecto'!B17</f>
        <v>1.1. Elaboración de Línea de base del proyecto.</v>
      </c>
      <c r="C43" s="381"/>
      <c r="D43" s="503"/>
      <c r="E43" s="466"/>
      <c r="F43" s="467"/>
      <c r="G43" s="381"/>
      <c r="H43" s="169"/>
      <c r="I43" s="169"/>
      <c r="J43" s="467"/>
      <c r="K43" s="381"/>
      <c r="L43" s="466"/>
      <c r="M43" s="466"/>
      <c r="N43" s="467"/>
      <c r="O43" s="468"/>
      <c r="P43" s="469"/>
      <c r="Q43" s="469"/>
      <c r="R43" s="467"/>
      <c r="T43" s="382">
        <f>SUM(R44)</f>
        <v>17400</v>
      </c>
      <c r="U43" s="382"/>
    </row>
    <row r="44" spans="2:21" ht="13.5" customHeight="1">
      <c r="B44" s="470" t="str">
        <f>'Actividades del proyecto'!B18</f>
        <v>Honorarios profesionales (linea de base)</v>
      </c>
      <c r="C44" s="504">
        <f>'Actividades del proyecto'!G18</f>
        <v>17400</v>
      </c>
      <c r="D44" s="505">
        <f>'Actividades del proyecto'!H18</f>
        <v>0</v>
      </c>
      <c r="E44" s="506">
        <f>'Actividades del proyecto'!I18</f>
        <v>0</v>
      </c>
      <c r="F44" s="467">
        <f t="shared" ref="F44:F47" si="50">SUM(C44:E44)</f>
        <v>17400</v>
      </c>
      <c r="G44" s="507">
        <f>'Actividades del proyecto'!J18</f>
        <v>0</v>
      </c>
      <c r="H44" s="508">
        <f>'Actividades del proyecto'!K18</f>
        <v>0</v>
      </c>
      <c r="I44" s="508">
        <f>'Actividades del proyecto'!L18</f>
        <v>0</v>
      </c>
      <c r="J44" s="467">
        <f t="shared" ref="J44" si="51">SUM(G44:I44)</f>
        <v>0</v>
      </c>
      <c r="K44" s="507">
        <f>'Actividades del proyecto'!M18</f>
        <v>0</v>
      </c>
      <c r="L44" s="507">
        <f>'Actividades del proyecto'!N18</f>
        <v>0</v>
      </c>
      <c r="M44" s="507">
        <f>'Actividades del proyecto'!O18</f>
        <v>0</v>
      </c>
      <c r="N44" s="467">
        <f t="shared" ref="N44" si="52">SUM(K44:M44)</f>
        <v>0</v>
      </c>
      <c r="O44" s="468">
        <f t="shared" ref="O44" si="53">C44+G44+K44</f>
        <v>17400</v>
      </c>
      <c r="P44" s="469">
        <f t="shared" ref="P44" si="54">D44+H44+L44</f>
        <v>0</v>
      </c>
      <c r="Q44" s="469">
        <f t="shared" ref="Q44" si="55">E44+I44+M44</f>
        <v>0</v>
      </c>
      <c r="R44" s="467">
        <f t="shared" ref="R44" si="56">SUM(O44:Q44)</f>
        <v>17400</v>
      </c>
      <c r="T44" s="382"/>
      <c r="U44" s="382"/>
    </row>
    <row r="45" spans="2:21" ht="25.5">
      <c r="B45" s="533" t="str">
        <f>'Actividades del proyecto'!B19</f>
        <v>1.2. Planificación de actividades en producción agroecológica a nivel comunal y familiar</v>
      </c>
      <c r="C45" s="381"/>
      <c r="D45" s="484"/>
      <c r="E45" s="169"/>
      <c r="F45" s="467"/>
      <c r="G45" s="381"/>
      <c r="H45" s="169"/>
      <c r="I45" s="169"/>
      <c r="J45" s="467"/>
      <c r="K45" s="381"/>
      <c r="L45" s="169"/>
      <c r="M45" s="169"/>
      <c r="N45" s="467"/>
      <c r="O45" s="468"/>
      <c r="P45" s="469"/>
      <c r="Q45" s="469"/>
      <c r="R45" s="467"/>
      <c r="T45" s="382">
        <f>SUM(R46:R47)</f>
        <v>8140</v>
      </c>
      <c r="U45" s="382"/>
    </row>
    <row r="46" spans="2:21">
      <c r="B46" s="386" t="str">
        <f>'Actividades del proyecto'!B20</f>
        <v>Material de enseñanza y escritorio</v>
      </c>
      <c r="C46" s="507">
        <f>'Actividades del proyecto'!G20</f>
        <v>3740</v>
      </c>
      <c r="D46" s="508">
        <f>'Actividades del proyecto'!H20</f>
        <v>0</v>
      </c>
      <c r="E46" s="508">
        <f>'Actividades del proyecto'!I20</f>
        <v>0</v>
      </c>
      <c r="F46" s="467">
        <f t="shared" si="50"/>
        <v>3740</v>
      </c>
      <c r="G46" s="507">
        <f>'Actividades del proyecto'!J20</f>
        <v>0</v>
      </c>
      <c r="H46" s="508">
        <f>'Actividades del proyecto'!K20</f>
        <v>0</v>
      </c>
      <c r="I46" s="508">
        <f>'Actividades del proyecto'!L20</f>
        <v>0</v>
      </c>
      <c r="J46" s="467">
        <f t="shared" ref="J46" si="57">SUM(G46:I46)</f>
        <v>0</v>
      </c>
      <c r="K46" s="507">
        <f>'Actividades del proyecto'!M20</f>
        <v>0</v>
      </c>
      <c r="L46" s="508">
        <f>'Actividades del proyecto'!N20</f>
        <v>0</v>
      </c>
      <c r="M46" s="508">
        <f>'Actividades del proyecto'!O20</f>
        <v>0</v>
      </c>
      <c r="N46" s="467">
        <f t="shared" ref="N46" si="58">SUM(K46:M46)</f>
        <v>0</v>
      </c>
      <c r="O46" s="468">
        <f t="shared" ref="O46" si="59">C46+G46+K46</f>
        <v>3740</v>
      </c>
      <c r="P46" s="469">
        <f t="shared" ref="P46" si="60">D46+H46+L46</f>
        <v>0</v>
      </c>
      <c r="Q46" s="469">
        <f t="shared" ref="Q46" si="61">E46+I46+M46</f>
        <v>0</v>
      </c>
      <c r="R46" s="467">
        <f t="shared" ref="R46" si="62">SUM(O46:Q46)</f>
        <v>3740</v>
      </c>
      <c r="T46" s="382"/>
      <c r="U46" s="382"/>
    </row>
    <row r="47" spans="2:21">
      <c r="B47" s="386" t="str">
        <f>'Actividades del proyecto'!B21</f>
        <v>Alimentación (22 reuniones x 25 part x 8 Bs)</v>
      </c>
      <c r="C47" s="507">
        <f>'Actividades del proyecto'!G21</f>
        <v>4400</v>
      </c>
      <c r="D47" s="508">
        <f>'Actividades del proyecto'!H21</f>
        <v>0</v>
      </c>
      <c r="E47" s="508">
        <f>'Actividades del proyecto'!I21</f>
        <v>0</v>
      </c>
      <c r="F47" s="467">
        <f t="shared" si="50"/>
        <v>4400</v>
      </c>
      <c r="G47" s="507">
        <f>'Actividades del proyecto'!J21</f>
        <v>0</v>
      </c>
      <c r="H47" s="508">
        <f>'Actividades del proyecto'!K21</f>
        <v>0</v>
      </c>
      <c r="I47" s="508">
        <f>'Actividades del proyecto'!L21</f>
        <v>0</v>
      </c>
      <c r="J47" s="467">
        <f t="shared" ref="J47" si="63">SUM(G47:I47)</f>
        <v>0</v>
      </c>
      <c r="K47" s="507">
        <f>'Actividades del proyecto'!M21</f>
        <v>0</v>
      </c>
      <c r="L47" s="508">
        <f>'Actividades del proyecto'!N21</f>
        <v>0</v>
      </c>
      <c r="M47" s="508">
        <f>'Actividades del proyecto'!O21</f>
        <v>0</v>
      </c>
      <c r="N47" s="467">
        <f t="shared" ref="N47" si="64">SUM(K47:M47)</f>
        <v>0</v>
      </c>
      <c r="O47" s="468">
        <f t="shared" ref="O47" si="65">C47+G47+K47</f>
        <v>4400</v>
      </c>
      <c r="P47" s="469">
        <f t="shared" ref="P47" si="66">D47+H47+L47</f>
        <v>0</v>
      </c>
      <c r="Q47" s="469">
        <f t="shared" ref="Q47" si="67">E47+I47+M47</f>
        <v>0</v>
      </c>
      <c r="R47" s="467">
        <f t="shared" ref="R47" si="68">SUM(O47:Q47)</f>
        <v>4400</v>
      </c>
      <c r="T47" s="382"/>
      <c r="U47" s="382"/>
    </row>
    <row r="48" spans="2:21" ht="26.25" customHeight="1">
      <c r="B48" s="534" t="str">
        <f>'Actividades del proyecto'!B22</f>
        <v>1.3. Talleres de capacitación a productoras y productores en producción agrícola y hortícola de forma sostenible</v>
      </c>
      <c r="C48" s="507"/>
      <c r="D48" s="508"/>
      <c r="E48" s="508"/>
      <c r="F48" s="509"/>
      <c r="G48" s="507"/>
      <c r="H48" s="508"/>
      <c r="I48" s="508"/>
      <c r="J48" s="509"/>
      <c r="K48" s="507"/>
      <c r="L48" s="508"/>
      <c r="M48" s="508"/>
      <c r="N48" s="509"/>
      <c r="O48" s="507"/>
      <c r="P48" s="508"/>
      <c r="Q48" s="508"/>
      <c r="R48" s="509"/>
      <c r="T48" s="382">
        <f>SUM(R49:R53)</f>
        <v>37100</v>
      </c>
      <c r="U48" s="382"/>
    </row>
    <row r="49" spans="2:21">
      <c r="B49" s="387" t="str">
        <f>'Actividades del proyecto'!B23</f>
        <v>Actualización del material educativo (honorarios)</v>
      </c>
      <c r="C49" s="507">
        <f>'Actividades del proyecto'!G23</f>
        <v>0</v>
      </c>
      <c r="D49" s="508">
        <f>'Actividades del proyecto'!H23</f>
        <v>3000</v>
      </c>
      <c r="E49" s="508">
        <f>'Actividades del proyecto'!I23</f>
        <v>0</v>
      </c>
      <c r="F49" s="467">
        <f t="shared" ref="F49:F53" si="69">SUM(C49:E49)</f>
        <v>3000</v>
      </c>
      <c r="G49" s="507">
        <f>'Actividades del proyecto'!J23</f>
        <v>0</v>
      </c>
      <c r="H49" s="508">
        <f>'Actividades del proyecto'!K23</f>
        <v>0</v>
      </c>
      <c r="I49" s="508">
        <f>'Actividades del proyecto'!L23</f>
        <v>0</v>
      </c>
      <c r="J49" s="467">
        <f t="shared" ref="J49:J53" si="70">SUM(G49:I49)</f>
        <v>0</v>
      </c>
      <c r="K49" s="507">
        <f>'Actividades del proyecto'!J23</f>
        <v>0</v>
      </c>
      <c r="L49" s="508">
        <f>'Actividades del proyecto'!K23</f>
        <v>0</v>
      </c>
      <c r="M49" s="508">
        <f>'Actividades del proyecto'!L23</f>
        <v>0</v>
      </c>
      <c r="N49" s="467">
        <f t="shared" ref="N49:N53" si="71">SUM(K49:M49)</f>
        <v>0</v>
      </c>
      <c r="O49" s="468">
        <f t="shared" ref="O49:O53" si="72">C49+G49+K49</f>
        <v>0</v>
      </c>
      <c r="P49" s="469">
        <f t="shared" ref="P49:P53" si="73">D49+H49+L49</f>
        <v>3000</v>
      </c>
      <c r="Q49" s="469">
        <f t="shared" ref="Q49:Q53" si="74">E49+I49+M49</f>
        <v>0</v>
      </c>
      <c r="R49" s="467">
        <f t="shared" ref="R49:R53" si="75">SUM(O49:Q49)</f>
        <v>3000</v>
      </c>
      <c r="T49" s="382"/>
      <c r="U49" s="382"/>
    </row>
    <row r="50" spans="2:21">
      <c r="B50" s="387" t="str">
        <f>'Actividades del proyecto'!B24</f>
        <v xml:space="preserve">Impresión material educativo </v>
      </c>
      <c r="C50" s="507">
        <f>'Actividades del proyecto'!G24</f>
        <v>12500</v>
      </c>
      <c r="D50" s="508">
        <f>'Actividades del proyecto'!H24</f>
        <v>0</v>
      </c>
      <c r="E50" s="508">
        <f>'Actividades del proyecto'!I24</f>
        <v>0</v>
      </c>
      <c r="F50" s="467">
        <f t="shared" si="69"/>
        <v>12500</v>
      </c>
      <c r="G50" s="507">
        <f>'Actividades del proyecto'!J24</f>
        <v>0</v>
      </c>
      <c r="H50" s="508">
        <f>'Actividades del proyecto'!K24</f>
        <v>0</v>
      </c>
      <c r="I50" s="508">
        <f>'Actividades del proyecto'!L24</f>
        <v>0</v>
      </c>
      <c r="J50" s="467">
        <f t="shared" si="70"/>
        <v>0</v>
      </c>
      <c r="K50" s="507">
        <f>'Actividades del proyecto'!J24</f>
        <v>0</v>
      </c>
      <c r="L50" s="508">
        <f>'Actividades del proyecto'!K24</f>
        <v>0</v>
      </c>
      <c r="M50" s="508">
        <f>'Actividades del proyecto'!L24</f>
        <v>0</v>
      </c>
      <c r="N50" s="467">
        <f t="shared" si="71"/>
        <v>0</v>
      </c>
      <c r="O50" s="468">
        <f t="shared" si="72"/>
        <v>12500</v>
      </c>
      <c r="P50" s="469">
        <f t="shared" si="73"/>
        <v>0</v>
      </c>
      <c r="Q50" s="469">
        <f t="shared" si="74"/>
        <v>0</v>
      </c>
      <c r="R50" s="467">
        <f t="shared" si="75"/>
        <v>12500</v>
      </c>
      <c r="T50" s="382"/>
      <c r="U50" s="382"/>
    </row>
    <row r="51" spans="2:21" ht="25.5">
      <c r="B51" s="387" t="str">
        <f>'Actividades del proyecto'!B25</f>
        <v>Alimentación capacitación agrícola  (2 talleres x 22 com x 20 part x 20 Bs)</v>
      </c>
      <c r="C51" s="507">
        <f>'Actividades del proyecto'!G25</f>
        <v>17600</v>
      </c>
      <c r="D51" s="508">
        <f>'Actividades del proyecto'!H25</f>
        <v>0</v>
      </c>
      <c r="E51" s="508">
        <f>'Actividades del proyecto'!I25</f>
        <v>0</v>
      </c>
      <c r="F51" s="467">
        <f t="shared" si="69"/>
        <v>17600</v>
      </c>
      <c r="G51" s="507">
        <f>'Actividades del proyecto'!J25</f>
        <v>0</v>
      </c>
      <c r="H51" s="508">
        <f>'Actividades del proyecto'!K25</f>
        <v>0</v>
      </c>
      <c r="I51" s="508">
        <f>'Actividades del proyecto'!L25</f>
        <v>0</v>
      </c>
      <c r="J51" s="467">
        <f t="shared" si="70"/>
        <v>0</v>
      </c>
      <c r="K51" s="507">
        <f>'Actividades del proyecto'!J25</f>
        <v>0</v>
      </c>
      <c r="L51" s="508">
        <f>'Actividades del proyecto'!K25</f>
        <v>0</v>
      </c>
      <c r="M51" s="508">
        <f>'Actividades del proyecto'!L25</f>
        <v>0</v>
      </c>
      <c r="N51" s="467">
        <f t="shared" si="71"/>
        <v>0</v>
      </c>
      <c r="O51" s="468">
        <f t="shared" si="72"/>
        <v>17600</v>
      </c>
      <c r="P51" s="469">
        <f t="shared" si="73"/>
        <v>0</v>
      </c>
      <c r="Q51" s="469">
        <f t="shared" si="74"/>
        <v>0</v>
      </c>
      <c r="R51" s="467">
        <f t="shared" si="75"/>
        <v>17600</v>
      </c>
      <c r="T51" s="382"/>
      <c r="U51" s="382"/>
    </row>
    <row r="52" spans="2:21">
      <c r="B52" s="387" t="str">
        <f>'Actividades del proyecto'!B26</f>
        <v>Videos, fotografias y otro material educativo</v>
      </c>
      <c r="C52" s="507">
        <f>'Actividades del proyecto'!G26</f>
        <v>1000</v>
      </c>
      <c r="D52" s="508">
        <f>'Actividades del proyecto'!H26</f>
        <v>0</v>
      </c>
      <c r="E52" s="508">
        <f>'Actividades del proyecto'!I26</f>
        <v>0</v>
      </c>
      <c r="F52" s="467">
        <f t="shared" si="69"/>
        <v>1000</v>
      </c>
      <c r="G52" s="507">
        <f>'Actividades del proyecto'!J26</f>
        <v>0</v>
      </c>
      <c r="H52" s="508">
        <f>'Actividades del proyecto'!K26</f>
        <v>0</v>
      </c>
      <c r="I52" s="508">
        <f>'Actividades del proyecto'!L26</f>
        <v>0</v>
      </c>
      <c r="J52" s="467">
        <f t="shared" si="70"/>
        <v>0</v>
      </c>
      <c r="K52" s="507">
        <f>'Actividades del proyecto'!J26</f>
        <v>0</v>
      </c>
      <c r="L52" s="508">
        <f>'Actividades del proyecto'!K26</f>
        <v>0</v>
      </c>
      <c r="M52" s="508">
        <f>'Actividades del proyecto'!L26</f>
        <v>0</v>
      </c>
      <c r="N52" s="467">
        <f t="shared" si="71"/>
        <v>0</v>
      </c>
      <c r="O52" s="468">
        <f t="shared" si="72"/>
        <v>1000</v>
      </c>
      <c r="P52" s="469">
        <f t="shared" si="73"/>
        <v>0</v>
      </c>
      <c r="Q52" s="469">
        <f t="shared" si="74"/>
        <v>0</v>
      </c>
      <c r="R52" s="467">
        <f t="shared" si="75"/>
        <v>1000</v>
      </c>
      <c r="T52" s="382"/>
      <c r="U52" s="382"/>
    </row>
    <row r="53" spans="2:21">
      <c r="B53" s="387" t="str">
        <f>'Actividades del proyecto'!B27</f>
        <v xml:space="preserve">Material de enseñanza y escritorio  </v>
      </c>
      <c r="C53" s="507">
        <f>'Actividades del proyecto'!G27</f>
        <v>3000</v>
      </c>
      <c r="D53" s="508">
        <f>'Actividades del proyecto'!H27</f>
        <v>0</v>
      </c>
      <c r="E53" s="508">
        <f>'Actividades del proyecto'!I27</f>
        <v>0</v>
      </c>
      <c r="F53" s="467">
        <f t="shared" si="69"/>
        <v>3000</v>
      </c>
      <c r="G53" s="507">
        <f>'Actividades del proyecto'!J27</f>
        <v>0</v>
      </c>
      <c r="H53" s="508">
        <f>'Actividades del proyecto'!K27</f>
        <v>0</v>
      </c>
      <c r="I53" s="508">
        <f>'Actividades del proyecto'!L27</f>
        <v>0</v>
      </c>
      <c r="J53" s="467">
        <f t="shared" si="70"/>
        <v>0</v>
      </c>
      <c r="K53" s="507">
        <f>'Actividades del proyecto'!J27</f>
        <v>0</v>
      </c>
      <c r="L53" s="508">
        <f>'Actividades del proyecto'!K27</f>
        <v>0</v>
      </c>
      <c r="M53" s="508">
        <f>'Actividades del proyecto'!L27</f>
        <v>0</v>
      </c>
      <c r="N53" s="467">
        <f t="shared" si="71"/>
        <v>0</v>
      </c>
      <c r="O53" s="468">
        <f t="shared" si="72"/>
        <v>3000</v>
      </c>
      <c r="P53" s="469">
        <f t="shared" si="73"/>
        <v>0</v>
      </c>
      <c r="Q53" s="469">
        <f t="shared" si="74"/>
        <v>0</v>
      </c>
      <c r="R53" s="467">
        <f t="shared" si="75"/>
        <v>3000</v>
      </c>
      <c r="T53" s="382"/>
      <c r="U53" s="382"/>
    </row>
    <row r="54" spans="2:21" ht="25.5">
      <c r="B54" s="534" t="str">
        <f>'Actividades del proyecto'!B28</f>
        <v xml:space="preserve">1.4. Aplicación de tecnología agroecológica para la producción de cultivos tradicionales, alternativos y diversificados </v>
      </c>
      <c r="C54" s="507"/>
      <c r="D54" s="508"/>
      <c r="E54" s="508"/>
      <c r="F54" s="509"/>
      <c r="G54" s="507"/>
      <c r="H54" s="508"/>
      <c r="I54" s="508"/>
      <c r="J54" s="509"/>
      <c r="K54" s="507"/>
      <c r="L54" s="508"/>
      <c r="M54" s="508"/>
      <c r="N54" s="509"/>
      <c r="O54" s="507"/>
      <c r="P54" s="508"/>
      <c r="Q54" s="508"/>
      <c r="R54" s="509"/>
      <c r="T54" s="382">
        <f>SUM(R55:R70)</f>
        <v>709184</v>
      </c>
      <c r="U54" s="382"/>
    </row>
    <row r="55" spans="2:21">
      <c r="B55" s="387" t="str">
        <f>'Actividades del proyecto'!B29</f>
        <v>Semilla mejorada de papa  (0,5 qq/flia)</v>
      </c>
      <c r="C55" s="507">
        <f>'Actividades del proyecto'!G29</f>
        <v>44000</v>
      </c>
      <c r="D55" s="508">
        <f>'Actividades del proyecto'!H29</f>
        <v>0</v>
      </c>
      <c r="E55" s="508">
        <f>'Actividades del proyecto'!I29</f>
        <v>11000</v>
      </c>
      <c r="F55" s="467">
        <f t="shared" ref="F55" si="76">SUM(C55:E55)</f>
        <v>55000</v>
      </c>
      <c r="G55" s="507">
        <f>'Actividades del proyecto'!J29</f>
        <v>44000</v>
      </c>
      <c r="H55" s="508">
        <f>'Actividades del proyecto'!K29</f>
        <v>0</v>
      </c>
      <c r="I55" s="508">
        <f>'Actividades del proyecto'!L29</f>
        <v>11000</v>
      </c>
      <c r="J55" s="467">
        <f t="shared" ref="J55" si="77">SUM(G55:I55)</f>
        <v>55000</v>
      </c>
      <c r="K55" s="507">
        <f>'Actividades del proyecto'!M29</f>
        <v>44000</v>
      </c>
      <c r="L55" s="508">
        <f>'Actividades del proyecto'!N29</f>
        <v>0</v>
      </c>
      <c r="M55" s="508">
        <f>'Actividades del proyecto'!O29</f>
        <v>11000</v>
      </c>
      <c r="N55" s="467">
        <f t="shared" ref="N55" si="78">SUM(K55:M55)</f>
        <v>55000</v>
      </c>
      <c r="O55" s="468">
        <f t="shared" ref="O55" si="79">C55+G55+K55</f>
        <v>132000</v>
      </c>
      <c r="P55" s="469">
        <f t="shared" ref="P55" si="80">D55+H55+L55</f>
        <v>0</v>
      </c>
      <c r="Q55" s="469">
        <f t="shared" ref="Q55" si="81">E55+I55+M55</f>
        <v>33000</v>
      </c>
      <c r="R55" s="467">
        <f t="shared" ref="R55" si="82">SUM(O55:Q55)</f>
        <v>165000</v>
      </c>
      <c r="T55" s="382"/>
      <c r="U55" s="382"/>
    </row>
    <row r="56" spans="2:21">
      <c r="B56" s="387" t="str">
        <f>'Actividades del proyecto'!B30</f>
        <v>Semilla mejorada de oca  (0,125 qq)</v>
      </c>
      <c r="C56" s="507">
        <f>'Actividades del proyecto'!G30</f>
        <v>10000</v>
      </c>
      <c r="D56" s="508">
        <f>'Actividades del proyecto'!H30</f>
        <v>0</v>
      </c>
      <c r="E56" s="508">
        <f>'Actividades del proyecto'!I30</f>
        <v>0</v>
      </c>
      <c r="F56" s="467">
        <f t="shared" ref="F56:F70" si="83">SUM(C56:E56)</f>
        <v>10000</v>
      </c>
      <c r="G56" s="507">
        <f>'Actividades del proyecto'!J30</f>
        <v>10000</v>
      </c>
      <c r="H56" s="508">
        <f>'Actividades del proyecto'!K30</f>
        <v>0</v>
      </c>
      <c r="I56" s="508">
        <f>'Actividades del proyecto'!L30</f>
        <v>0</v>
      </c>
      <c r="J56" s="467">
        <f t="shared" ref="J56:J70" si="84">SUM(G56:I56)</f>
        <v>10000</v>
      </c>
      <c r="K56" s="507">
        <f>'Actividades del proyecto'!M30</f>
        <v>10000</v>
      </c>
      <c r="L56" s="508">
        <f>'Actividades del proyecto'!N30</f>
        <v>0</v>
      </c>
      <c r="M56" s="508">
        <f>'Actividades del proyecto'!O30</f>
        <v>0</v>
      </c>
      <c r="N56" s="467">
        <f t="shared" ref="N56:N70" si="85">SUM(K56:M56)</f>
        <v>10000</v>
      </c>
      <c r="O56" s="468">
        <f t="shared" ref="O56:O70" si="86">C56+G56+K56</f>
        <v>30000</v>
      </c>
      <c r="P56" s="469">
        <f t="shared" ref="P56:P70" si="87">D56+H56+L56</f>
        <v>0</v>
      </c>
      <c r="Q56" s="469">
        <f t="shared" ref="Q56:Q70" si="88">E56+I56+M56</f>
        <v>0</v>
      </c>
      <c r="R56" s="467">
        <f t="shared" ref="R56:R70" si="89">SUM(O56:Q56)</f>
        <v>30000</v>
      </c>
      <c r="T56" s="382"/>
      <c r="U56" s="382"/>
    </row>
    <row r="57" spans="2:21">
      <c r="B57" s="387" t="str">
        <f>'Actividades del proyecto'!B31</f>
        <v>Semilla mejorada de maíz (0,125 qq)</v>
      </c>
      <c r="C57" s="507">
        <f>'Actividades del proyecto'!G31</f>
        <v>13200</v>
      </c>
      <c r="D57" s="508">
        <f>'Actividades del proyecto'!H31</f>
        <v>0</v>
      </c>
      <c r="E57" s="508">
        <f>'Actividades del proyecto'!I31</f>
        <v>0</v>
      </c>
      <c r="F57" s="467">
        <f t="shared" si="83"/>
        <v>13200</v>
      </c>
      <c r="G57" s="507">
        <f>'Actividades del proyecto'!J31</f>
        <v>13200</v>
      </c>
      <c r="H57" s="508">
        <f>'Actividades del proyecto'!K31</f>
        <v>0</v>
      </c>
      <c r="I57" s="508">
        <f>'Actividades del proyecto'!L31</f>
        <v>0</v>
      </c>
      <c r="J57" s="467">
        <f t="shared" si="84"/>
        <v>13200</v>
      </c>
      <c r="K57" s="507">
        <f>'Actividades del proyecto'!M31</f>
        <v>13200</v>
      </c>
      <c r="L57" s="508">
        <f>'Actividades del proyecto'!N31</f>
        <v>0</v>
      </c>
      <c r="M57" s="508">
        <f>'Actividades del proyecto'!O31</f>
        <v>0</v>
      </c>
      <c r="N57" s="467">
        <f t="shared" si="85"/>
        <v>13200</v>
      </c>
      <c r="O57" s="468">
        <f t="shared" si="86"/>
        <v>39600</v>
      </c>
      <c r="P57" s="469">
        <f t="shared" si="87"/>
        <v>0</v>
      </c>
      <c r="Q57" s="469">
        <f t="shared" si="88"/>
        <v>0</v>
      </c>
      <c r="R57" s="467">
        <f t="shared" si="89"/>
        <v>39600</v>
      </c>
      <c r="T57" s="382"/>
      <c r="U57" s="382"/>
    </row>
    <row r="58" spans="2:21">
      <c r="B58" s="387" t="str">
        <f>'Actividades del proyecto'!B32</f>
        <v>Semilla mejorada de trigo (0,125 qq)</v>
      </c>
      <c r="C58" s="507">
        <f>'Actividades del proyecto'!G32</f>
        <v>8800</v>
      </c>
      <c r="D58" s="508">
        <f>'Actividades del proyecto'!H32</f>
        <v>0</v>
      </c>
      <c r="E58" s="508">
        <f>'Actividades del proyecto'!I32</f>
        <v>0</v>
      </c>
      <c r="F58" s="467">
        <f t="shared" si="83"/>
        <v>8800</v>
      </c>
      <c r="G58" s="507">
        <f>'Actividades del proyecto'!J32</f>
        <v>8800</v>
      </c>
      <c r="H58" s="508">
        <f>'Actividades del proyecto'!K32</f>
        <v>0</v>
      </c>
      <c r="I58" s="508">
        <f>'Actividades del proyecto'!L32</f>
        <v>0</v>
      </c>
      <c r="J58" s="467">
        <f t="shared" si="84"/>
        <v>8800</v>
      </c>
      <c r="K58" s="507">
        <f>'Actividades del proyecto'!M32</f>
        <v>8800</v>
      </c>
      <c r="L58" s="508">
        <f>'Actividades del proyecto'!N32</f>
        <v>0</v>
      </c>
      <c r="M58" s="508">
        <f>'Actividades del proyecto'!O32</f>
        <v>0</v>
      </c>
      <c r="N58" s="467">
        <f t="shared" si="85"/>
        <v>8800</v>
      </c>
      <c r="O58" s="468">
        <f t="shared" si="86"/>
        <v>26400</v>
      </c>
      <c r="P58" s="469">
        <f t="shared" si="87"/>
        <v>0</v>
      </c>
      <c r="Q58" s="469">
        <f t="shared" si="88"/>
        <v>0</v>
      </c>
      <c r="R58" s="467">
        <f t="shared" si="89"/>
        <v>26400</v>
      </c>
      <c r="T58" s="382"/>
      <c r="U58" s="382"/>
    </row>
    <row r="59" spans="2:21">
      <c r="B59" s="387" t="str">
        <f>'Actividades del proyecto'!B33</f>
        <v>Semilla mejorada de haba (0,125 qq)</v>
      </c>
      <c r="C59" s="507">
        <f>'Actividades del proyecto'!G33</f>
        <v>17500</v>
      </c>
      <c r="D59" s="508">
        <f>'Actividades del proyecto'!H33</f>
        <v>0</v>
      </c>
      <c r="E59" s="508">
        <f>'Actividades del proyecto'!I33</f>
        <v>0</v>
      </c>
      <c r="F59" s="467">
        <f t="shared" si="83"/>
        <v>17500</v>
      </c>
      <c r="G59" s="507">
        <f>'Actividades del proyecto'!J33</f>
        <v>17500</v>
      </c>
      <c r="H59" s="508">
        <f>'Actividades del proyecto'!K33</f>
        <v>0</v>
      </c>
      <c r="I59" s="508">
        <f>'Actividades del proyecto'!L33</f>
        <v>0</v>
      </c>
      <c r="J59" s="467">
        <f t="shared" si="84"/>
        <v>17500</v>
      </c>
      <c r="K59" s="507">
        <f>'Actividades del proyecto'!M33</f>
        <v>17500</v>
      </c>
      <c r="L59" s="508">
        <f>'Actividades del proyecto'!N33</f>
        <v>0</v>
      </c>
      <c r="M59" s="508">
        <f>'Actividades del proyecto'!O33</f>
        <v>0</v>
      </c>
      <c r="N59" s="467">
        <f t="shared" si="85"/>
        <v>17500</v>
      </c>
      <c r="O59" s="468">
        <f t="shared" si="86"/>
        <v>52500</v>
      </c>
      <c r="P59" s="469">
        <f t="shared" si="87"/>
        <v>0</v>
      </c>
      <c r="Q59" s="469">
        <f t="shared" si="88"/>
        <v>0</v>
      </c>
      <c r="R59" s="467">
        <f t="shared" si="89"/>
        <v>52500</v>
      </c>
      <c r="T59" s="382"/>
      <c r="U59" s="382"/>
    </row>
    <row r="60" spans="2:21">
      <c r="B60" s="387" t="str">
        <f>'Actividades del proyecto'!B34</f>
        <v xml:space="preserve">Flete de transporte </v>
      </c>
      <c r="C60" s="507">
        <f>'Actividades del proyecto'!G34</f>
        <v>2000</v>
      </c>
      <c r="D60" s="508">
        <f>'Actividades del proyecto'!H34</f>
        <v>0</v>
      </c>
      <c r="E60" s="508">
        <f>'Actividades del proyecto'!I34</f>
        <v>0</v>
      </c>
      <c r="F60" s="467">
        <f t="shared" si="83"/>
        <v>2000</v>
      </c>
      <c r="G60" s="507">
        <f>'Actividades del proyecto'!J34</f>
        <v>2000</v>
      </c>
      <c r="H60" s="508">
        <f>'Actividades del proyecto'!K34</f>
        <v>0</v>
      </c>
      <c r="I60" s="508">
        <f>'Actividades del proyecto'!L34</f>
        <v>0</v>
      </c>
      <c r="J60" s="467">
        <f t="shared" si="84"/>
        <v>2000</v>
      </c>
      <c r="K60" s="507">
        <f>'Actividades del proyecto'!M34</f>
        <v>2000</v>
      </c>
      <c r="L60" s="508">
        <f>'Actividades del proyecto'!N34</f>
        <v>0</v>
      </c>
      <c r="M60" s="508">
        <f>'Actividades del proyecto'!O34</f>
        <v>0</v>
      </c>
      <c r="N60" s="467">
        <f t="shared" si="85"/>
        <v>2000</v>
      </c>
      <c r="O60" s="468">
        <f t="shared" si="86"/>
        <v>6000</v>
      </c>
      <c r="P60" s="469">
        <f t="shared" si="87"/>
        <v>0</v>
      </c>
      <c r="Q60" s="469">
        <f t="shared" si="88"/>
        <v>0</v>
      </c>
      <c r="R60" s="467">
        <f t="shared" si="89"/>
        <v>6000</v>
      </c>
      <c r="T60" s="382"/>
      <c r="U60" s="382"/>
    </row>
    <row r="61" spans="2:21" ht="25.5">
      <c r="B61" s="387" t="str">
        <f>'Actividades del proyecto'!B35</f>
        <v>Productos fitosanitarios ecológicos para cultivos  (30 kg/lt x 250 bs x 3 años)</v>
      </c>
      <c r="C61" s="507">
        <f>'Actividades del proyecto'!G35</f>
        <v>5000</v>
      </c>
      <c r="D61" s="508">
        <f>'Actividades del proyecto'!H35</f>
        <v>0</v>
      </c>
      <c r="E61" s="508">
        <f>'Actividades del proyecto'!I35</f>
        <v>0</v>
      </c>
      <c r="F61" s="467">
        <f t="shared" si="83"/>
        <v>5000</v>
      </c>
      <c r="G61" s="507">
        <f>'Actividades del proyecto'!J35</f>
        <v>5000</v>
      </c>
      <c r="H61" s="508">
        <f>'Actividades del proyecto'!K35</f>
        <v>0</v>
      </c>
      <c r="I61" s="508">
        <f>'Actividades del proyecto'!L35</f>
        <v>0</v>
      </c>
      <c r="J61" s="467">
        <f t="shared" si="84"/>
        <v>5000</v>
      </c>
      <c r="K61" s="507">
        <f>'Actividades del proyecto'!M35</f>
        <v>5000</v>
      </c>
      <c r="L61" s="508">
        <f>'Actividades del proyecto'!N35</f>
        <v>0</v>
      </c>
      <c r="M61" s="508">
        <f>'Actividades del proyecto'!O35</f>
        <v>0</v>
      </c>
      <c r="N61" s="467">
        <f t="shared" si="85"/>
        <v>5000</v>
      </c>
      <c r="O61" s="468">
        <f t="shared" si="86"/>
        <v>15000</v>
      </c>
      <c r="P61" s="469">
        <f t="shared" si="87"/>
        <v>0</v>
      </c>
      <c r="Q61" s="469">
        <f t="shared" si="88"/>
        <v>0</v>
      </c>
      <c r="R61" s="467">
        <f t="shared" si="89"/>
        <v>15000</v>
      </c>
      <c r="T61" s="382"/>
      <c r="U61" s="382"/>
    </row>
    <row r="62" spans="2:21" ht="25.5">
      <c r="B62" s="387" t="str">
        <f>'Actividades del proyecto'!B36</f>
        <v>Herramientas de trabajo e Instrumental agrícola (mochilas, picos, palas y otros)</v>
      </c>
      <c r="C62" s="507">
        <f>'Actividades del proyecto'!G36</f>
        <v>33000</v>
      </c>
      <c r="D62" s="508">
        <f>'Actividades del proyecto'!H36</f>
        <v>0</v>
      </c>
      <c r="E62" s="508">
        <f>'Actividades del proyecto'!I36</f>
        <v>0</v>
      </c>
      <c r="F62" s="467">
        <f t="shared" si="83"/>
        <v>33000</v>
      </c>
      <c r="G62" s="507">
        <f>'Actividades del proyecto'!J36</f>
        <v>33000</v>
      </c>
      <c r="H62" s="508">
        <f>'Actividades del proyecto'!K36</f>
        <v>0</v>
      </c>
      <c r="I62" s="508">
        <f>'Actividades del proyecto'!L36</f>
        <v>0</v>
      </c>
      <c r="J62" s="467">
        <f t="shared" si="84"/>
        <v>33000</v>
      </c>
      <c r="K62" s="507">
        <f>'Actividades del proyecto'!M36</f>
        <v>0</v>
      </c>
      <c r="L62" s="508">
        <f>'Actividades del proyecto'!N36</f>
        <v>0</v>
      </c>
      <c r="M62" s="508">
        <f>'Actividades del proyecto'!O36</f>
        <v>0</v>
      </c>
      <c r="N62" s="467">
        <f t="shared" si="85"/>
        <v>0</v>
      </c>
      <c r="O62" s="468">
        <f t="shared" si="86"/>
        <v>66000</v>
      </c>
      <c r="P62" s="469">
        <f t="shared" si="87"/>
        <v>0</v>
      </c>
      <c r="Q62" s="469">
        <f t="shared" si="88"/>
        <v>0</v>
      </c>
      <c r="R62" s="467">
        <f t="shared" si="89"/>
        <v>66000</v>
      </c>
      <c r="T62" s="382"/>
      <c r="U62" s="382"/>
    </row>
    <row r="63" spans="2:21">
      <c r="B63" s="387" t="str">
        <f>'Actividades del proyecto'!B37</f>
        <v>Semilla de hortalizas (700 bs x 60 kg)</v>
      </c>
      <c r="C63" s="507">
        <f>'Actividades del proyecto'!G37</f>
        <v>12600</v>
      </c>
      <c r="D63" s="508">
        <f>'Actividades del proyecto'!H37</f>
        <v>0</v>
      </c>
      <c r="E63" s="508">
        <f>'Actividades del proyecto'!I37</f>
        <v>0</v>
      </c>
      <c r="F63" s="467">
        <f t="shared" si="83"/>
        <v>12600</v>
      </c>
      <c r="G63" s="507">
        <f>'Actividades del proyecto'!J37</f>
        <v>14000</v>
      </c>
      <c r="H63" s="508">
        <f>'Actividades del proyecto'!K37</f>
        <v>0</v>
      </c>
      <c r="I63" s="508">
        <f>'Actividades del proyecto'!L37</f>
        <v>0</v>
      </c>
      <c r="J63" s="467">
        <f t="shared" si="84"/>
        <v>14000</v>
      </c>
      <c r="K63" s="507">
        <f>'Actividades del proyecto'!M37</f>
        <v>14000</v>
      </c>
      <c r="L63" s="508">
        <f>'Actividades del proyecto'!N37</f>
        <v>0</v>
      </c>
      <c r="M63" s="508">
        <f>'Actividades del proyecto'!O37</f>
        <v>0</v>
      </c>
      <c r="N63" s="467">
        <f t="shared" si="85"/>
        <v>14000</v>
      </c>
      <c r="O63" s="468">
        <f t="shared" si="86"/>
        <v>40600</v>
      </c>
      <c r="P63" s="469">
        <f t="shared" si="87"/>
        <v>0</v>
      </c>
      <c r="Q63" s="469">
        <f t="shared" si="88"/>
        <v>0</v>
      </c>
      <c r="R63" s="467">
        <f t="shared" si="89"/>
        <v>40600</v>
      </c>
      <c r="T63" s="382"/>
      <c r="U63" s="382"/>
    </row>
    <row r="64" spans="2:21">
      <c r="B64" s="387" t="str">
        <f>'Actividades del proyecto'!B38</f>
        <v>Alambre de puas proteccion de huertos</v>
      </c>
      <c r="C64" s="507">
        <f>'Actividades del proyecto'!G38</f>
        <v>5000</v>
      </c>
      <c r="D64" s="508">
        <f>'Actividades del proyecto'!H38</f>
        <v>0</v>
      </c>
      <c r="E64" s="508">
        <f>'Actividades del proyecto'!I38</f>
        <v>0</v>
      </c>
      <c r="F64" s="467">
        <f t="shared" si="83"/>
        <v>5000</v>
      </c>
      <c r="G64" s="507">
        <f>'Actividades del proyecto'!J38</f>
        <v>7500</v>
      </c>
      <c r="H64" s="508">
        <f>'Actividades del proyecto'!K38</f>
        <v>0</v>
      </c>
      <c r="I64" s="508">
        <f>'Actividades del proyecto'!L38</f>
        <v>0</v>
      </c>
      <c r="J64" s="467">
        <f t="shared" si="84"/>
        <v>7500</v>
      </c>
      <c r="K64" s="507">
        <f>'Actividades del proyecto'!M38</f>
        <v>7500</v>
      </c>
      <c r="L64" s="508">
        <f>'Actividades del proyecto'!N38</f>
        <v>0</v>
      </c>
      <c r="M64" s="508">
        <f>'Actividades del proyecto'!O38</f>
        <v>0</v>
      </c>
      <c r="N64" s="467">
        <f t="shared" si="85"/>
        <v>7500</v>
      </c>
      <c r="O64" s="468">
        <f t="shared" si="86"/>
        <v>20000</v>
      </c>
      <c r="P64" s="469">
        <f t="shared" si="87"/>
        <v>0</v>
      </c>
      <c r="Q64" s="469">
        <f t="shared" si="88"/>
        <v>0</v>
      </c>
      <c r="R64" s="467">
        <f t="shared" si="89"/>
        <v>20000</v>
      </c>
      <c r="T64" s="382"/>
      <c r="U64" s="382"/>
    </row>
    <row r="65" spans="2:21">
      <c r="B65" s="387" t="str">
        <f>'Actividades del proyecto'!B39</f>
        <v>Bolillos (22 comunidades x 40 bolillos)</v>
      </c>
      <c r="C65" s="507">
        <f>'Actividades del proyecto'!G39</f>
        <v>0</v>
      </c>
      <c r="D65" s="508">
        <f>'Actividades del proyecto'!H39</f>
        <v>0</v>
      </c>
      <c r="E65" s="508">
        <f>'Actividades del proyecto'!I39</f>
        <v>4800</v>
      </c>
      <c r="F65" s="467">
        <f t="shared" si="83"/>
        <v>4800</v>
      </c>
      <c r="G65" s="507">
        <f>'Actividades del proyecto'!J39</f>
        <v>0</v>
      </c>
      <c r="H65" s="508">
        <f>'Actividades del proyecto'!K39</f>
        <v>0</v>
      </c>
      <c r="I65" s="508">
        <f>'Actividades del proyecto'!L39</f>
        <v>6000</v>
      </c>
      <c r="J65" s="467">
        <f t="shared" si="84"/>
        <v>6000</v>
      </c>
      <c r="K65" s="507">
        <f>'Actividades del proyecto'!M39</f>
        <v>0</v>
      </c>
      <c r="L65" s="508">
        <f>'Actividades del proyecto'!N39</f>
        <v>0</v>
      </c>
      <c r="M65" s="508">
        <f>'Actividades del proyecto'!O39</f>
        <v>6000</v>
      </c>
      <c r="N65" s="467">
        <f t="shared" si="85"/>
        <v>6000</v>
      </c>
      <c r="O65" s="468">
        <f t="shared" si="86"/>
        <v>0</v>
      </c>
      <c r="P65" s="469">
        <f t="shared" si="87"/>
        <v>0</v>
      </c>
      <c r="Q65" s="469">
        <f t="shared" si="88"/>
        <v>16800</v>
      </c>
      <c r="R65" s="467">
        <f t="shared" si="89"/>
        <v>16800</v>
      </c>
      <c r="T65" s="382"/>
      <c r="U65" s="382"/>
    </row>
    <row r="66" spans="2:21">
      <c r="B66" s="387" t="str">
        <f>'Actividades del proyecto'!B40</f>
        <v>Estiércol de ovino  huertos (22 camionadas x 1600 bs x 3 años)</v>
      </c>
      <c r="C66" s="507">
        <f>'Actividades del proyecto'!G40</f>
        <v>0</v>
      </c>
      <c r="D66" s="508">
        <f>'Actividades del proyecto'!H40</f>
        <v>0</v>
      </c>
      <c r="E66" s="508">
        <f>'Actividades del proyecto'!I40</f>
        <v>32000</v>
      </c>
      <c r="F66" s="467">
        <f t="shared" si="83"/>
        <v>32000</v>
      </c>
      <c r="G66" s="507">
        <f>'Actividades del proyecto'!J40</f>
        <v>0</v>
      </c>
      <c r="H66" s="508">
        <f>'Actividades del proyecto'!K40</f>
        <v>0</v>
      </c>
      <c r="I66" s="508">
        <f>'Actividades del proyecto'!L40</f>
        <v>36800</v>
      </c>
      <c r="J66" s="467">
        <f t="shared" si="84"/>
        <v>36800</v>
      </c>
      <c r="K66" s="507">
        <f>'Actividades del proyecto'!M40</f>
        <v>0</v>
      </c>
      <c r="L66" s="508">
        <f>'Actividades del proyecto'!N40</f>
        <v>0</v>
      </c>
      <c r="M66" s="508">
        <f>'Actividades del proyecto'!O40</f>
        <v>36800</v>
      </c>
      <c r="N66" s="467">
        <f t="shared" si="85"/>
        <v>36800</v>
      </c>
      <c r="O66" s="468">
        <f t="shared" si="86"/>
        <v>0</v>
      </c>
      <c r="P66" s="469">
        <f t="shared" si="87"/>
        <v>0</v>
      </c>
      <c r="Q66" s="469">
        <f t="shared" si="88"/>
        <v>105600</v>
      </c>
      <c r="R66" s="467">
        <f t="shared" si="89"/>
        <v>105600</v>
      </c>
      <c r="T66" s="382"/>
      <c r="U66" s="382"/>
    </row>
    <row r="67" spans="2:21" ht="25.5">
      <c r="B67" s="387" t="str">
        <f>'Actividades del proyecto'!B41</f>
        <v>Productos fitosanitarios ecológicos para huertos (14 kg/lt x 250 bs x 3 años)</v>
      </c>
      <c r="C67" s="507">
        <f>'Actividades del proyecto'!G41</f>
        <v>1000</v>
      </c>
      <c r="D67" s="508">
        <f>'Actividades del proyecto'!H41</f>
        <v>0</v>
      </c>
      <c r="E67" s="508">
        <f>'Actividades del proyecto'!I41</f>
        <v>0</v>
      </c>
      <c r="F67" s="467">
        <f t="shared" si="83"/>
        <v>1000</v>
      </c>
      <c r="G67" s="507">
        <f>'Actividades del proyecto'!J41</f>
        <v>1250</v>
      </c>
      <c r="H67" s="508">
        <f>'Actividades del proyecto'!K41</f>
        <v>0</v>
      </c>
      <c r="I67" s="508">
        <f>'Actividades del proyecto'!L41</f>
        <v>0</v>
      </c>
      <c r="J67" s="467">
        <f t="shared" si="84"/>
        <v>1250</v>
      </c>
      <c r="K67" s="507">
        <f>'Actividades del proyecto'!M41</f>
        <v>1250</v>
      </c>
      <c r="L67" s="508">
        <f>'Actividades del proyecto'!N41</f>
        <v>0</v>
      </c>
      <c r="M67" s="508">
        <f>'Actividades del proyecto'!O41</f>
        <v>0</v>
      </c>
      <c r="N67" s="467">
        <f t="shared" si="85"/>
        <v>1250</v>
      </c>
      <c r="O67" s="468">
        <f t="shared" si="86"/>
        <v>3500</v>
      </c>
      <c r="P67" s="469">
        <f t="shared" si="87"/>
        <v>0</v>
      </c>
      <c r="Q67" s="469">
        <f t="shared" si="88"/>
        <v>0</v>
      </c>
      <c r="R67" s="467">
        <f t="shared" si="89"/>
        <v>3500</v>
      </c>
      <c r="T67" s="382"/>
      <c r="U67" s="382"/>
    </row>
    <row r="68" spans="2:21" ht="25.5">
      <c r="B68" s="387" t="str">
        <f>'Actividades del proyecto'!B42</f>
        <v>Herramientas de trabajo e Instrumental para huertos(regaderas, mangueras, mochilas, podadoras y otros)</v>
      </c>
      <c r="C68" s="507">
        <f>'Actividades del proyecto'!G42</f>
        <v>15400</v>
      </c>
      <c r="D68" s="508">
        <f>'Actividades del proyecto'!H42</f>
        <v>0</v>
      </c>
      <c r="E68" s="508">
        <f>'Actividades del proyecto'!I42</f>
        <v>0</v>
      </c>
      <c r="F68" s="467">
        <f t="shared" si="83"/>
        <v>15400</v>
      </c>
      <c r="G68" s="507">
        <f>'Actividades del proyecto'!J42</f>
        <v>11000</v>
      </c>
      <c r="H68" s="508">
        <f>'Actividades del proyecto'!K42</f>
        <v>0</v>
      </c>
      <c r="I68" s="508">
        <f>'Actividades del proyecto'!L42</f>
        <v>0</v>
      </c>
      <c r="J68" s="467">
        <f t="shared" si="84"/>
        <v>11000</v>
      </c>
      <c r="K68" s="507">
        <f>'Actividades del proyecto'!M42</f>
        <v>0</v>
      </c>
      <c r="L68" s="508">
        <f>'Actividades del proyecto'!N42</f>
        <v>0</v>
      </c>
      <c r="M68" s="508">
        <f>'Actividades del proyecto'!O42</f>
        <v>0</v>
      </c>
      <c r="N68" s="467">
        <f t="shared" si="85"/>
        <v>0</v>
      </c>
      <c r="O68" s="468">
        <f t="shared" si="86"/>
        <v>26400</v>
      </c>
      <c r="P68" s="469">
        <f t="shared" si="87"/>
        <v>0</v>
      </c>
      <c r="Q68" s="469">
        <f t="shared" si="88"/>
        <v>0</v>
      </c>
      <c r="R68" s="467">
        <f t="shared" si="89"/>
        <v>26400</v>
      </c>
      <c r="T68" s="382"/>
      <c r="U68" s="382"/>
    </row>
    <row r="69" spans="2:21">
      <c r="B69" s="387" t="str">
        <f>'Actividades del proyecto'!B43</f>
        <v>Ropa de trabajo</v>
      </c>
      <c r="C69" s="507">
        <f>'Actividades del proyecto'!G43</f>
        <v>5000</v>
      </c>
      <c r="D69" s="508">
        <f>'Actividades del proyecto'!H43</f>
        <v>0</v>
      </c>
      <c r="E69" s="508">
        <f>'Actividades del proyecto'!I43</f>
        <v>0</v>
      </c>
      <c r="F69" s="467">
        <f t="shared" si="83"/>
        <v>5000</v>
      </c>
      <c r="G69" s="507">
        <f>'Actividades del proyecto'!J43</f>
        <v>5000</v>
      </c>
      <c r="H69" s="508">
        <f>'Actividades del proyecto'!K43</f>
        <v>0</v>
      </c>
      <c r="I69" s="508">
        <f>'Actividades del proyecto'!L43</f>
        <v>0</v>
      </c>
      <c r="J69" s="467">
        <f t="shared" si="84"/>
        <v>5000</v>
      </c>
      <c r="K69" s="507">
        <f>'Actividades del proyecto'!M43</f>
        <v>5000</v>
      </c>
      <c r="L69" s="508">
        <f>'Actividades del proyecto'!N43</f>
        <v>0</v>
      </c>
      <c r="M69" s="508">
        <f>'Actividades del proyecto'!O43</f>
        <v>0</v>
      </c>
      <c r="N69" s="467">
        <f t="shared" si="85"/>
        <v>5000</v>
      </c>
      <c r="O69" s="468">
        <f t="shared" si="86"/>
        <v>15000</v>
      </c>
      <c r="P69" s="469">
        <f t="shared" si="87"/>
        <v>0</v>
      </c>
      <c r="Q69" s="469">
        <f t="shared" si="88"/>
        <v>0</v>
      </c>
      <c r="R69" s="467">
        <f t="shared" si="89"/>
        <v>15000</v>
      </c>
      <c r="T69" s="382"/>
      <c r="U69" s="382"/>
    </row>
    <row r="70" spans="2:21">
      <c r="B70" s="387" t="str">
        <f>'Actividades del proyecto'!B44</f>
        <v>Combustible (240 días x 5 litros x 3,74 x 6 motorizados)</v>
      </c>
      <c r="C70" s="507">
        <f>'Actividades del proyecto'!G44</f>
        <v>26928</v>
      </c>
      <c r="D70" s="508">
        <f>'Actividades del proyecto'!H44</f>
        <v>0</v>
      </c>
      <c r="E70" s="508">
        <f>'Actividades del proyecto'!I44</f>
        <v>0</v>
      </c>
      <c r="F70" s="467">
        <f t="shared" si="83"/>
        <v>26928</v>
      </c>
      <c r="G70" s="507">
        <f>'Actividades del proyecto'!J44</f>
        <v>26928</v>
      </c>
      <c r="H70" s="508">
        <f>'Actividades del proyecto'!K44</f>
        <v>0</v>
      </c>
      <c r="I70" s="508">
        <f>'Actividades del proyecto'!L44</f>
        <v>0</v>
      </c>
      <c r="J70" s="467">
        <f t="shared" si="84"/>
        <v>26928</v>
      </c>
      <c r="K70" s="507">
        <f>'Actividades del proyecto'!M44</f>
        <v>26928</v>
      </c>
      <c r="L70" s="508">
        <f>'Actividades del proyecto'!N44</f>
        <v>0</v>
      </c>
      <c r="M70" s="508">
        <f>'Actividades del proyecto'!O44</f>
        <v>0</v>
      </c>
      <c r="N70" s="467">
        <f t="shared" si="85"/>
        <v>26928</v>
      </c>
      <c r="O70" s="468">
        <f t="shared" si="86"/>
        <v>80784</v>
      </c>
      <c r="P70" s="469">
        <f t="shared" si="87"/>
        <v>0</v>
      </c>
      <c r="Q70" s="469">
        <f t="shared" si="88"/>
        <v>0</v>
      </c>
      <c r="R70" s="467">
        <f t="shared" si="89"/>
        <v>80784</v>
      </c>
      <c r="T70" s="382"/>
      <c r="U70" s="382"/>
    </row>
    <row r="71" spans="2:21">
      <c r="B71" s="534" t="str">
        <f>'Actividades del proyecto'!B45</f>
        <v xml:space="preserve">1.5. Talleres de capacitación en producción pecuaria </v>
      </c>
      <c r="C71" s="507"/>
      <c r="D71" s="508"/>
      <c r="E71" s="508"/>
      <c r="F71" s="509"/>
      <c r="G71" s="507"/>
      <c r="H71" s="508"/>
      <c r="I71" s="508"/>
      <c r="J71" s="509"/>
      <c r="K71" s="507"/>
      <c r="L71" s="508"/>
      <c r="M71" s="508"/>
      <c r="N71" s="509"/>
      <c r="O71" s="507"/>
      <c r="P71" s="508"/>
      <c r="Q71" s="508"/>
      <c r="R71" s="509"/>
      <c r="T71" s="382">
        <f>SUM(R72:R76)</f>
        <v>18550</v>
      </c>
      <c r="U71" s="382"/>
    </row>
    <row r="72" spans="2:21">
      <c r="B72" s="387" t="str">
        <f>'Actividades del proyecto'!B46</f>
        <v>Actualización del material educativo (honorarios)</v>
      </c>
      <c r="C72" s="507">
        <f>'Actividades del proyecto'!G46</f>
        <v>0</v>
      </c>
      <c r="D72" s="508">
        <f>'Actividades del proyecto'!H46</f>
        <v>1500</v>
      </c>
      <c r="E72" s="508">
        <f>'Actividades del proyecto'!I46</f>
        <v>0</v>
      </c>
      <c r="F72" s="467">
        <f t="shared" ref="F72" si="90">SUM(C72:E72)</f>
        <v>1500</v>
      </c>
      <c r="G72" s="507">
        <f>'Actividades del proyecto'!J46</f>
        <v>0</v>
      </c>
      <c r="H72" s="508">
        <f>'Actividades del proyecto'!K46</f>
        <v>0</v>
      </c>
      <c r="I72" s="508">
        <f>'Actividades del proyecto'!L46</f>
        <v>0</v>
      </c>
      <c r="J72" s="467">
        <f t="shared" ref="J72" si="91">SUM(G72:I72)</f>
        <v>0</v>
      </c>
      <c r="K72" s="507">
        <f>'Actividades del proyecto'!M46</f>
        <v>0</v>
      </c>
      <c r="L72" s="508">
        <f>'Actividades del proyecto'!N46</f>
        <v>0</v>
      </c>
      <c r="M72" s="508">
        <f>'Actividades del proyecto'!O46</f>
        <v>0</v>
      </c>
      <c r="N72" s="467">
        <f t="shared" ref="N72" si="92">SUM(K72:M72)</f>
        <v>0</v>
      </c>
      <c r="O72" s="468">
        <f t="shared" ref="O72" si="93">C72+G72+K72</f>
        <v>0</v>
      </c>
      <c r="P72" s="469">
        <f t="shared" ref="P72" si="94">D72+H72+L72</f>
        <v>1500</v>
      </c>
      <c r="Q72" s="469">
        <f t="shared" ref="Q72" si="95">E72+I72+M72</f>
        <v>0</v>
      </c>
      <c r="R72" s="467">
        <f t="shared" ref="R72" si="96">SUM(O72:Q72)</f>
        <v>1500</v>
      </c>
      <c r="T72" s="382"/>
      <c r="U72" s="382"/>
    </row>
    <row r="73" spans="2:21">
      <c r="B73" s="387" t="str">
        <f>'Actividades del proyecto'!B47</f>
        <v xml:space="preserve">Impresión material educativo </v>
      </c>
      <c r="C73" s="507">
        <f>'Actividades del proyecto'!G47</f>
        <v>6250</v>
      </c>
      <c r="D73" s="508">
        <f>'Actividades del proyecto'!H47</f>
        <v>0</v>
      </c>
      <c r="E73" s="508">
        <f>'Actividades del proyecto'!I47</f>
        <v>0</v>
      </c>
      <c r="F73" s="467">
        <f t="shared" ref="F73:F76" si="97">SUM(C73:E73)</f>
        <v>6250</v>
      </c>
      <c r="G73" s="507">
        <f>'Actividades del proyecto'!J47</f>
        <v>0</v>
      </c>
      <c r="H73" s="508">
        <f>'Actividades del proyecto'!K47</f>
        <v>0</v>
      </c>
      <c r="I73" s="508">
        <f>'Actividades del proyecto'!L47</f>
        <v>0</v>
      </c>
      <c r="J73" s="467">
        <f t="shared" ref="J73:J76" si="98">SUM(G73:I73)</f>
        <v>0</v>
      </c>
      <c r="K73" s="507">
        <f>'Actividades del proyecto'!M47</f>
        <v>0</v>
      </c>
      <c r="L73" s="508">
        <f>'Actividades del proyecto'!N47</f>
        <v>0</v>
      </c>
      <c r="M73" s="508">
        <f>'Actividades del proyecto'!O47</f>
        <v>0</v>
      </c>
      <c r="N73" s="467">
        <f t="shared" ref="N73:N76" si="99">SUM(K73:M73)</f>
        <v>0</v>
      </c>
      <c r="O73" s="468">
        <f t="shared" ref="O73:O76" si="100">C73+G73+K73</f>
        <v>6250</v>
      </c>
      <c r="P73" s="469">
        <f t="shared" ref="P73:P76" si="101">D73+H73+L73</f>
        <v>0</v>
      </c>
      <c r="Q73" s="469">
        <f t="shared" ref="Q73:Q76" si="102">E73+I73+M73</f>
        <v>0</v>
      </c>
      <c r="R73" s="467">
        <f t="shared" ref="R73:R76" si="103">SUM(O73:Q73)</f>
        <v>6250</v>
      </c>
      <c r="T73" s="382"/>
      <c r="U73" s="382"/>
    </row>
    <row r="74" spans="2:21">
      <c r="B74" s="387" t="str">
        <f>'Actividades del proyecto'!B48</f>
        <v>Alimentaciíon capacitación pecuaria  (1 taller x 22 com x 20 part x 20 Bs)</v>
      </c>
      <c r="C74" s="507">
        <f>'Actividades del proyecto'!G48</f>
        <v>8800</v>
      </c>
      <c r="D74" s="508">
        <f>'Actividades del proyecto'!H48</f>
        <v>0</v>
      </c>
      <c r="E74" s="508">
        <f>'Actividades del proyecto'!I48</f>
        <v>0</v>
      </c>
      <c r="F74" s="467">
        <f t="shared" si="97"/>
        <v>8800</v>
      </c>
      <c r="G74" s="507">
        <f>'Actividades del proyecto'!J48</f>
        <v>0</v>
      </c>
      <c r="H74" s="508">
        <f>'Actividades del proyecto'!K48</f>
        <v>0</v>
      </c>
      <c r="I74" s="508">
        <f>'Actividades del proyecto'!L48</f>
        <v>0</v>
      </c>
      <c r="J74" s="467">
        <f t="shared" si="98"/>
        <v>0</v>
      </c>
      <c r="K74" s="507">
        <f>'Actividades del proyecto'!M48</f>
        <v>0</v>
      </c>
      <c r="L74" s="508">
        <f>'Actividades del proyecto'!N48</f>
        <v>0</v>
      </c>
      <c r="M74" s="508">
        <f>'Actividades del proyecto'!O48</f>
        <v>0</v>
      </c>
      <c r="N74" s="467">
        <f t="shared" si="99"/>
        <v>0</v>
      </c>
      <c r="O74" s="468">
        <f t="shared" si="100"/>
        <v>8800</v>
      </c>
      <c r="P74" s="469">
        <f t="shared" si="101"/>
        <v>0</v>
      </c>
      <c r="Q74" s="469">
        <f t="shared" si="102"/>
        <v>0</v>
      </c>
      <c r="R74" s="467">
        <f t="shared" si="103"/>
        <v>8800</v>
      </c>
      <c r="T74" s="382"/>
      <c r="U74" s="382"/>
    </row>
    <row r="75" spans="2:21">
      <c r="B75" s="387" t="str">
        <f>'Actividades del proyecto'!B49</f>
        <v>Videos, fotografias y otro material educativo</v>
      </c>
      <c r="C75" s="507">
        <f>'Actividades del proyecto'!G49</f>
        <v>1000</v>
      </c>
      <c r="D75" s="508">
        <f>'Actividades del proyecto'!H49</f>
        <v>0</v>
      </c>
      <c r="E75" s="508">
        <f>'Actividades del proyecto'!I49</f>
        <v>0</v>
      </c>
      <c r="F75" s="467">
        <f t="shared" si="97"/>
        <v>1000</v>
      </c>
      <c r="G75" s="507">
        <f>'Actividades del proyecto'!J49</f>
        <v>0</v>
      </c>
      <c r="H75" s="508">
        <f>'Actividades del proyecto'!K49</f>
        <v>0</v>
      </c>
      <c r="I75" s="508">
        <f>'Actividades del proyecto'!L49</f>
        <v>0</v>
      </c>
      <c r="J75" s="467">
        <f t="shared" si="98"/>
        <v>0</v>
      </c>
      <c r="K75" s="507">
        <f>'Actividades del proyecto'!M49</f>
        <v>0</v>
      </c>
      <c r="L75" s="508">
        <f>'Actividades del proyecto'!N49</f>
        <v>0</v>
      </c>
      <c r="M75" s="508">
        <f>'Actividades del proyecto'!O49</f>
        <v>0</v>
      </c>
      <c r="N75" s="467">
        <f t="shared" si="99"/>
        <v>0</v>
      </c>
      <c r="O75" s="468">
        <f t="shared" si="100"/>
        <v>1000</v>
      </c>
      <c r="P75" s="469">
        <f t="shared" si="101"/>
        <v>0</v>
      </c>
      <c r="Q75" s="469">
        <f t="shared" si="102"/>
        <v>0</v>
      </c>
      <c r="R75" s="467">
        <f t="shared" si="103"/>
        <v>1000</v>
      </c>
      <c r="T75" s="382"/>
      <c r="U75" s="382"/>
    </row>
    <row r="76" spans="2:21">
      <c r="B76" s="387" t="str">
        <f>'Actividades del proyecto'!B50</f>
        <v xml:space="preserve">Material de enseñanza y escritorio  </v>
      </c>
      <c r="C76" s="507">
        <f>'Actividades del proyecto'!G50</f>
        <v>1000</v>
      </c>
      <c r="D76" s="508">
        <f>'Actividades del proyecto'!H50</f>
        <v>0</v>
      </c>
      <c r="E76" s="508">
        <f>'Actividades del proyecto'!I50</f>
        <v>0</v>
      </c>
      <c r="F76" s="467">
        <f t="shared" si="97"/>
        <v>1000</v>
      </c>
      <c r="G76" s="507">
        <f>'Actividades del proyecto'!J50</f>
        <v>0</v>
      </c>
      <c r="H76" s="508">
        <f>'Actividades del proyecto'!K50</f>
        <v>0</v>
      </c>
      <c r="I76" s="508">
        <f>'Actividades del proyecto'!L50</f>
        <v>0</v>
      </c>
      <c r="J76" s="467">
        <f t="shared" si="98"/>
        <v>0</v>
      </c>
      <c r="K76" s="507">
        <f>'Actividades del proyecto'!M50</f>
        <v>0</v>
      </c>
      <c r="L76" s="508">
        <f>'Actividades del proyecto'!N50</f>
        <v>0</v>
      </c>
      <c r="M76" s="508">
        <f>'Actividades del proyecto'!O50</f>
        <v>0</v>
      </c>
      <c r="N76" s="467">
        <f t="shared" si="99"/>
        <v>0</v>
      </c>
      <c r="O76" s="468">
        <f t="shared" si="100"/>
        <v>1000</v>
      </c>
      <c r="P76" s="469">
        <f t="shared" si="101"/>
        <v>0</v>
      </c>
      <c r="Q76" s="469">
        <f t="shared" si="102"/>
        <v>0</v>
      </c>
      <c r="R76" s="467">
        <f t="shared" si="103"/>
        <v>1000</v>
      </c>
      <c r="T76" s="382"/>
      <c r="U76" s="382"/>
    </row>
    <row r="77" spans="2:21">
      <c r="B77" s="535" t="str">
        <f>'Actividades del proyecto'!B51</f>
        <v>1.6. Manejo del rebaño criollo</v>
      </c>
      <c r="C77" s="507"/>
      <c r="D77" s="508"/>
      <c r="E77" s="508"/>
      <c r="F77" s="509"/>
      <c r="G77" s="507"/>
      <c r="H77" s="508"/>
      <c r="I77" s="508"/>
      <c r="J77" s="509"/>
      <c r="K77" s="507"/>
      <c r="L77" s="508"/>
      <c r="M77" s="508"/>
      <c r="N77" s="509"/>
      <c r="O77" s="507"/>
      <c r="P77" s="508"/>
      <c r="Q77" s="508"/>
      <c r="R77" s="509"/>
      <c r="T77" s="382">
        <f>SUM(R78:R85)</f>
        <v>236500</v>
      </c>
      <c r="U77" s="382"/>
    </row>
    <row r="78" spans="2:21">
      <c r="B78" s="384" t="str">
        <f>'Actividades del proyecto'!B52</f>
        <v>Compra de reproductores criollos ovinos</v>
      </c>
      <c r="C78" s="507">
        <f>'Actividades del proyecto'!G52</f>
        <v>67200</v>
      </c>
      <c r="D78" s="508">
        <f>'Actividades del proyecto'!H52</f>
        <v>0</v>
      </c>
      <c r="E78" s="508">
        <f>'Actividades del proyecto'!I52</f>
        <v>0</v>
      </c>
      <c r="F78" s="467">
        <f t="shared" ref="F78" si="104">SUM(C78:E78)</f>
        <v>67200</v>
      </c>
      <c r="G78" s="507">
        <f>'Actividades del proyecto'!J52</f>
        <v>35200</v>
      </c>
      <c r="H78" s="508">
        <f>'Actividades del proyecto'!K52</f>
        <v>0</v>
      </c>
      <c r="I78" s="508">
        <f>'Actividades del proyecto'!L52</f>
        <v>0</v>
      </c>
      <c r="J78" s="467">
        <f t="shared" ref="J78" si="105">SUM(G78:I78)</f>
        <v>35200</v>
      </c>
      <c r="K78" s="507">
        <f>'Actividades del proyecto'!M52</f>
        <v>17600</v>
      </c>
      <c r="L78" s="508">
        <f>'Actividades del proyecto'!N52</f>
        <v>0</v>
      </c>
      <c r="M78" s="508">
        <f>'Actividades del proyecto'!O52</f>
        <v>0</v>
      </c>
      <c r="N78" s="467">
        <f t="shared" ref="N78" si="106">SUM(K78:M78)</f>
        <v>17600</v>
      </c>
      <c r="O78" s="468">
        <f t="shared" ref="O78" si="107">C78+G78+K78</f>
        <v>120000</v>
      </c>
      <c r="P78" s="469">
        <f t="shared" ref="P78" si="108">D78+H78+L78</f>
        <v>0</v>
      </c>
      <c r="Q78" s="469">
        <f t="shared" ref="Q78" si="109">E78+I78+M78</f>
        <v>0</v>
      </c>
      <c r="R78" s="467">
        <f t="shared" ref="R78" si="110">SUM(O78:Q78)</f>
        <v>120000</v>
      </c>
      <c r="T78" s="382"/>
      <c r="U78" s="382"/>
    </row>
    <row r="79" spans="2:21">
      <c r="B79" s="384" t="str">
        <f>'Actividades del proyecto'!B53</f>
        <v>Compra de animales menores (aves de corral)</v>
      </c>
      <c r="C79" s="507">
        <f>'Actividades del proyecto'!G53</f>
        <v>10000</v>
      </c>
      <c r="D79" s="508">
        <f>'Actividades del proyecto'!H53</f>
        <v>0</v>
      </c>
      <c r="E79" s="508">
        <f>'Actividades del proyecto'!I53</f>
        <v>0</v>
      </c>
      <c r="F79" s="467">
        <f t="shared" ref="F79:F85" si="111">SUM(C79:E79)</f>
        <v>10000</v>
      </c>
      <c r="G79" s="507">
        <f>'Actividades del proyecto'!J53</f>
        <v>10000</v>
      </c>
      <c r="H79" s="508">
        <f>'Actividades del proyecto'!K53</f>
        <v>0</v>
      </c>
      <c r="I79" s="508">
        <f>'Actividades del proyecto'!L53</f>
        <v>0</v>
      </c>
      <c r="J79" s="467">
        <f t="shared" ref="J79:J85" si="112">SUM(G79:I79)</f>
        <v>10000</v>
      </c>
      <c r="K79" s="507">
        <f>'Actividades del proyecto'!M53</f>
        <v>10000</v>
      </c>
      <c r="L79" s="508">
        <f>'Actividades del proyecto'!N53</f>
        <v>0</v>
      </c>
      <c r="M79" s="508">
        <f>'Actividades del proyecto'!O53</f>
        <v>0</v>
      </c>
      <c r="N79" s="467">
        <f t="shared" ref="N79:N85" si="113">SUM(K79:M79)</f>
        <v>10000</v>
      </c>
      <c r="O79" s="468">
        <f t="shared" ref="O79:O85" si="114">C79+G79+K79</f>
        <v>30000</v>
      </c>
      <c r="P79" s="469">
        <f t="shared" ref="P79:P85" si="115">D79+H79+L79</f>
        <v>0</v>
      </c>
      <c r="Q79" s="469">
        <f t="shared" ref="Q79:Q85" si="116">E79+I79+M79</f>
        <v>0</v>
      </c>
      <c r="R79" s="467">
        <f t="shared" ref="R79:R85" si="117">SUM(O79:Q79)</f>
        <v>30000</v>
      </c>
      <c r="T79" s="382"/>
      <c r="U79" s="382"/>
    </row>
    <row r="80" spans="2:21">
      <c r="B80" s="384" t="str">
        <f>'Actividades del proyecto'!B54</f>
        <v>Malla de alambre gallineros (0,90 m x 40 m)</v>
      </c>
      <c r="C80" s="507">
        <f>'Actividades del proyecto'!G54</f>
        <v>1500</v>
      </c>
      <c r="D80" s="508">
        <f>'Actividades del proyecto'!H54</f>
        <v>0</v>
      </c>
      <c r="E80" s="508">
        <f>'Actividades del proyecto'!I54</f>
        <v>0</v>
      </c>
      <c r="F80" s="467">
        <f t="shared" si="111"/>
        <v>1500</v>
      </c>
      <c r="G80" s="507">
        <f>'Actividades del proyecto'!J54</f>
        <v>1500</v>
      </c>
      <c r="H80" s="508">
        <f>'Actividades del proyecto'!K54</f>
        <v>0</v>
      </c>
      <c r="I80" s="508">
        <f>'Actividades del proyecto'!L54</f>
        <v>0</v>
      </c>
      <c r="J80" s="467">
        <f t="shared" si="112"/>
        <v>1500</v>
      </c>
      <c r="K80" s="507">
        <f>'Actividades del proyecto'!M54</f>
        <v>1500</v>
      </c>
      <c r="L80" s="508">
        <f>'Actividades del proyecto'!N54</f>
        <v>0</v>
      </c>
      <c r="M80" s="508">
        <f>'Actividades del proyecto'!O54</f>
        <v>0</v>
      </c>
      <c r="N80" s="467">
        <f t="shared" si="113"/>
        <v>1500</v>
      </c>
      <c r="O80" s="468">
        <f t="shared" si="114"/>
        <v>4500</v>
      </c>
      <c r="P80" s="469">
        <f t="shared" si="115"/>
        <v>0</v>
      </c>
      <c r="Q80" s="469">
        <f t="shared" si="116"/>
        <v>0</v>
      </c>
      <c r="R80" s="467">
        <f t="shared" si="117"/>
        <v>4500</v>
      </c>
      <c r="T80" s="382"/>
      <c r="U80" s="382"/>
    </row>
    <row r="81" spans="2:21">
      <c r="B81" s="384" t="str">
        <f>'Actividades del proyecto'!B55</f>
        <v xml:space="preserve">Flete de transporte </v>
      </c>
      <c r="C81" s="507">
        <f>'Actividades del proyecto'!G55</f>
        <v>3000</v>
      </c>
      <c r="D81" s="508">
        <f>'Actividades del proyecto'!H55</f>
        <v>0</v>
      </c>
      <c r="E81" s="508">
        <f>'Actividades del proyecto'!I55</f>
        <v>0</v>
      </c>
      <c r="F81" s="467">
        <f t="shared" si="111"/>
        <v>3000</v>
      </c>
      <c r="G81" s="507">
        <f>'Actividades del proyecto'!J55</f>
        <v>3000</v>
      </c>
      <c r="H81" s="508">
        <f>'Actividades del proyecto'!K55</f>
        <v>0</v>
      </c>
      <c r="I81" s="508">
        <f>'Actividades del proyecto'!L55</f>
        <v>0</v>
      </c>
      <c r="J81" s="467">
        <f t="shared" si="112"/>
        <v>3000</v>
      </c>
      <c r="K81" s="507">
        <f>'Actividades del proyecto'!M55</f>
        <v>3000</v>
      </c>
      <c r="L81" s="508">
        <f>'Actividades del proyecto'!N55</f>
        <v>0</v>
      </c>
      <c r="M81" s="508">
        <f>'Actividades del proyecto'!O55</f>
        <v>0</v>
      </c>
      <c r="N81" s="467">
        <f t="shared" si="113"/>
        <v>3000</v>
      </c>
      <c r="O81" s="468">
        <f t="shared" si="114"/>
        <v>9000</v>
      </c>
      <c r="P81" s="469">
        <f t="shared" si="115"/>
        <v>0</v>
      </c>
      <c r="Q81" s="469">
        <f t="shared" si="116"/>
        <v>0</v>
      </c>
      <c r="R81" s="467">
        <f t="shared" si="117"/>
        <v>9000</v>
      </c>
      <c r="T81" s="382"/>
      <c r="U81" s="382"/>
    </row>
    <row r="82" spans="2:21">
      <c r="B82" s="384" t="str">
        <f>'Actividades del proyecto'!B56</f>
        <v xml:space="preserve">Semilla mejorada de forraje </v>
      </c>
      <c r="C82" s="507">
        <f>'Actividades del proyecto'!G56</f>
        <v>24000</v>
      </c>
      <c r="D82" s="508">
        <f>'Actividades del proyecto'!H56</f>
        <v>0</v>
      </c>
      <c r="E82" s="508">
        <f>'Actividades del proyecto'!I56</f>
        <v>0</v>
      </c>
      <c r="F82" s="467">
        <f t="shared" si="111"/>
        <v>24000</v>
      </c>
      <c r="G82" s="507">
        <f>'Actividades del proyecto'!J56</f>
        <v>12000</v>
      </c>
      <c r="H82" s="508">
        <f>'Actividades del proyecto'!K56</f>
        <v>0</v>
      </c>
      <c r="I82" s="508">
        <f>'Actividades del proyecto'!L56</f>
        <v>0</v>
      </c>
      <c r="J82" s="467">
        <f t="shared" si="112"/>
        <v>12000</v>
      </c>
      <c r="K82" s="507">
        <f>'Actividades del proyecto'!M56</f>
        <v>0</v>
      </c>
      <c r="L82" s="508">
        <f>'Actividades del proyecto'!N56</f>
        <v>0</v>
      </c>
      <c r="M82" s="508">
        <f>'Actividades del proyecto'!O56</f>
        <v>0</v>
      </c>
      <c r="N82" s="467">
        <f t="shared" si="113"/>
        <v>0</v>
      </c>
      <c r="O82" s="468">
        <f t="shared" si="114"/>
        <v>36000</v>
      </c>
      <c r="P82" s="469">
        <f t="shared" si="115"/>
        <v>0</v>
      </c>
      <c r="Q82" s="469">
        <f t="shared" si="116"/>
        <v>0</v>
      </c>
      <c r="R82" s="467">
        <f t="shared" si="117"/>
        <v>36000</v>
      </c>
      <c r="T82" s="382"/>
      <c r="U82" s="382"/>
    </row>
    <row r="83" spans="2:21">
      <c r="B83" s="384" t="str">
        <f>'Actividades del proyecto'!B57</f>
        <v xml:space="preserve">Desparasitantes internos y externos </v>
      </c>
      <c r="C83" s="507">
        <f>'Actividades del proyecto'!G57</f>
        <v>6000</v>
      </c>
      <c r="D83" s="508">
        <f>'Actividades del proyecto'!H57</f>
        <v>0</v>
      </c>
      <c r="E83" s="508">
        <f>'Actividades del proyecto'!I57</f>
        <v>0</v>
      </c>
      <c r="F83" s="467">
        <f t="shared" si="111"/>
        <v>6000</v>
      </c>
      <c r="G83" s="507">
        <f>'Actividades del proyecto'!J57</f>
        <v>6000</v>
      </c>
      <c r="H83" s="508">
        <f>'Actividades del proyecto'!K57</f>
        <v>0</v>
      </c>
      <c r="I83" s="508">
        <f>'Actividades del proyecto'!L57</f>
        <v>0</v>
      </c>
      <c r="J83" s="467">
        <f t="shared" si="112"/>
        <v>6000</v>
      </c>
      <c r="K83" s="507">
        <f>'Actividades del proyecto'!M57</f>
        <v>6000</v>
      </c>
      <c r="L83" s="508">
        <f>'Actividades del proyecto'!N57</f>
        <v>0</v>
      </c>
      <c r="M83" s="508">
        <f>'Actividades del proyecto'!O57</f>
        <v>0</v>
      </c>
      <c r="N83" s="467">
        <f t="shared" si="113"/>
        <v>6000</v>
      </c>
      <c r="O83" s="468">
        <f t="shared" si="114"/>
        <v>18000</v>
      </c>
      <c r="P83" s="469">
        <f t="shared" si="115"/>
        <v>0</v>
      </c>
      <c r="Q83" s="469">
        <f t="shared" si="116"/>
        <v>0</v>
      </c>
      <c r="R83" s="467">
        <f t="shared" si="117"/>
        <v>18000</v>
      </c>
      <c r="T83" s="382"/>
      <c r="U83" s="382"/>
    </row>
    <row r="84" spans="2:21">
      <c r="B84" s="384" t="str">
        <f>'Actividades del proyecto'!B58</f>
        <v>Antibióticos, vacunas y reconstituyentes</v>
      </c>
      <c r="C84" s="507">
        <f>'Actividades del proyecto'!G58</f>
        <v>3000</v>
      </c>
      <c r="D84" s="508">
        <f>'Actividades del proyecto'!H58</f>
        <v>0</v>
      </c>
      <c r="E84" s="508">
        <f>'Actividades del proyecto'!I58</f>
        <v>0</v>
      </c>
      <c r="F84" s="467">
        <f t="shared" si="111"/>
        <v>3000</v>
      </c>
      <c r="G84" s="507">
        <f>'Actividades del proyecto'!J58</f>
        <v>3000</v>
      </c>
      <c r="H84" s="508">
        <f>'Actividades del proyecto'!K58</f>
        <v>0</v>
      </c>
      <c r="I84" s="508">
        <f>'Actividades del proyecto'!L58</f>
        <v>0</v>
      </c>
      <c r="J84" s="467">
        <f t="shared" si="112"/>
        <v>3000</v>
      </c>
      <c r="K84" s="507">
        <f>'Actividades del proyecto'!M58</f>
        <v>3000</v>
      </c>
      <c r="L84" s="508">
        <f>'Actividades del proyecto'!N58</f>
        <v>0</v>
      </c>
      <c r="M84" s="508">
        <f>'Actividades del proyecto'!O58</f>
        <v>0</v>
      </c>
      <c r="N84" s="467">
        <f t="shared" si="113"/>
        <v>3000</v>
      </c>
      <c r="O84" s="468">
        <f t="shared" si="114"/>
        <v>9000</v>
      </c>
      <c r="P84" s="469">
        <f t="shared" si="115"/>
        <v>0</v>
      </c>
      <c r="Q84" s="469">
        <f t="shared" si="116"/>
        <v>0</v>
      </c>
      <c r="R84" s="467">
        <f t="shared" si="117"/>
        <v>9000</v>
      </c>
      <c r="T84" s="382"/>
      <c r="U84" s="382"/>
    </row>
    <row r="85" spans="2:21">
      <c r="B85" s="384" t="str">
        <f>'Actividades del proyecto'!B59</f>
        <v>Instrumental veterinario (jeringas, tijeras y otros)</v>
      </c>
      <c r="C85" s="507">
        <f>'Actividades del proyecto'!G59</f>
        <v>10000</v>
      </c>
      <c r="D85" s="508">
        <f>'Actividades del proyecto'!H59</f>
        <v>0</v>
      </c>
      <c r="E85" s="508">
        <f>'Actividades del proyecto'!I59</f>
        <v>0</v>
      </c>
      <c r="F85" s="467">
        <f t="shared" si="111"/>
        <v>10000</v>
      </c>
      <c r="G85" s="507">
        <f>'Actividades del proyecto'!J59</f>
        <v>0</v>
      </c>
      <c r="H85" s="508">
        <f>'Actividades del proyecto'!K59</f>
        <v>0</v>
      </c>
      <c r="I85" s="508">
        <f>'Actividades del proyecto'!L59</f>
        <v>0</v>
      </c>
      <c r="J85" s="467">
        <f t="shared" si="112"/>
        <v>0</v>
      </c>
      <c r="K85" s="507">
        <f>'Actividades del proyecto'!M59</f>
        <v>0</v>
      </c>
      <c r="L85" s="508">
        <f>'Actividades del proyecto'!N59</f>
        <v>0</v>
      </c>
      <c r="M85" s="508">
        <f>'Actividades del proyecto'!O59</f>
        <v>0</v>
      </c>
      <c r="N85" s="467">
        <f t="shared" si="113"/>
        <v>0</v>
      </c>
      <c r="O85" s="468">
        <f t="shared" si="114"/>
        <v>10000</v>
      </c>
      <c r="P85" s="469">
        <f t="shared" si="115"/>
        <v>0</v>
      </c>
      <c r="Q85" s="469">
        <f t="shared" si="116"/>
        <v>0</v>
      </c>
      <c r="R85" s="467">
        <f t="shared" si="117"/>
        <v>10000</v>
      </c>
      <c r="T85" s="382"/>
      <c r="U85" s="382"/>
    </row>
    <row r="86" spans="2:21" ht="25.5">
      <c r="B86" s="534" t="str">
        <f>'Actividades del proyecto'!B60</f>
        <v>1.7. Intercambio de experiencias entre productoras y productores agropecuarios con participación activa de las mujeres</v>
      </c>
      <c r="C86" s="507"/>
      <c r="D86" s="508"/>
      <c r="E86" s="508"/>
      <c r="F86" s="509"/>
      <c r="G86" s="507"/>
      <c r="H86" s="508"/>
      <c r="I86" s="508"/>
      <c r="J86" s="509"/>
      <c r="K86" s="507"/>
      <c r="L86" s="508"/>
      <c r="M86" s="508"/>
      <c r="N86" s="509"/>
      <c r="O86" s="507"/>
      <c r="P86" s="508"/>
      <c r="Q86" s="508"/>
      <c r="R86" s="509"/>
      <c r="T86" s="382">
        <f>SUM(R87:R90)</f>
        <v>30600</v>
      </c>
      <c r="U86" s="382"/>
    </row>
    <row r="87" spans="2:21">
      <c r="B87" s="387" t="str">
        <f>'Actividades del proyecto'!B61</f>
        <v>Pasajes (3 viajes x 25 personas x 200 Bs)</v>
      </c>
      <c r="C87" s="507">
        <f>'Actividades del proyecto'!G61</f>
        <v>5000</v>
      </c>
      <c r="D87" s="508">
        <f>'Actividades del proyecto'!H61</f>
        <v>0</v>
      </c>
      <c r="E87" s="508">
        <f>'Actividades del proyecto'!I61</f>
        <v>0</v>
      </c>
      <c r="F87" s="467">
        <f t="shared" ref="F87" si="118">SUM(C87:E87)</f>
        <v>5000</v>
      </c>
      <c r="G87" s="507">
        <f>'Actividades del proyecto'!J61</f>
        <v>5000</v>
      </c>
      <c r="H87" s="508">
        <f>'Actividades del proyecto'!K61</f>
        <v>0</v>
      </c>
      <c r="I87" s="508">
        <f>'Actividades del proyecto'!L61</f>
        <v>0</v>
      </c>
      <c r="J87" s="467">
        <f t="shared" ref="J87" si="119">SUM(G87:I87)</f>
        <v>5000</v>
      </c>
      <c r="K87" s="507">
        <f>'Actividades del proyecto'!M61</f>
        <v>5000</v>
      </c>
      <c r="L87" s="508">
        <f>'Actividades del proyecto'!N61</f>
        <v>0</v>
      </c>
      <c r="M87" s="508">
        <f>'Actividades del proyecto'!O61</f>
        <v>0</v>
      </c>
      <c r="N87" s="467">
        <f t="shared" ref="N87" si="120">SUM(K87:M87)</f>
        <v>5000</v>
      </c>
      <c r="O87" s="468">
        <f t="shared" ref="O87" si="121">C87+G87+K87</f>
        <v>15000</v>
      </c>
      <c r="P87" s="469">
        <f t="shared" ref="P87" si="122">D87+H87+L87</f>
        <v>0</v>
      </c>
      <c r="Q87" s="469">
        <f t="shared" ref="Q87" si="123">E87+I87+M87</f>
        <v>0</v>
      </c>
      <c r="R87" s="467">
        <f t="shared" ref="R87" si="124">SUM(O87:Q87)</f>
        <v>15000</v>
      </c>
      <c r="T87" s="382"/>
      <c r="U87" s="382"/>
    </row>
    <row r="88" spans="2:21" ht="25.5">
      <c r="B88" s="387" t="str">
        <f>'Actividades del proyecto'!B62</f>
        <v>Alimentación viajes de intercambio (3 días x 25 personas x 40 Bs x 3 veces )</v>
      </c>
      <c r="C88" s="507">
        <f>'Actividades del proyecto'!G62</f>
        <v>3000</v>
      </c>
      <c r="D88" s="508">
        <f>'Actividades del proyecto'!H62</f>
        <v>0</v>
      </c>
      <c r="E88" s="508">
        <f>'Actividades del proyecto'!I62</f>
        <v>0</v>
      </c>
      <c r="F88" s="467">
        <f t="shared" ref="F88:F90" si="125">SUM(C88:E88)</f>
        <v>3000</v>
      </c>
      <c r="G88" s="507">
        <f>'Actividades del proyecto'!J62</f>
        <v>3000</v>
      </c>
      <c r="H88" s="508">
        <f>'Actividades del proyecto'!K62</f>
        <v>0</v>
      </c>
      <c r="I88" s="508">
        <f>'Actividades del proyecto'!L62</f>
        <v>0</v>
      </c>
      <c r="J88" s="467">
        <f t="shared" ref="J88:J90" si="126">SUM(G88:I88)</f>
        <v>3000</v>
      </c>
      <c r="K88" s="507">
        <f>'Actividades del proyecto'!M62</f>
        <v>3000</v>
      </c>
      <c r="L88" s="508">
        <f>'Actividades del proyecto'!N62</f>
        <v>0</v>
      </c>
      <c r="M88" s="508">
        <f>'Actividades del proyecto'!O62</f>
        <v>0</v>
      </c>
      <c r="N88" s="467">
        <f t="shared" ref="N88:N90" si="127">SUM(K88:M88)</f>
        <v>3000</v>
      </c>
      <c r="O88" s="468">
        <f t="shared" ref="O88:O90" si="128">C88+G88+K88</f>
        <v>9000</v>
      </c>
      <c r="P88" s="469">
        <f t="shared" ref="P88:P90" si="129">D88+H88+L88</f>
        <v>0</v>
      </c>
      <c r="Q88" s="469">
        <f t="shared" ref="Q88:Q90" si="130">E88+I88+M88</f>
        <v>0</v>
      </c>
      <c r="R88" s="467">
        <f t="shared" ref="R88:R90" si="131">SUM(O88:Q88)</f>
        <v>9000</v>
      </c>
      <c r="T88" s="382"/>
      <c r="U88" s="382"/>
    </row>
    <row r="89" spans="2:21">
      <c r="B89" s="387" t="str">
        <f>'Actividades del proyecto'!B63</f>
        <v>Alojamiento (2 días x 25 personas x 40 Bs x 3 veces)</v>
      </c>
      <c r="C89" s="507">
        <f>'Actividades del proyecto'!G63</f>
        <v>2000</v>
      </c>
      <c r="D89" s="508">
        <f>'Actividades del proyecto'!H63</f>
        <v>0</v>
      </c>
      <c r="E89" s="508">
        <f>'Actividades del proyecto'!I63</f>
        <v>0</v>
      </c>
      <c r="F89" s="467">
        <f t="shared" si="125"/>
        <v>2000</v>
      </c>
      <c r="G89" s="507">
        <f>'Actividades del proyecto'!J63</f>
        <v>2000</v>
      </c>
      <c r="H89" s="508">
        <f>'Actividades del proyecto'!K63</f>
        <v>0</v>
      </c>
      <c r="I89" s="508">
        <f>'Actividades del proyecto'!L63</f>
        <v>0</v>
      </c>
      <c r="J89" s="467">
        <f t="shared" si="126"/>
        <v>2000</v>
      </c>
      <c r="K89" s="507">
        <f>'Actividades del proyecto'!M63</f>
        <v>2000</v>
      </c>
      <c r="L89" s="508">
        <f>'Actividades del proyecto'!N63</f>
        <v>0</v>
      </c>
      <c r="M89" s="508">
        <f>'Actividades del proyecto'!O63</f>
        <v>0</v>
      </c>
      <c r="N89" s="467">
        <f t="shared" si="127"/>
        <v>2000</v>
      </c>
      <c r="O89" s="468">
        <f t="shared" si="128"/>
        <v>6000</v>
      </c>
      <c r="P89" s="469">
        <f t="shared" si="129"/>
        <v>0</v>
      </c>
      <c r="Q89" s="469">
        <f t="shared" si="130"/>
        <v>0</v>
      </c>
      <c r="R89" s="467">
        <f t="shared" si="131"/>
        <v>6000</v>
      </c>
      <c r="T89" s="382"/>
      <c r="U89" s="382"/>
    </row>
    <row r="90" spans="2:21">
      <c r="B90" s="387" t="str">
        <f>'Actividades del proyecto'!B64</f>
        <v>Material educativo y enseñanza (cuadernos, bolígrafos, marcadores)</v>
      </c>
      <c r="C90" s="507">
        <f>'Actividades del proyecto'!G64</f>
        <v>200</v>
      </c>
      <c r="D90" s="508">
        <f>'Actividades del proyecto'!H64</f>
        <v>0</v>
      </c>
      <c r="E90" s="508">
        <f>'Actividades del proyecto'!I64</f>
        <v>0</v>
      </c>
      <c r="F90" s="467">
        <f t="shared" si="125"/>
        <v>200</v>
      </c>
      <c r="G90" s="507">
        <f>'Actividades del proyecto'!J64</f>
        <v>200</v>
      </c>
      <c r="H90" s="508">
        <f>'Actividades del proyecto'!K64</f>
        <v>0</v>
      </c>
      <c r="I90" s="508">
        <f>'Actividades del proyecto'!L64</f>
        <v>0</v>
      </c>
      <c r="J90" s="467">
        <f t="shared" si="126"/>
        <v>200</v>
      </c>
      <c r="K90" s="507">
        <f>'Actividades del proyecto'!M64</f>
        <v>200</v>
      </c>
      <c r="L90" s="508">
        <f>'Actividades del proyecto'!N64</f>
        <v>0</v>
      </c>
      <c r="M90" s="508">
        <f>'Actividades del proyecto'!O64</f>
        <v>0</v>
      </c>
      <c r="N90" s="467">
        <f t="shared" si="127"/>
        <v>200</v>
      </c>
      <c r="O90" s="468">
        <f t="shared" si="128"/>
        <v>600</v>
      </c>
      <c r="P90" s="469">
        <f t="shared" si="129"/>
        <v>0</v>
      </c>
      <c r="Q90" s="469">
        <f t="shared" si="130"/>
        <v>0</v>
      </c>
      <c r="R90" s="467">
        <f t="shared" si="131"/>
        <v>600</v>
      </c>
      <c r="T90" s="382"/>
      <c r="U90" s="382"/>
    </row>
    <row r="91" spans="2:21">
      <c r="B91" s="502" t="s">
        <v>65</v>
      </c>
      <c r="C91" s="507"/>
      <c r="D91" s="508"/>
      <c r="E91" s="508"/>
      <c r="F91" s="509"/>
      <c r="G91" s="507"/>
      <c r="H91" s="508"/>
      <c r="I91" s="508"/>
      <c r="J91" s="509"/>
      <c r="K91" s="507"/>
      <c r="L91" s="508"/>
      <c r="M91" s="508"/>
      <c r="N91" s="509"/>
      <c r="O91" s="507"/>
      <c r="P91" s="508"/>
      <c r="Q91" s="508"/>
      <c r="R91" s="509"/>
      <c r="T91" s="382"/>
      <c r="U91" s="382"/>
    </row>
    <row r="92" spans="2:21" ht="38.25">
      <c r="B92" s="536" t="str">
        <f>'Actividades del proyecto'!B80</f>
        <v>2.1. Talleres de formación a productoras y productores en cambio climático, medio ambiente, manejo y conservación de los recursos naturales</v>
      </c>
      <c r="C92" s="507"/>
      <c r="D92" s="508"/>
      <c r="E92" s="508"/>
      <c r="F92" s="509"/>
      <c r="G92" s="507"/>
      <c r="H92" s="508"/>
      <c r="I92" s="508"/>
      <c r="J92" s="509"/>
      <c r="K92" s="507"/>
      <c r="L92" s="508"/>
      <c r="M92" s="508"/>
      <c r="N92" s="509"/>
      <c r="O92" s="507"/>
      <c r="P92" s="508"/>
      <c r="Q92" s="508"/>
      <c r="R92" s="509"/>
      <c r="T92" s="382"/>
      <c r="U92" s="382"/>
    </row>
    <row r="93" spans="2:21">
      <c r="B93" s="471" t="str">
        <f>'Actividades del proyecto'!B81</f>
        <v>Actualización del material educativo (honorarios)</v>
      </c>
      <c r="C93" s="507">
        <f>'Actividades del proyecto'!G81</f>
        <v>0</v>
      </c>
      <c r="D93" s="508">
        <f>'Actividades del proyecto'!H81</f>
        <v>3000</v>
      </c>
      <c r="E93" s="508">
        <f>'Actividades del proyecto'!I81</f>
        <v>0</v>
      </c>
      <c r="F93" s="467">
        <f t="shared" ref="F93" si="132">SUM(C93:E93)</f>
        <v>3000</v>
      </c>
      <c r="G93" s="507">
        <f>'Actividades del proyecto'!J81</f>
        <v>0</v>
      </c>
      <c r="H93" s="508">
        <f>'Actividades del proyecto'!K81</f>
        <v>0</v>
      </c>
      <c r="I93" s="508">
        <f>'Actividades del proyecto'!L81</f>
        <v>0</v>
      </c>
      <c r="J93" s="467">
        <f t="shared" ref="J93" si="133">SUM(G93:I93)</f>
        <v>0</v>
      </c>
      <c r="K93" s="507">
        <f>'Actividades del proyecto'!M81</f>
        <v>0</v>
      </c>
      <c r="L93" s="508">
        <f>'Actividades del proyecto'!N81</f>
        <v>0</v>
      </c>
      <c r="M93" s="508">
        <f>'Actividades del proyecto'!O81</f>
        <v>0</v>
      </c>
      <c r="N93" s="467">
        <f t="shared" ref="N93" si="134">SUM(K93:M93)</f>
        <v>0</v>
      </c>
      <c r="O93" s="468">
        <f t="shared" ref="O93:O97" si="135">C93+G93+K93</f>
        <v>0</v>
      </c>
      <c r="P93" s="469">
        <f t="shared" ref="P93:P97" si="136">D93+H93+L93</f>
        <v>3000</v>
      </c>
      <c r="Q93" s="469">
        <f t="shared" ref="Q93:Q97" si="137">E93+I93+M93</f>
        <v>0</v>
      </c>
      <c r="R93" s="467">
        <f t="shared" ref="R93:R97" si="138">SUM(O93:Q93)</f>
        <v>3000</v>
      </c>
      <c r="T93" s="382"/>
      <c r="U93" s="382"/>
    </row>
    <row r="94" spans="2:21">
      <c r="B94" s="471" t="str">
        <f>'Actividades del proyecto'!B82</f>
        <v xml:space="preserve">Impresión material educativo </v>
      </c>
      <c r="C94" s="507">
        <f>'Actividades del proyecto'!G82</f>
        <v>12500</v>
      </c>
      <c r="D94" s="508">
        <f>'Actividades del proyecto'!H82</f>
        <v>0</v>
      </c>
      <c r="E94" s="508">
        <f>'Actividades del proyecto'!I82</f>
        <v>0</v>
      </c>
      <c r="F94" s="467">
        <f t="shared" ref="F94:F97" si="139">SUM(C94:E94)</f>
        <v>12500</v>
      </c>
      <c r="G94" s="507">
        <f>'Actividades del proyecto'!J82</f>
        <v>0</v>
      </c>
      <c r="H94" s="508">
        <f>'Actividades del proyecto'!K82</f>
        <v>0</v>
      </c>
      <c r="I94" s="508">
        <f>'Actividades del proyecto'!L82</f>
        <v>0</v>
      </c>
      <c r="J94" s="467">
        <f t="shared" ref="J94:J97" si="140">SUM(G94:I94)</f>
        <v>0</v>
      </c>
      <c r="K94" s="507">
        <f>'Actividades del proyecto'!M82</f>
        <v>0</v>
      </c>
      <c r="L94" s="508">
        <f>'Actividades del proyecto'!N82</f>
        <v>0</v>
      </c>
      <c r="M94" s="508">
        <f>'Actividades del proyecto'!O82</f>
        <v>0</v>
      </c>
      <c r="N94" s="467">
        <f t="shared" ref="N94:N97" si="141">SUM(K94:M94)</f>
        <v>0</v>
      </c>
      <c r="O94" s="468">
        <f t="shared" si="135"/>
        <v>12500</v>
      </c>
      <c r="P94" s="469">
        <f t="shared" si="136"/>
        <v>0</v>
      </c>
      <c r="Q94" s="469">
        <f t="shared" si="137"/>
        <v>0</v>
      </c>
      <c r="R94" s="467">
        <f t="shared" si="138"/>
        <v>12500</v>
      </c>
      <c r="T94" s="382"/>
      <c r="U94" s="382"/>
    </row>
    <row r="95" spans="2:21" ht="25.5">
      <c r="B95" s="471" t="str">
        <f>'Actividades del proyecto'!B83</f>
        <v>Alimentación capacitación agrícola  (2 talleres x 22 com x 20 part x 20 Bs)</v>
      </c>
      <c r="C95" s="507">
        <f>'Actividades del proyecto'!G83</f>
        <v>17600</v>
      </c>
      <c r="D95" s="508">
        <f>'Actividades del proyecto'!H83</f>
        <v>0</v>
      </c>
      <c r="E95" s="508">
        <f>'Actividades del proyecto'!I83</f>
        <v>0</v>
      </c>
      <c r="F95" s="467">
        <f t="shared" si="139"/>
        <v>17600</v>
      </c>
      <c r="G95" s="507">
        <f>'Actividades del proyecto'!J83</f>
        <v>0</v>
      </c>
      <c r="H95" s="508">
        <f>'Actividades del proyecto'!K83</f>
        <v>0</v>
      </c>
      <c r="I95" s="508">
        <f>'Actividades del proyecto'!L83</f>
        <v>0</v>
      </c>
      <c r="J95" s="467">
        <f t="shared" si="140"/>
        <v>0</v>
      </c>
      <c r="K95" s="507">
        <f>'Actividades del proyecto'!M83</f>
        <v>0</v>
      </c>
      <c r="L95" s="508">
        <f>'Actividades del proyecto'!N83</f>
        <v>0</v>
      </c>
      <c r="M95" s="508">
        <f>'Actividades del proyecto'!O83</f>
        <v>0</v>
      </c>
      <c r="N95" s="467">
        <f t="shared" si="141"/>
        <v>0</v>
      </c>
      <c r="O95" s="468">
        <f t="shared" si="135"/>
        <v>17600</v>
      </c>
      <c r="P95" s="469">
        <f t="shared" si="136"/>
        <v>0</v>
      </c>
      <c r="Q95" s="469">
        <f t="shared" si="137"/>
        <v>0</v>
      </c>
      <c r="R95" s="467">
        <f t="shared" si="138"/>
        <v>17600</v>
      </c>
      <c r="T95" s="382"/>
      <c r="U95" s="382"/>
    </row>
    <row r="96" spans="2:21">
      <c r="B96" s="471" t="str">
        <f>'Actividades del proyecto'!B84</f>
        <v>Videos, fotografias y otro material educativo</v>
      </c>
      <c r="C96" s="507">
        <f>'Actividades del proyecto'!G84</f>
        <v>1000</v>
      </c>
      <c r="D96" s="508">
        <f>'Actividades del proyecto'!H84</f>
        <v>0</v>
      </c>
      <c r="E96" s="508">
        <f>'Actividades del proyecto'!I84</f>
        <v>0</v>
      </c>
      <c r="F96" s="467">
        <f t="shared" si="139"/>
        <v>1000</v>
      </c>
      <c r="G96" s="507">
        <f>'Actividades del proyecto'!J84</f>
        <v>0</v>
      </c>
      <c r="H96" s="508">
        <f>'Actividades del proyecto'!K84</f>
        <v>0</v>
      </c>
      <c r="I96" s="508">
        <f>'Actividades del proyecto'!L84</f>
        <v>0</v>
      </c>
      <c r="J96" s="467">
        <f t="shared" si="140"/>
        <v>0</v>
      </c>
      <c r="K96" s="507">
        <f>'Actividades del proyecto'!M84</f>
        <v>0</v>
      </c>
      <c r="L96" s="508">
        <f>'Actividades del proyecto'!N84</f>
        <v>0</v>
      </c>
      <c r="M96" s="508">
        <f>'Actividades del proyecto'!O84</f>
        <v>0</v>
      </c>
      <c r="N96" s="467">
        <f t="shared" si="141"/>
        <v>0</v>
      </c>
      <c r="O96" s="468">
        <f t="shared" si="135"/>
        <v>1000</v>
      </c>
      <c r="P96" s="469">
        <f t="shared" si="136"/>
        <v>0</v>
      </c>
      <c r="Q96" s="469">
        <f t="shared" si="137"/>
        <v>0</v>
      </c>
      <c r="R96" s="467">
        <f t="shared" si="138"/>
        <v>1000</v>
      </c>
      <c r="T96" s="382"/>
      <c r="U96" s="382"/>
    </row>
    <row r="97" spans="2:21">
      <c r="B97" s="471" t="str">
        <f>'Actividades del proyecto'!B85</f>
        <v xml:space="preserve">Material de enseñanza y escritorio  </v>
      </c>
      <c r="C97" s="507">
        <f>'Actividades del proyecto'!G85</f>
        <v>1000</v>
      </c>
      <c r="D97" s="508">
        <f>'Actividades del proyecto'!H85</f>
        <v>0</v>
      </c>
      <c r="E97" s="508">
        <f>'Actividades del proyecto'!I85</f>
        <v>0</v>
      </c>
      <c r="F97" s="467">
        <f t="shared" si="139"/>
        <v>1000</v>
      </c>
      <c r="G97" s="507">
        <f>'Actividades del proyecto'!J85</f>
        <v>0</v>
      </c>
      <c r="H97" s="508">
        <f>'Actividades del proyecto'!K85</f>
        <v>0</v>
      </c>
      <c r="I97" s="508">
        <f>'Actividades del proyecto'!L85</f>
        <v>0</v>
      </c>
      <c r="J97" s="467">
        <f t="shared" si="140"/>
        <v>0</v>
      </c>
      <c r="K97" s="507">
        <f>'Actividades del proyecto'!M85</f>
        <v>0</v>
      </c>
      <c r="L97" s="508">
        <f>'Actividades del proyecto'!N85</f>
        <v>0</v>
      </c>
      <c r="M97" s="508">
        <f>'Actividades del proyecto'!O85</f>
        <v>0</v>
      </c>
      <c r="N97" s="467">
        <f t="shared" si="141"/>
        <v>0</v>
      </c>
      <c r="O97" s="468">
        <f t="shared" si="135"/>
        <v>1000</v>
      </c>
      <c r="P97" s="469">
        <f t="shared" si="136"/>
        <v>0</v>
      </c>
      <c r="Q97" s="469">
        <f t="shared" si="137"/>
        <v>0</v>
      </c>
      <c r="R97" s="467">
        <f t="shared" si="138"/>
        <v>1000</v>
      </c>
      <c r="T97" s="382"/>
      <c r="U97" s="382"/>
    </row>
    <row r="98" spans="2:21" ht="38.25">
      <c r="B98" s="534" t="str">
        <f>'Actividades del proyecto'!B86</f>
        <v>2.2. Construcción de obras de recuperación y manejo del recurso suelo (terrazas de formación lenta y de banco, diques para el control de cárcavas, incorporación de abono orgánico)</v>
      </c>
      <c r="C98" s="507"/>
      <c r="D98" s="508"/>
      <c r="E98" s="508"/>
      <c r="F98" s="509"/>
      <c r="G98" s="507"/>
      <c r="H98" s="508"/>
      <c r="I98" s="508"/>
      <c r="J98" s="509"/>
      <c r="K98" s="507"/>
      <c r="L98" s="508"/>
      <c r="M98" s="508"/>
      <c r="N98" s="509"/>
      <c r="O98" s="507"/>
      <c r="P98" s="508"/>
      <c r="Q98" s="508"/>
      <c r="R98" s="509"/>
      <c r="T98" s="382"/>
      <c r="U98" s="382"/>
    </row>
    <row r="99" spans="2:21">
      <c r="B99" s="387" t="str">
        <f>'Actividades del proyecto'!B87</f>
        <v>Herramientas de trabajo (pìcos, palas, azadones, carrerillas)</v>
      </c>
      <c r="C99" s="507">
        <f>'Actividades del proyecto'!G87</f>
        <v>26400</v>
      </c>
      <c r="D99" s="508">
        <f>'Actividades del proyecto'!H87</f>
        <v>0</v>
      </c>
      <c r="E99" s="508">
        <f>'Actividades del proyecto'!I87</f>
        <v>0</v>
      </c>
      <c r="F99" s="467">
        <f t="shared" ref="F99" si="142">SUM(C99:E99)</f>
        <v>26400</v>
      </c>
      <c r="G99" s="507">
        <f>'Actividades del proyecto'!J87</f>
        <v>0</v>
      </c>
      <c r="H99" s="508">
        <f>'Actividades del proyecto'!K87</f>
        <v>0</v>
      </c>
      <c r="I99" s="508">
        <f>'Actividades del proyecto'!L87</f>
        <v>0</v>
      </c>
      <c r="J99" s="467">
        <f t="shared" ref="J99:J103" si="143">SUM(G99:I99)</f>
        <v>0</v>
      </c>
      <c r="K99" s="507">
        <f>'Actividades del proyecto'!M87</f>
        <v>0</v>
      </c>
      <c r="L99" s="508">
        <f>'Actividades del proyecto'!N87</f>
        <v>0</v>
      </c>
      <c r="M99" s="508">
        <f>'Actividades del proyecto'!O87</f>
        <v>0</v>
      </c>
      <c r="N99" s="467">
        <f t="shared" ref="N99:N103" si="144">SUM(K99:M99)</f>
        <v>0</v>
      </c>
      <c r="O99" s="468">
        <f t="shared" ref="O99:O103" si="145">C99+G99+K99</f>
        <v>26400</v>
      </c>
      <c r="P99" s="469">
        <f t="shared" ref="P99:P103" si="146">D99+H99+L99</f>
        <v>0</v>
      </c>
      <c r="Q99" s="469">
        <f t="shared" ref="Q99:Q103" si="147">E99+I99+M99</f>
        <v>0</v>
      </c>
      <c r="R99" s="467">
        <f t="shared" ref="R99:R103" si="148">SUM(O99:Q99)</f>
        <v>26400</v>
      </c>
      <c r="T99" s="382"/>
      <c r="U99" s="382"/>
    </row>
    <row r="100" spans="2:21">
      <c r="B100" s="387" t="str">
        <f>'Actividades del proyecto'!B88</f>
        <v>Abono orgánico vegetal</v>
      </c>
      <c r="C100" s="507">
        <f>'Actividades del proyecto'!G88</f>
        <v>18000</v>
      </c>
      <c r="D100" s="508">
        <f>'Actividades del proyecto'!H88</f>
        <v>0</v>
      </c>
      <c r="E100" s="508">
        <f>'Actividades del proyecto'!I88</f>
        <v>12000</v>
      </c>
      <c r="F100" s="467">
        <f t="shared" ref="F100:F103" si="149">SUM(C100:E100)</f>
        <v>30000</v>
      </c>
      <c r="G100" s="507">
        <f>'Actividades del proyecto'!J88</f>
        <v>18000</v>
      </c>
      <c r="H100" s="508">
        <f>'Actividades del proyecto'!K88</f>
        <v>0</v>
      </c>
      <c r="I100" s="508">
        <f>'Actividades del proyecto'!L88</f>
        <v>12000</v>
      </c>
      <c r="J100" s="467">
        <f t="shared" ref="J100:J101" si="150">SUM(G100:I100)</f>
        <v>30000</v>
      </c>
      <c r="K100" s="507">
        <f>'Actividades del proyecto'!M88</f>
        <v>18000</v>
      </c>
      <c r="L100" s="508">
        <f>'Actividades del proyecto'!N88</f>
        <v>0</v>
      </c>
      <c r="M100" s="508">
        <f>'Actividades del proyecto'!O88</f>
        <v>12000</v>
      </c>
      <c r="N100" s="467">
        <f t="shared" ref="N100:N101" si="151">SUM(K100:M100)</f>
        <v>30000</v>
      </c>
      <c r="O100" s="468">
        <f t="shared" ref="O100:O101" si="152">C100+G100+K100</f>
        <v>54000</v>
      </c>
      <c r="P100" s="469">
        <f t="shared" ref="P100:P101" si="153">D100+H100+L100</f>
        <v>0</v>
      </c>
      <c r="Q100" s="469">
        <f t="shared" ref="Q100:Q101" si="154">E100+I100+M100</f>
        <v>36000</v>
      </c>
      <c r="R100" s="467">
        <f t="shared" ref="R100:R101" si="155">SUM(O100:Q100)</f>
        <v>90000</v>
      </c>
      <c r="T100" s="382"/>
      <c r="U100" s="382"/>
    </row>
    <row r="101" spans="2:21">
      <c r="B101" s="387" t="str">
        <f>'Actividades del proyecto'!B89</f>
        <v>Estiércol de ovino  huertos (22 camionadas x 1600 bs x 3 años)</v>
      </c>
      <c r="C101" s="507">
        <f>'Actividades del proyecto'!G89</f>
        <v>0</v>
      </c>
      <c r="D101" s="508">
        <f>'Actividades del proyecto'!H89</f>
        <v>0</v>
      </c>
      <c r="E101" s="508">
        <f>'Actividades del proyecto'!I89</f>
        <v>35200</v>
      </c>
      <c r="F101" s="467">
        <f t="shared" si="149"/>
        <v>35200</v>
      </c>
      <c r="G101" s="507">
        <f>'Actividades del proyecto'!J89</f>
        <v>0</v>
      </c>
      <c r="H101" s="508">
        <f>'Actividades del proyecto'!K89</f>
        <v>0</v>
      </c>
      <c r="I101" s="508">
        <f>'Actividades del proyecto'!L89</f>
        <v>35200</v>
      </c>
      <c r="J101" s="467">
        <f t="shared" si="150"/>
        <v>35200</v>
      </c>
      <c r="K101" s="507">
        <f>'Actividades del proyecto'!M89</f>
        <v>0</v>
      </c>
      <c r="L101" s="508">
        <f>'Actividades del proyecto'!N89</f>
        <v>0</v>
      </c>
      <c r="M101" s="508">
        <f>'Actividades del proyecto'!O89</f>
        <v>35200</v>
      </c>
      <c r="N101" s="467">
        <f t="shared" si="151"/>
        <v>35200</v>
      </c>
      <c r="O101" s="468">
        <f t="shared" si="152"/>
        <v>0</v>
      </c>
      <c r="P101" s="469">
        <f t="shared" si="153"/>
        <v>0</v>
      </c>
      <c r="Q101" s="469">
        <f t="shared" si="154"/>
        <v>105600</v>
      </c>
      <c r="R101" s="467">
        <f t="shared" si="155"/>
        <v>105600</v>
      </c>
      <c r="T101" s="382"/>
      <c r="U101" s="382"/>
    </row>
    <row r="102" spans="2:21" ht="57" customHeight="1">
      <c r="B102" s="534" t="str">
        <f>'Actividades del proyecto'!B90</f>
        <v>2.3. Asistencia técnica en la reposición y manejo de la cobertura vegetal (parcelas protegidas con cercos vivos, parcelas con protección en las riberas de los ríos, producción de plantines de especies forestales exóticas-nativas)</v>
      </c>
      <c r="C102" s="507"/>
      <c r="D102" s="508"/>
      <c r="E102" s="508"/>
      <c r="F102" s="467"/>
      <c r="G102" s="507"/>
      <c r="H102" s="508"/>
      <c r="I102" s="508"/>
      <c r="J102" s="467"/>
      <c r="K102" s="507"/>
      <c r="L102" s="508"/>
      <c r="M102" s="508"/>
      <c r="N102" s="467"/>
      <c r="O102" s="468"/>
      <c r="P102" s="469"/>
      <c r="Q102" s="469"/>
      <c r="R102" s="467"/>
      <c r="T102" s="382"/>
      <c r="U102" s="382"/>
    </row>
    <row r="103" spans="2:21">
      <c r="B103" s="387" t="str">
        <f>'Actividades del proyecto'!B91</f>
        <v>Semillas forestales   (5 kg/año x 980 bs)</v>
      </c>
      <c r="C103" s="507">
        <f>'Actividades del proyecto'!G91</f>
        <v>4900</v>
      </c>
      <c r="D103" s="508">
        <f>'Actividades del proyecto'!H91</f>
        <v>0</v>
      </c>
      <c r="E103" s="508">
        <f>'Actividades del proyecto'!I91</f>
        <v>0</v>
      </c>
      <c r="F103" s="467">
        <f t="shared" si="149"/>
        <v>4900</v>
      </c>
      <c r="G103" s="507">
        <f>'Actividades del proyecto'!J91</f>
        <v>4900</v>
      </c>
      <c r="H103" s="508">
        <f>'Actividades del proyecto'!K91</f>
        <v>0</v>
      </c>
      <c r="I103" s="508">
        <f>'Actividades del proyecto'!L91</f>
        <v>0</v>
      </c>
      <c r="J103" s="467">
        <f t="shared" si="143"/>
        <v>4900</v>
      </c>
      <c r="K103" s="507">
        <f>'Actividades del proyecto'!M91</f>
        <v>4900</v>
      </c>
      <c r="L103" s="508">
        <f>'Actividades del proyecto'!N91</f>
        <v>0</v>
      </c>
      <c r="M103" s="508">
        <f>'Actividades del proyecto'!O91</f>
        <v>0</v>
      </c>
      <c r="N103" s="467">
        <f t="shared" si="144"/>
        <v>4900</v>
      </c>
      <c r="O103" s="468">
        <f t="shared" si="145"/>
        <v>14700</v>
      </c>
      <c r="P103" s="469">
        <f t="shared" si="146"/>
        <v>0</v>
      </c>
      <c r="Q103" s="469">
        <f t="shared" si="147"/>
        <v>0</v>
      </c>
      <c r="R103" s="467">
        <f t="shared" si="148"/>
        <v>14700</v>
      </c>
      <c r="T103" s="382"/>
      <c r="U103" s="382"/>
    </row>
    <row r="104" spans="2:21">
      <c r="B104" s="387" t="str">
        <f>'Actividades del proyecto'!B92</f>
        <v>Plantines forestales</v>
      </c>
      <c r="C104" s="507">
        <f>'Actividades del proyecto'!G92</f>
        <v>12000</v>
      </c>
      <c r="D104" s="508">
        <f>'Actividades del proyecto'!H92</f>
        <v>0</v>
      </c>
      <c r="E104" s="508">
        <f>'Actividades del proyecto'!I92</f>
        <v>0</v>
      </c>
      <c r="F104" s="467">
        <f t="shared" ref="F104:F106" si="156">SUM(C104:E104)</f>
        <v>12000</v>
      </c>
      <c r="G104" s="507">
        <f>'Actividades del proyecto'!J92</f>
        <v>12000</v>
      </c>
      <c r="H104" s="508">
        <f>'Actividades del proyecto'!K92</f>
        <v>0</v>
      </c>
      <c r="I104" s="508">
        <f>'Actividades del proyecto'!L92</f>
        <v>0</v>
      </c>
      <c r="J104" s="467">
        <f t="shared" ref="J104:J106" si="157">SUM(G104:I104)</f>
        <v>12000</v>
      </c>
      <c r="K104" s="507">
        <f>'Actividades del proyecto'!M92</f>
        <v>12000</v>
      </c>
      <c r="L104" s="508">
        <f>'Actividades del proyecto'!N92</f>
        <v>0</v>
      </c>
      <c r="M104" s="508">
        <f>'Actividades del proyecto'!O92</f>
        <v>0</v>
      </c>
      <c r="N104" s="467">
        <f t="shared" ref="N104:N106" si="158">SUM(K104:M104)</f>
        <v>12000</v>
      </c>
      <c r="O104" s="468">
        <f t="shared" ref="O104:O109" si="159">C104+G104+K104</f>
        <v>36000</v>
      </c>
      <c r="P104" s="469">
        <f t="shared" ref="P104:P109" si="160">D104+H104+L104</f>
        <v>0</v>
      </c>
      <c r="Q104" s="469">
        <f t="shared" ref="Q104:Q109" si="161">E104+I104+M104</f>
        <v>0</v>
      </c>
      <c r="R104" s="467">
        <f t="shared" ref="R104:R109" si="162">SUM(O104:Q104)</f>
        <v>36000</v>
      </c>
      <c r="T104" s="382"/>
      <c r="U104" s="382"/>
    </row>
    <row r="105" spans="2:21">
      <c r="B105" s="387" t="str">
        <f>'Actividades del proyecto'!B93</f>
        <v>Bolsas tipo manga (200 kg x 75 bs )</v>
      </c>
      <c r="C105" s="507">
        <f>'Actividades del proyecto'!G93</f>
        <v>600</v>
      </c>
      <c r="D105" s="508">
        <f>'Actividades del proyecto'!H93</f>
        <v>0</v>
      </c>
      <c r="E105" s="508">
        <f>'Actividades del proyecto'!I93</f>
        <v>0</v>
      </c>
      <c r="F105" s="467">
        <f t="shared" si="156"/>
        <v>600</v>
      </c>
      <c r="G105" s="507">
        <f>'Actividades del proyecto'!J93</f>
        <v>600</v>
      </c>
      <c r="H105" s="508">
        <f>'Actividades del proyecto'!K93</f>
        <v>0</v>
      </c>
      <c r="I105" s="508">
        <f>'Actividades del proyecto'!L93</f>
        <v>0</v>
      </c>
      <c r="J105" s="467">
        <f t="shared" si="157"/>
        <v>600</v>
      </c>
      <c r="K105" s="507">
        <f>'Actividades del proyecto'!M93</f>
        <v>600</v>
      </c>
      <c r="L105" s="508">
        <f>'Actividades del proyecto'!N93</f>
        <v>0</v>
      </c>
      <c r="M105" s="508">
        <f>'Actividades del proyecto'!O93</f>
        <v>0</v>
      </c>
      <c r="N105" s="467">
        <f t="shared" si="158"/>
        <v>600</v>
      </c>
      <c r="O105" s="468">
        <f t="shared" si="159"/>
        <v>1800</v>
      </c>
      <c r="P105" s="469">
        <f t="shared" si="160"/>
        <v>0</v>
      </c>
      <c r="Q105" s="469">
        <f t="shared" si="161"/>
        <v>0</v>
      </c>
      <c r="R105" s="467">
        <f t="shared" si="162"/>
        <v>1800</v>
      </c>
      <c r="T105" s="382"/>
      <c r="U105" s="382"/>
    </row>
    <row r="106" spans="2:21">
      <c r="B106" s="387" t="str">
        <f>'Actividades del proyecto'!B94</f>
        <v>Malla mílimetrica (4 rollos de 100 mt x 3000 bs)</v>
      </c>
      <c r="C106" s="507">
        <f>'Actividades del proyecto'!G94</f>
        <v>12000</v>
      </c>
      <c r="D106" s="508">
        <f>'Actividades del proyecto'!H94</f>
        <v>0</v>
      </c>
      <c r="E106" s="508">
        <f>'Actividades del proyecto'!I94</f>
        <v>0</v>
      </c>
      <c r="F106" s="467">
        <f t="shared" si="156"/>
        <v>12000</v>
      </c>
      <c r="G106" s="507">
        <f>'Actividades del proyecto'!J94</f>
        <v>0</v>
      </c>
      <c r="H106" s="508">
        <f>'Actividades del proyecto'!K94</f>
        <v>0</v>
      </c>
      <c r="I106" s="508">
        <f>'Actividades del proyecto'!L94</f>
        <v>0</v>
      </c>
      <c r="J106" s="467">
        <f t="shared" si="157"/>
        <v>0</v>
      </c>
      <c r="K106" s="507">
        <f>'Actividades del proyecto'!M94</f>
        <v>0</v>
      </c>
      <c r="L106" s="508">
        <f>'Actividades del proyecto'!N94</f>
        <v>0</v>
      </c>
      <c r="M106" s="508">
        <f>'Actividades del proyecto'!O94</f>
        <v>0</v>
      </c>
      <c r="N106" s="467">
        <f t="shared" si="158"/>
        <v>0</v>
      </c>
      <c r="O106" s="468">
        <f t="shared" si="159"/>
        <v>12000</v>
      </c>
      <c r="P106" s="469">
        <f t="shared" si="160"/>
        <v>0</v>
      </c>
      <c r="Q106" s="469">
        <f t="shared" si="161"/>
        <v>0</v>
      </c>
      <c r="R106" s="467">
        <f t="shared" si="162"/>
        <v>12000</v>
      </c>
      <c r="T106" s="382"/>
      <c r="U106" s="382"/>
    </row>
    <row r="107" spans="2:21">
      <c r="B107" s="387" t="str">
        <f>'Actividades del proyecto'!B95</f>
        <v>Material vegetativo</v>
      </c>
      <c r="C107" s="507">
        <f>'Actividades del proyecto'!G95</f>
        <v>1000</v>
      </c>
      <c r="D107" s="508">
        <f>'Actividades del proyecto'!H95</f>
        <v>0</v>
      </c>
      <c r="E107" s="508">
        <f>'Actividades del proyecto'!I95</f>
        <v>0</v>
      </c>
      <c r="F107" s="467">
        <f t="shared" ref="F107:F111" si="163">SUM(C107:E107)</f>
        <v>1000</v>
      </c>
      <c r="G107" s="507">
        <f>'Actividades del proyecto'!J95</f>
        <v>1000</v>
      </c>
      <c r="H107" s="508">
        <f>'Actividades del proyecto'!K95</f>
        <v>0</v>
      </c>
      <c r="I107" s="508">
        <f>'Actividades del proyecto'!L95</f>
        <v>0</v>
      </c>
      <c r="J107" s="467">
        <f t="shared" ref="J107:J109" si="164">SUM(G107:I107)</f>
        <v>1000</v>
      </c>
      <c r="K107" s="507">
        <f>'Actividades del proyecto'!M95</f>
        <v>1000</v>
      </c>
      <c r="L107" s="508">
        <f>'Actividades del proyecto'!N95</f>
        <v>0</v>
      </c>
      <c r="M107" s="508">
        <f>'Actividades del proyecto'!O95</f>
        <v>0</v>
      </c>
      <c r="N107" s="467">
        <f t="shared" ref="N107:N109" si="165">SUM(K107:M107)</f>
        <v>1000</v>
      </c>
      <c r="O107" s="468">
        <f t="shared" si="159"/>
        <v>3000</v>
      </c>
      <c r="P107" s="469">
        <f t="shared" si="160"/>
        <v>0</v>
      </c>
      <c r="Q107" s="469">
        <f t="shared" si="161"/>
        <v>0</v>
      </c>
      <c r="R107" s="467">
        <f t="shared" si="162"/>
        <v>3000</v>
      </c>
      <c r="T107" s="382"/>
      <c r="U107" s="382"/>
    </row>
    <row r="108" spans="2:21">
      <c r="B108" s="387" t="str">
        <f>'Actividades del proyecto'!B96</f>
        <v>Tierra micorrizada</v>
      </c>
      <c r="C108" s="507">
        <f>'Actividades del proyecto'!G96</f>
        <v>1500</v>
      </c>
      <c r="D108" s="508">
        <f>'Actividades del proyecto'!H96</f>
        <v>0</v>
      </c>
      <c r="E108" s="508">
        <f>'Actividades del proyecto'!I96</f>
        <v>0</v>
      </c>
      <c r="F108" s="467">
        <f t="shared" si="163"/>
        <v>1500</v>
      </c>
      <c r="G108" s="507">
        <f>'Actividades del proyecto'!J96</f>
        <v>1500</v>
      </c>
      <c r="H108" s="508">
        <f>'Actividades del proyecto'!K96</f>
        <v>0</v>
      </c>
      <c r="I108" s="508">
        <f>'Actividades del proyecto'!L96</f>
        <v>0</v>
      </c>
      <c r="J108" s="467">
        <f t="shared" si="164"/>
        <v>1500</v>
      </c>
      <c r="K108" s="507">
        <f>'Actividades del proyecto'!M96</f>
        <v>1500</v>
      </c>
      <c r="L108" s="508">
        <f>'Actividades del proyecto'!N96</f>
        <v>0</v>
      </c>
      <c r="M108" s="508">
        <f>'Actividades del proyecto'!O96</f>
        <v>0</v>
      </c>
      <c r="N108" s="467">
        <f t="shared" si="165"/>
        <v>1500</v>
      </c>
      <c r="O108" s="468">
        <f t="shared" si="159"/>
        <v>4500</v>
      </c>
      <c r="P108" s="469">
        <f t="shared" si="160"/>
        <v>0</v>
      </c>
      <c r="Q108" s="469">
        <f t="shared" si="161"/>
        <v>0</v>
      </c>
      <c r="R108" s="467">
        <f t="shared" si="162"/>
        <v>4500</v>
      </c>
      <c r="T108" s="382"/>
      <c r="U108" s="382"/>
    </row>
    <row r="109" spans="2:21">
      <c r="B109" s="387" t="str">
        <f>'Actividades del proyecto'!B97</f>
        <v xml:space="preserve">Flete de transporte </v>
      </c>
      <c r="C109" s="507">
        <f>'Actividades del proyecto'!G97</f>
        <v>3000</v>
      </c>
      <c r="D109" s="508">
        <f>'Actividades del proyecto'!H97</f>
        <v>0</v>
      </c>
      <c r="E109" s="508">
        <f>'Actividades del proyecto'!I97</f>
        <v>0</v>
      </c>
      <c r="F109" s="467">
        <f t="shared" si="163"/>
        <v>3000</v>
      </c>
      <c r="G109" s="507">
        <f>'Actividades del proyecto'!J97</f>
        <v>3000</v>
      </c>
      <c r="H109" s="508">
        <f>'Actividades del proyecto'!K97</f>
        <v>0</v>
      </c>
      <c r="I109" s="508">
        <f>'Actividades del proyecto'!L97</f>
        <v>0</v>
      </c>
      <c r="J109" s="467">
        <f t="shared" si="164"/>
        <v>3000</v>
      </c>
      <c r="K109" s="507">
        <f>'Actividades del proyecto'!M97</f>
        <v>3000</v>
      </c>
      <c r="L109" s="508">
        <f>'Actividades del proyecto'!N97</f>
        <v>0</v>
      </c>
      <c r="M109" s="508">
        <f>'Actividades del proyecto'!O97</f>
        <v>0</v>
      </c>
      <c r="N109" s="467">
        <f t="shared" si="165"/>
        <v>3000</v>
      </c>
      <c r="O109" s="468">
        <f t="shared" si="159"/>
        <v>9000</v>
      </c>
      <c r="P109" s="469">
        <f t="shared" si="160"/>
        <v>0</v>
      </c>
      <c r="Q109" s="469">
        <f t="shared" si="161"/>
        <v>0</v>
      </c>
      <c r="R109" s="467">
        <f t="shared" si="162"/>
        <v>9000</v>
      </c>
      <c r="T109" s="382"/>
      <c r="U109" s="382"/>
    </row>
    <row r="110" spans="2:21" ht="25.5">
      <c r="B110" s="534" t="str">
        <f>'Actividades del proyecto'!B98</f>
        <v>2.4. Instalación y funcionamiento de  reservorios para agua de riego que disminuye la sobrecarga laboral de las mujeres</v>
      </c>
      <c r="C110" s="507"/>
      <c r="D110" s="508"/>
      <c r="E110" s="508"/>
      <c r="F110" s="467"/>
      <c r="G110" s="507"/>
      <c r="H110" s="508"/>
      <c r="I110" s="508"/>
      <c r="J110" s="467"/>
      <c r="K110" s="507"/>
      <c r="L110" s="508"/>
      <c r="M110" s="508"/>
      <c r="N110" s="467"/>
      <c r="O110" s="468"/>
      <c r="P110" s="469"/>
      <c r="Q110" s="469"/>
      <c r="R110" s="467"/>
      <c r="T110" s="382"/>
      <c r="U110" s="382"/>
    </row>
    <row r="111" spans="2:21">
      <c r="B111" s="387" t="str">
        <f>'Actividades del proyecto'!B99</f>
        <v xml:space="preserve">Construcción reservorios </v>
      </c>
      <c r="C111" s="507">
        <f>'Actividades del proyecto'!G99</f>
        <v>134400</v>
      </c>
      <c r="D111" s="508">
        <f>'Actividades del proyecto'!H99</f>
        <v>0</v>
      </c>
      <c r="E111" s="508">
        <f>'Actividades del proyecto'!I99</f>
        <v>57600</v>
      </c>
      <c r="F111" s="467">
        <f t="shared" si="163"/>
        <v>192000</v>
      </c>
      <c r="G111" s="507">
        <f>'Actividades del proyecto'!J99</f>
        <v>111999.99999999999</v>
      </c>
      <c r="H111" s="508">
        <f>'Actividades del proyecto'!K99</f>
        <v>0</v>
      </c>
      <c r="I111" s="508">
        <f>'Actividades del proyecto'!L99</f>
        <v>48000</v>
      </c>
      <c r="J111" s="467">
        <f t="shared" ref="J111" si="166">SUM(G111:I111)</f>
        <v>160000</v>
      </c>
      <c r="K111" s="507">
        <f>'Actividades del proyecto'!M99</f>
        <v>0</v>
      </c>
      <c r="L111" s="508">
        <f>'Actividades del proyecto'!N99</f>
        <v>0</v>
      </c>
      <c r="M111" s="508">
        <f>'Actividades del proyecto'!O99</f>
        <v>0</v>
      </c>
      <c r="N111" s="467">
        <f t="shared" ref="N111" si="167">SUM(K111:M111)</f>
        <v>0</v>
      </c>
      <c r="O111" s="468">
        <f t="shared" ref="O111:O113" si="168">C111+G111+K111</f>
        <v>246400</v>
      </c>
      <c r="P111" s="469">
        <f t="shared" ref="P111:P113" si="169">D111+H111+L111</f>
        <v>0</v>
      </c>
      <c r="Q111" s="469">
        <f t="shared" ref="Q111:Q113" si="170">E111+I111+M111</f>
        <v>105600</v>
      </c>
      <c r="R111" s="467">
        <f t="shared" ref="R111:R113" si="171">SUM(O111:Q111)</f>
        <v>352000</v>
      </c>
      <c r="T111" s="382"/>
      <c r="U111" s="382"/>
    </row>
    <row r="112" spans="2:21">
      <c r="B112" s="387" t="str">
        <f>'Actividades del proyecto'!B100</f>
        <v>Alambre de puas</v>
      </c>
      <c r="C112" s="507">
        <f>'Actividades del proyecto'!G100</f>
        <v>12000</v>
      </c>
      <c r="D112" s="508">
        <f>'Actividades del proyecto'!H100</f>
        <v>0</v>
      </c>
      <c r="E112" s="508">
        <f>'Actividades del proyecto'!I100</f>
        <v>0</v>
      </c>
      <c r="F112" s="467">
        <f t="shared" ref="F112:F113" si="172">SUM(C112:E112)</f>
        <v>12000</v>
      </c>
      <c r="G112" s="507">
        <f>'Actividades del proyecto'!J100</f>
        <v>10000</v>
      </c>
      <c r="H112" s="508">
        <f>'Actividades del proyecto'!K100</f>
        <v>0</v>
      </c>
      <c r="I112" s="508">
        <f>'Actividades del proyecto'!L100</f>
        <v>0</v>
      </c>
      <c r="J112" s="467">
        <f t="shared" ref="J112:J113" si="173">SUM(G112:I112)</f>
        <v>10000</v>
      </c>
      <c r="K112" s="507">
        <f>'Actividades del proyecto'!M100</f>
        <v>0</v>
      </c>
      <c r="L112" s="508">
        <f>'Actividades del proyecto'!N100</f>
        <v>0</v>
      </c>
      <c r="M112" s="508">
        <f>'Actividades del proyecto'!O100</f>
        <v>0</v>
      </c>
      <c r="N112" s="467">
        <f t="shared" ref="N112:N113" si="174">SUM(K112:M112)</f>
        <v>0</v>
      </c>
      <c r="O112" s="468">
        <f t="shared" si="168"/>
        <v>22000</v>
      </c>
      <c r="P112" s="469">
        <f t="shared" si="169"/>
        <v>0</v>
      </c>
      <c r="Q112" s="469">
        <f t="shared" si="170"/>
        <v>0</v>
      </c>
      <c r="R112" s="467">
        <f t="shared" si="171"/>
        <v>22000</v>
      </c>
      <c r="T112" s="382"/>
      <c r="U112" s="382"/>
    </row>
    <row r="113" spans="2:21">
      <c r="B113" s="387" t="str">
        <f>'Actividades del proyecto'!B101</f>
        <v>Bolillos (44 reservorios X 8 bolillos)</v>
      </c>
      <c r="C113" s="507">
        <f>'Actividades del proyecto'!G101</f>
        <v>0</v>
      </c>
      <c r="D113" s="508">
        <f>'Actividades del proyecto'!H101</f>
        <v>0</v>
      </c>
      <c r="E113" s="508">
        <f>'Actividades del proyecto'!I101</f>
        <v>1920</v>
      </c>
      <c r="F113" s="467">
        <f t="shared" si="172"/>
        <v>1920</v>
      </c>
      <c r="G113" s="507">
        <f>'Actividades del proyecto'!J101</f>
        <v>0</v>
      </c>
      <c r="H113" s="508">
        <f>'Actividades del proyecto'!K101</f>
        <v>0</v>
      </c>
      <c r="I113" s="508">
        <f>'Actividades del proyecto'!L101</f>
        <v>1600</v>
      </c>
      <c r="J113" s="467">
        <f t="shared" si="173"/>
        <v>1600</v>
      </c>
      <c r="K113" s="507">
        <f>'Actividades del proyecto'!M101</f>
        <v>0</v>
      </c>
      <c r="L113" s="508">
        <f>'Actividades del proyecto'!N101</f>
        <v>0</v>
      </c>
      <c r="M113" s="508">
        <f>'Actividades del proyecto'!O101</f>
        <v>0</v>
      </c>
      <c r="N113" s="467">
        <f t="shared" si="174"/>
        <v>0</v>
      </c>
      <c r="O113" s="468">
        <f t="shared" si="168"/>
        <v>0</v>
      </c>
      <c r="P113" s="469">
        <f t="shared" si="169"/>
        <v>0</v>
      </c>
      <c r="Q113" s="469">
        <f t="shared" si="170"/>
        <v>3520</v>
      </c>
      <c r="R113" s="467">
        <f t="shared" si="171"/>
        <v>3520</v>
      </c>
      <c r="T113" s="382"/>
      <c r="U113" s="382"/>
    </row>
    <row r="114" spans="2:21" ht="25.5">
      <c r="B114" s="534" t="str">
        <f>'Actividades del proyecto'!B102</f>
        <v>2.5. Instalación y funcionamiento de  filtros comunales de agua para consumo de agua potable</v>
      </c>
      <c r="C114" s="507"/>
      <c r="D114" s="508"/>
      <c r="E114" s="508"/>
      <c r="F114" s="467"/>
      <c r="G114" s="507"/>
      <c r="H114" s="508"/>
      <c r="I114" s="508"/>
      <c r="J114" s="467"/>
      <c r="K114" s="507"/>
      <c r="L114" s="508"/>
      <c r="M114" s="508"/>
      <c r="N114" s="467"/>
      <c r="O114" s="468"/>
      <c r="P114" s="469"/>
      <c r="Q114" s="469"/>
      <c r="R114" s="467"/>
      <c r="T114" s="382"/>
      <c r="U114" s="382"/>
    </row>
    <row r="115" spans="2:21">
      <c r="B115" s="387" t="str">
        <f>'Actividades del proyecto'!B103</f>
        <v>Filtros de agua Marca SAWYER modelo SP 180</v>
      </c>
      <c r="C115" s="507">
        <f>'Actividades del proyecto'!G103</f>
        <v>6000</v>
      </c>
      <c r="D115" s="508">
        <f>'Actividades del proyecto'!H103</f>
        <v>0</v>
      </c>
      <c r="E115" s="508">
        <f>'Actividades del proyecto'!I103</f>
        <v>0</v>
      </c>
      <c r="F115" s="467">
        <f t="shared" ref="F115" si="175">SUM(C115:E115)</f>
        <v>6000</v>
      </c>
      <c r="G115" s="507">
        <f>'Actividades del proyecto'!J103</f>
        <v>5000</v>
      </c>
      <c r="H115" s="508">
        <f>'Actividades del proyecto'!K103</f>
        <v>0</v>
      </c>
      <c r="I115" s="508">
        <f>'Actividades del proyecto'!L103</f>
        <v>0</v>
      </c>
      <c r="J115" s="467">
        <f t="shared" ref="J115" si="176">SUM(G115:I115)</f>
        <v>5000</v>
      </c>
      <c r="K115" s="507">
        <f>'Actividades del proyecto'!M103</f>
        <v>0</v>
      </c>
      <c r="L115" s="508">
        <f>'Actividades del proyecto'!N103</f>
        <v>0</v>
      </c>
      <c r="M115" s="508">
        <f>'Actividades del proyecto'!O103</f>
        <v>0</v>
      </c>
      <c r="N115" s="467">
        <f t="shared" ref="N115" si="177">SUM(K115:M115)</f>
        <v>0</v>
      </c>
      <c r="O115" s="468">
        <f t="shared" ref="O115:O116" si="178">C115+G115+K115</f>
        <v>11000</v>
      </c>
      <c r="P115" s="469">
        <f t="shared" ref="P115:P116" si="179">D115+H115+L115</f>
        <v>0</v>
      </c>
      <c r="Q115" s="469">
        <f t="shared" ref="Q115:Q116" si="180">E115+I115+M115</f>
        <v>0</v>
      </c>
      <c r="R115" s="467">
        <f t="shared" ref="R115:R116" si="181">SUM(O115:Q115)</f>
        <v>11000</v>
      </c>
      <c r="T115" s="382"/>
      <c r="U115" s="382"/>
    </row>
    <row r="116" spans="2:21">
      <c r="B116" s="387" t="str">
        <f>'Actividades del proyecto'!B104</f>
        <v>Bidones de 20 lt.</v>
      </c>
      <c r="C116" s="507">
        <f>'Actividades del proyecto'!G104</f>
        <v>5000</v>
      </c>
      <c r="D116" s="508">
        <f>'Actividades del proyecto'!H104</f>
        <v>0</v>
      </c>
      <c r="E116" s="508">
        <f>'Actividades del proyecto'!I104</f>
        <v>0</v>
      </c>
      <c r="F116" s="467">
        <f t="shared" ref="F116" si="182">SUM(C116:E116)</f>
        <v>5000</v>
      </c>
      <c r="G116" s="507">
        <f>'Actividades del proyecto'!J104</f>
        <v>3750</v>
      </c>
      <c r="H116" s="508">
        <f>'Actividades del proyecto'!K104</f>
        <v>0</v>
      </c>
      <c r="I116" s="508">
        <f>'Actividades del proyecto'!L104</f>
        <v>0</v>
      </c>
      <c r="J116" s="467">
        <f t="shared" ref="J116" si="183">SUM(G116:I116)</f>
        <v>3750</v>
      </c>
      <c r="K116" s="507">
        <f>'Actividades del proyecto'!M104</f>
        <v>0</v>
      </c>
      <c r="L116" s="508">
        <f>'Actividades del proyecto'!N104</f>
        <v>0</v>
      </c>
      <c r="M116" s="508">
        <f>'Actividades del proyecto'!O104</f>
        <v>0</v>
      </c>
      <c r="N116" s="467">
        <f t="shared" ref="N116" si="184">SUM(K116:M116)</f>
        <v>0</v>
      </c>
      <c r="O116" s="468">
        <f t="shared" si="178"/>
        <v>8750</v>
      </c>
      <c r="P116" s="469">
        <f t="shared" si="179"/>
        <v>0</v>
      </c>
      <c r="Q116" s="469">
        <f t="shared" si="180"/>
        <v>0</v>
      </c>
      <c r="R116" s="467">
        <f t="shared" si="181"/>
        <v>8750</v>
      </c>
      <c r="T116" s="382"/>
      <c r="U116" s="382"/>
    </row>
    <row r="117" spans="2:21">
      <c r="B117" s="534" t="str">
        <f>'Actividades del proyecto'!B105</f>
        <v>2.6. Construcción de cocinas mejoradas</v>
      </c>
      <c r="C117" s="507"/>
      <c r="D117" s="508"/>
      <c r="E117" s="508"/>
      <c r="F117" s="467"/>
      <c r="G117" s="507"/>
      <c r="H117" s="508"/>
      <c r="I117" s="508"/>
      <c r="J117" s="467"/>
      <c r="K117" s="507"/>
      <c r="L117" s="508"/>
      <c r="M117" s="508"/>
      <c r="N117" s="467"/>
      <c r="O117" s="468"/>
      <c r="P117" s="469"/>
      <c r="Q117" s="469"/>
      <c r="R117" s="467"/>
      <c r="T117" s="382"/>
      <c r="U117" s="382"/>
    </row>
    <row r="118" spans="2:21">
      <c r="B118" s="387" t="str">
        <f>'Actividades del proyecto'!B106</f>
        <v>Construcción de cocinas mejoradas</v>
      </c>
      <c r="C118" s="507">
        <f>'Actividades del proyecto'!G106</f>
        <v>0</v>
      </c>
      <c r="D118" s="508">
        <f>'Actividades del proyecto'!H106</f>
        <v>0</v>
      </c>
      <c r="E118" s="508">
        <f>'Actividades del proyecto'!I106</f>
        <v>0</v>
      </c>
      <c r="F118" s="467">
        <f t="shared" ref="F118" si="185">SUM(C118:E118)</f>
        <v>0</v>
      </c>
      <c r="G118" s="507">
        <f>'Actividades del proyecto'!J106</f>
        <v>76800</v>
      </c>
      <c r="H118" s="508">
        <f>'Actividades del proyecto'!K106</f>
        <v>0</v>
      </c>
      <c r="I118" s="508">
        <f>'Actividades del proyecto'!L106</f>
        <v>19200</v>
      </c>
      <c r="J118" s="467">
        <f t="shared" ref="J118" si="186">SUM(G118:I118)</f>
        <v>96000</v>
      </c>
      <c r="K118" s="507">
        <f>'Actividades del proyecto'!M106</f>
        <v>64000</v>
      </c>
      <c r="L118" s="508">
        <f>'Actividades del proyecto'!N106</f>
        <v>0</v>
      </c>
      <c r="M118" s="508">
        <f>'Actividades del proyecto'!O106</f>
        <v>16000</v>
      </c>
      <c r="N118" s="467">
        <f t="shared" ref="N118" si="187">SUM(K118:M118)</f>
        <v>80000</v>
      </c>
      <c r="O118" s="468">
        <f t="shared" ref="O118" si="188">C118+G118+K118</f>
        <v>140800</v>
      </c>
      <c r="P118" s="469">
        <f t="shared" ref="P118" si="189">D118+H118+L118</f>
        <v>0</v>
      </c>
      <c r="Q118" s="469">
        <f t="shared" ref="Q118" si="190">E118+I118+M118</f>
        <v>35200</v>
      </c>
      <c r="R118" s="467">
        <f t="shared" ref="R118" si="191">SUM(O118:Q118)</f>
        <v>176000</v>
      </c>
      <c r="T118" s="382"/>
      <c r="U118" s="382"/>
    </row>
    <row r="119" spans="2:21" ht="17.25" customHeight="1">
      <c r="B119" s="534" t="str">
        <f>'Actividades del proyecto'!B107</f>
        <v>2.7. Ferias educativas sobre medio ambiente con unidades educativas</v>
      </c>
      <c r="C119" s="507"/>
      <c r="D119" s="508"/>
      <c r="E119" s="508"/>
      <c r="F119" s="467"/>
      <c r="G119" s="507"/>
      <c r="H119" s="508"/>
      <c r="I119" s="508"/>
      <c r="J119" s="467"/>
      <c r="K119" s="507"/>
      <c r="L119" s="508"/>
      <c r="M119" s="508"/>
      <c r="N119" s="467"/>
      <c r="O119" s="468"/>
      <c r="P119" s="469"/>
      <c r="Q119" s="469"/>
      <c r="R119" s="467"/>
      <c r="T119" s="382"/>
      <c r="U119" s="382"/>
    </row>
    <row r="120" spans="2:21">
      <c r="B120" s="387" t="str">
        <f>'Actividades del proyecto'!B108</f>
        <v>Material de difusión, afiches, trípticos y otros (9 ferias)</v>
      </c>
      <c r="C120" s="507">
        <f>'Actividades del proyecto'!G108</f>
        <v>2400</v>
      </c>
      <c r="D120" s="508">
        <f>'Actividades del proyecto'!H108</f>
        <v>0</v>
      </c>
      <c r="E120" s="508">
        <f>'Actividades del proyecto'!I108</f>
        <v>0</v>
      </c>
      <c r="F120" s="467">
        <f t="shared" ref="F120" si="192">SUM(C120:E120)</f>
        <v>2400</v>
      </c>
      <c r="G120" s="507">
        <f>'Actividades del proyecto'!J108</f>
        <v>2400</v>
      </c>
      <c r="H120" s="508">
        <f>'Actividades del proyecto'!K108</f>
        <v>0</v>
      </c>
      <c r="I120" s="508">
        <f>'Actividades del proyecto'!L108</f>
        <v>0</v>
      </c>
      <c r="J120" s="467">
        <f t="shared" ref="J120" si="193">SUM(G120:I120)</f>
        <v>2400</v>
      </c>
      <c r="K120" s="507">
        <f>'Actividades del proyecto'!M108</f>
        <v>2400</v>
      </c>
      <c r="L120" s="508">
        <f>'Actividades del proyecto'!N108</f>
        <v>0</v>
      </c>
      <c r="M120" s="508">
        <f>'Actividades del proyecto'!O108</f>
        <v>0</v>
      </c>
      <c r="N120" s="467">
        <f t="shared" ref="N120" si="194">SUM(K120:M120)</f>
        <v>2400</v>
      </c>
      <c r="O120" s="468">
        <f t="shared" ref="O120" si="195">C120+G120+K120</f>
        <v>7200</v>
      </c>
      <c r="P120" s="469">
        <f t="shared" ref="P120" si="196">D120+H120+L120</f>
        <v>0</v>
      </c>
      <c r="Q120" s="469">
        <f t="shared" ref="Q120" si="197">E120+I120+M120</f>
        <v>0</v>
      </c>
      <c r="R120" s="467">
        <f t="shared" ref="R120" si="198">SUM(O120:Q120)</f>
        <v>7200</v>
      </c>
      <c r="T120" s="382"/>
      <c r="U120" s="382"/>
    </row>
    <row r="121" spans="2:21">
      <c r="B121" s="387" t="str">
        <f>'Actividades del proyecto'!B109</f>
        <v>Amplificación</v>
      </c>
      <c r="C121" s="507">
        <f>'Actividades del proyecto'!G109</f>
        <v>1200</v>
      </c>
      <c r="D121" s="508">
        <f>'Actividades del proyecto'!H109</f>
        <v>0</v>
      </c>
      <c r="E121" s="508">
        <f>'Actividades del proyecto'!I109</f>
        <v>0</v>
      </c>
      <c r="F121" s="467">
        <f t="shared" ref="F121:F122" si="199">SUM(C121:E121)</f>
        <v>1200</v>
      </c>
      <c r="G121" s="507">
        <f>'Actividades del proyecto'!J109</f>
        <v>1200</v>
      </c>
      <c r="H121" s="508">
        <f>'Actividades del proyecto'!K109</f>
        <v>0</v>
      </c>
      <c r="I121" s="508">
        <f>'Actividades del proyecto'!L109</f>
        <v>0</v>
      </c>
      <c r="J121" s="467">
        <f t="shared" ref="J121:J122" si="200">SUM(G121:I121)</f>
        <v>1200</v>
      </c>
      <c r="K121" s="507">
        <f>'Actividades del proyecto'!M109</f>
        <v>1200</v>
      </c>
      <c r="L121" s="508">
        <f>'Actividades del proyecto'!N109</f>
        <v>0</v>
      </c>
      <c r="M121" s="508">
        <f>'Actividades del proyecto'!O109</f>
        <v>0</v>
      </c>
      <c r="N121" s="467">
        <f t="shared" ref="N121:N122" si="201">SUM(K121:M121)</f>
        <v>1200</v>
      </c>
      <c r="O121" s="468">
        <f t="shared" ref="O121:O122" si="202">C121+G121+K121</f>
        <v>3600</v>
      </c>
      <c r="P121" s="469">
        <f t="shared" ref="P121:P122" si="203">D121+H121+L121</f>
        <v>0</v>
      </c>
      <c r="Q121" s="469">
        <f t="shared" ref="Q121:Q122" si="204">E121+I121+M121</f>
        <v>0</v>
      </c>
      <c r="R121" s="467">
        <f t="shared" ref="R121:R122" si="205">SUM(O121:Q121)</f>
        <v>3600</v>
      </c>
      <c r="T121" s="382"/>
      <c r="U121" s="382"/>
    </row>
    <row r="122" spans="2:21">
      <c r="B122" s="387" t="str">
        <f>'Actividades del proyecto'!B110</f>
        <v>Incentivos  (material escolar y educativo)</v>
      </c>
      <c r="C122" s="507">
        <f>'Actividades del proyecto'!G110</f>
        <v>6000</v>
      </c>
      <c r="D122" s="508">
        <f>'Actividades del proyecto'!H110</f>
        <v>0</v>
      </c>
      <c r="E122" s="508">
        <f>'Actividades del proyecto'!I110</f>
        <v>0</v>
      </c>
      <c r="F122" s="467">
        <f t="shared" si="199"/>
        <v>6000</v>
      </c>
      <c r="G122" s="507">
        <f>'Actividades del proyecto'!J110</f>
        <v>6000</v>
      </c>
      <c r="H122" s="508">
        <f>'Actividades del proyecto'!K110</f>
        <v>0</v>
      </c>
      <c r="I122" s="508">
        <f>'Actividades del proyecto'!L110</f>
        <v>0</v>
      </c>
      <c r="J122" s="467">
        <f t="shared" si="200"/>
        <v>6000</v>
      </c>
      <c r="K122" s="507">
        <f>'Actividades del proyecto'!M110</f>
        <v>6000</v>
      </c>
      <c r="L122" s="508">
        <f>'Actividades del proyecto'!N110</f>
        <v>0</v>
      </c>
      <c r="M122" s="508">
        <f>'Actividades del proyecto'!O110</f>
        <v>0</v>
      </c>
      <c r="N122" s="467">
        <f t="shared" si="201"/>
        <v>6000</v>
      </c>
      <c r="O122" s="468">
        <f t="shared" si="202"/>
        <v>18000</v>
      </c>
      <c r="P122" s="469">
        <f t="shared" si="203"/>
        <v>0</v>
      </c>
      <c r="Q122" s="469">
        <f t="shared" si="204"/>
        <v>0</v>
      </c>
      <c r="R122" s="467">
        <f t="shared" si="205"/>
        <v>18000</v>
      </c>
      <c r="T122" s="382"/>
      <c r="U122" s="382"/>
    </row>
    <row r="123" spans="2:21">
      <c r="B123" s="502" t="s">
        <v>66</v>
      </c>
      <c r="C123" s="507"/>
      <c r="D123" s="508"/>
      <c r="E123" s="508"/>
      <c r="F123" s="509"/>
      <c r="G123" s="507"/>
      <c r="H123" s="508"/>
      <c r="I123" s="508"/>
      <c r="J123" s="509"/>
      <c r="K123" s="507"/>
      <c r="L123" s="508"/>
      <c r="M123" s="508"/>
      <c r="N123" s="509"/>
      <c r="O123" s="507"/>
      <c r="P123" s="508"/>
      <c r="Q123" s="508"/>
      <c r="R123" s="509"/>
      <c r="T123" s="382"/>
      <c r="U123" s="382"/>
    </row>
    <row r="124" spans="2:21" ht="25.5">
      <c r="B124" s="537" t="str">
        <f>'Actividades del proyecto'!B123</f>
        <v>3.1. Diagnóstico de la economía de los  cuidados y talleres de retroalimentación</v>
      </c>
      <c r="C124" s="507"/>
      <c r="D124" s="508"/>
      <c r="E124" s="508"/>
      <c r="F124" s="509"/>
      <c r="G124" s="507"/>
      <c r="H124" s="508"/>
      <c r="I124" s="508"/>
      <c r="J124" s="509"/>
      <c r="K124" s="507"/>
      <c r="L124" s="508"/>
      <c r="M124" s="508"/>
      <c r="N124" s="509"/>
      <c r="O124" s="507"/>
      <c r="P124" s="508"/>
      <c r="Q124" s="508"/>
      <c r="R124" s="509"/>
      <c r="T124" s="382"/>
      <c r="U124" s="382"/>
    </row>
    <row r="125" spans="2:21">
      <c r="B125" s="472" t="str">
        <f>'Actividades del proyecto'!B124</f>
        <v>Honorarios profesionales.</v>
      </c>
      <c r="C125" s="507">
        <f>'Actividades del proyecto'!G124</f>
        <v>17400</v>
      </c>
      <c r="D125" s="508">
        <f>'Actividades del proyecto'!H124</f>
        <v>0</v>
      </c>
      <c r="E125" s="508">
        <f>'Actividades del proyecto'!I124</f>
        <v>0</v>
      </c>
      <c r="F125" s="467">
        <f t="shared" ref="F125" si="206">SUM(C125:E125)</f>
        <v>17400</v>
      </c>
      <c r="G125" s="507">
        <f>'Actividades del proyecto'!J124</f>
        <v>0</v>
      </c>
      <c r="H125" s="508">
        <f>'Actividades del proyecto'!K124</f>
        <v>0</v>
      </c>
      <c r="I125" s="508">
        <f>'Actividades del proyecto'!L124</f>
        <v>0</v>
      </c>
      <c r="J125" s="467">
        <f t="shared" ref="J125" si="207">SUM(G125:I125)</f>
        <v>0</v>
      </c>
      <c r="K125" s="507">
        <f>'Actividades del proyecto'!M124</f>
        <v>0</v>
      </c>
      <c r="L125" s="508">
        <f>'Actividades del proyecto'!N124</f>
        <v>0</v>
      </c>
      <c r="M125" s="508">
        <f>'Actividades del proyecto'!O124</f>
        <v>0</v>
      </c>
      <c r="N125" s="467">
        <f t="shared" ref="N125" si="208">SUM(K125:M125)</f>
        <v>0</v>
      </c>
      <c r="O125" s="468">
        <f t="shared" ref="O125" si="209">C125+G125+K125</f>
        <v>17400</v>
      </c>
      <c r="P125" s="469">
        <f t="shared" ref="P125" si="210">D125+H125+L125</f>
        <v>0</v>
      </c>
      <c r="Q125" s="469">
        <f t="shared" ref="Q125" si="211">E125+I125+M125</f>
        <v>0</v>
      </c>
      <c r="R125" s="467">
        <f t="shared" ref="R125" si="212">SUM(O125:Q125)</f>
        <v>17400</v>
      </c>
      <c r="T125" s="382"/>
      <c r="U125" s="382"/>
    </row>
    <row r="126" spans="2:21">
      <c r="B126" s="472" t="str">
        <f>'Actividades del proyecto'!B125</f>
        <v>Material de escritorio</v>
      </c>
      <c r="C126" s="507">
        <f>'Actividades del proyecto'!G125</f>
        <v>1000</v>
      </c>
      <c r="D126" s="508">
        <f>'Actividades del proyecto'!H125</f>
        <v>0</v>
      </c>
      <c r="E126" s="508">
        <f>'Actividades del proyecto'!I125</f>
        <v>0</v>
      </c>
      <c r="F126" s="467">
        <f t="shared" ref="F126:F129" si="213">SUM(C126:E126)</f>
        <v>1000</v>
      </c>
      <c r="G126" s="507">
        <f>'Actividades del proyecto'!J125</f>
        <v>0</v>
      </c>
      <c r="H126" s="508">
        <f>'Actividades del proyecto'!K125</f>
        <v>0</v>
      </c>
      <c r="I126" s="508">
        <f>'Actividades del proyecto'!L125</f>
        <v>0</v>
      </c>
      <c r="J126" s="467">
        <f t="shared" ref="J126:J127" si="214">SUM(G126:I126)</f>
        <v>0</v>
      </c>
      <c r="K126" s="507">
        <f>'Actividades del proyecto'!M125</f>
        <v>0</v>
      </c>
      <c r="L126" s="508">
        <f>'Actividades del proyecto'!N125</f>
        <v>0</v>
      </c>
      <c r="M126" s="508">
        <f>'Actividades del proyecto'!O125</f>
        <v>0</v>
      </c>
      <c r="N126" s="467">
        <f t="shared" ref="N126:N127" si="215">SUM(K126:M126)</f>
        <v>0</v>
      </c>
      <c r="O126" s="468">
        <f t="shared" ref="O126:O127" si="216">C126+G126+K126</f>
        <v>1000</v>
      </c>
      <c r="P126" s="469">
        <f t="shared" ref="P126:P127" si="217">D126+H126+L126</f>
        <v>0</v>
      </c>
      <c r="Q126" s="469">
        <f t="shared" ref="Q126:Q127" si="218">E126+I126+M126</f>
        <v>0</v>
      </c>
      <c r="R126" s="467">
        <f t="shared" ref="R126:R127" si="219">SUM(O126:Q126)</f>
        <v>1000</v>
      </c>
      <c r="T126" s="382"/>
      <c r="U126" s="382"/>
    </row>
    <row r="127" spans="2:21" ht="25.5">
      <c r="B127" s="472" t="str">
        <f>'Actividades del proyecto'!B126</f>
        <v>Alimentación talleres de corresponsabiliad (4 talleres sub centralías  x 25 part x 20 Bs.)</v>
      </c>
      <c r="C127" s="507">
        <f>'Actividades del proyecto'!G126</f>
        <v>2000</v>
      </c>
      <c r="D127" s="508">
        <f>'Actividades del proyecto'!H126</f>
        <v>0</v>
      </c>
      <c r="E127" s="508">
        <f>'Actividades del proyecto'!I126</f>
        <v>0</v>
      </c>
      <c r="F127" s="467">
        <f t="shared" si="213"/>
        <v>2000</v>
      </c>
      <c r="G127" s="507">
        <f>'Actividades del proyecto'!J126</f>
        <v>0</v>
      </c>
      <c r="H127" s="508">
        <f>'Actividades del proyecto'!K126</f>
        <v>0</v>
      </c>
      <c r="I127" s="508">
        <f>'Actividades del proyecto'!L126</f>
        <v>0</v>
      </c>
      <c r="J127" s="467">
        <f t="shared" si="214"/>
        <v>0</v>
      </c>
      <c r="K127" s="507">
        <f>'Actividades del proyecto'!M126</f>
        <v>0</v>
      </c>
      <c r="L127" s="508">
        <f>'Actividades del proyecto'!N126</f>
        <v>0</v>
      </c>
      <c r="M127" s="508">
        <f>'Actividades del proyecto'!O126</f>
        <v>0</v>
      </c>
      <c r="N127" s="467">
        <f t="shared" si="215"/>
        <v>0</v>
      </c>
      <c r="O127" s="468">
        <f t="shared" si="216"/>
        <v>2000</v>
      </c>
      <c r="P127" s="469">
        <f t="shared" si="217"/>
        <v>0</v>
      </c>
      <c r="Q127" s="469">
        <f t="shared" si="218"/>
        <v>0</v>
      </c>
      <c r="R127" s="467">
        <f t="shared" si="219"/>
        <v>2000</v>
      </c>
      <c r="T127" s="382"/>
      <c r="U127" s="382"/>
    </row>
    <row r="128" spans="2:21" ht="38.25">
      <c r="B128" s="538" t="str">
        <f>'Actividades del proyecto'!B127</f>
        <v>3.2. Talleres de capacitación a mujeres y hombres en educación alimentaria nutricional (PROGRAMA PEAN) con perspectiva de Género</v>
      </c>
      <c r="C128" s="507"/>
      <c r="D128" s="508"/>
      <c r="E128" s="508"/>
      <c r="F128" s="509"/>
      <c r="G128" s="507"/>
      <c r="H128" s="508"/>
      <c r="I128" s="508"/>
      <c r="J128" s="509"/>
      <c r="K128" s="507"/>
      <c r="L128" s="508"/>
      <c r="M128" s="508"/>
      <c r="N128" s="509"/>
      <c r="O128" s="507"/>
      <c r="P128" s="508"/>
      <c r="Q128" s="508"/>
      <c r="R128" s="509"/>
      <c r="T128" s="382"/>
      <c r="U128" s="382"/>
    </row>
    <row r="129" spans="2:21">
      <c r="B129" s="388" t="str">
        <f>'Actividades del proyecto'!B128</f>
        <v>Actualización del material educativo (honorarios)</v>
      </c>
      <c r="C129" s="507">
        <f>'Actividades del proyecto'!G128</f>
        <v>0</v>
      </c>
      <c r="D129" s="508">
        <f>'Actividades del proyecto'!H128</f>
        <v>12000</v>
      </c>
      <c r="E129" s="508">
        <f>'Actividades del proyecto'!I128</f>
        <v>0</v>
      </c>
      <c r="F129" s="467">
        <f t="shared" si="213"/>
        <v>12000</v>
      </c>
      <c r="G129" s="507">
        <f>'Actividades del proyecto'!J128</f>
        <v>0</v>
      </c>
      <c r="H129" s="508">
        <f>'Actividades del proyecto'!K128</f>
        <v>0</v>
      </c>
      <c r="I129" s="508">
        <f>'Actividades del proyecto'!L128</f>
        <v>0</v>
      </c>
      <c r="J129" s="467">
        <f t="shared" ref="J129" si="220">SUM(G129:I129)</f>
        <v>0</v>
      </c>
      <c r="K129" s="507">
        <f>'Actividades del proyecto'!M128</f>
        <v>0</v>
      </c>
      <c r="L129" s="508">
        <f>'Actividades del proyecto'!N128</f>
        <v>0</v>
      </c>
      <c r="M129" s="508">
        <f>'Actividades del proyecto'!O128</f>
        <v>0</v>
      </c>
      <c r="N129" s="467">
        <f t="shared" ref="N129" si="221">SUM(K129:M129)</f>
        <v>0</v>
      </c>
      <c r="O129" s="468">
        <f t="shared" ref="O129" si="222">C129+G129+K129</f>
        <v>0</v>
      </c>
      <c r="P129" s="469">
        <f t="shared" ref="P129" si="223">D129+H129+L129</f>
        <v>12000</v>
      </c>
      <c r="Q129" s="469">
        <f t="shared" ref="Q129" si="224">E129+I129+M129</f>
        <v>0</v>
      </c>
      <c r="R129" s="467">
        <f t="shared" ref="R129" si="225">SUM(O129:Q129)</f>
        <v>12000</v>
      </c>
      <c r="T129" s="382"/>
      <c r="U129" s="382"/>
    </row>
    <row r="130" spans="2:21">
      <c r="B130" s="388" t="str">
        <f>'Actividades del proyecto'!B129</f>
        <v xml:space="preserve">Impresión material educativo </v>
      </c>
      <c r="C130" s="507">
        <f>'Actividades del proyecto'!G129</f>
        <v>5000</v>
      </c>
      <c r="D130" s="508">
        <f>'Actividades del proyecto'!H129</f>
        <v>0</v>
      </c>
      <c r="E130" s="508">
        <f>'Actividades del proyecto'!I129</f>
        <v>0</v>
      </c>
      <c r="F130" s="467">
        <f t="shared" ref="F130:F137" si="226">SUM(C130:E130)</f>
        <v>5000</v>
      </c>
      <c r="G130" s="507">
        <f>'Actividades del proyecto'!J129</f>
        <v>0</v>
      </c>
      <c r="H130" s="508">
        <f>'Actividades del proyecto'!K129</f>
        <v>0</v>
      </c>
      <c r="I130" s="508">
        <f>'Actividades del proyecto'!L129</f>
        <v>0</v>
      </c>
      <c r="J130" s="467">
        <f t="shared" ref="J130:J133" si="227">SUM(G130:I130)</f>
        <v>0</v>
      </c>
      <c r="K130" s="507">
        <f>'Actividades del proyecto'!M129</f>
        <v>0</v>
      </c>
      <c r="L130" s="508">
        <f>'Actividades del proyecto'!N129</f>
        <v>0</v>
      </c>
      <c r="M130" s="508">
        <f>'Actividades del proyecto'!O129</f>
        <v>0</v>
      </c>
      <c r="N130" s="467">
        <f t="shared" ref="N130:N133" si="228">SUM(K130:M130)</f>
        <v>0</v>
      </c>
      <c r="O130" s="468">
        <f t="shared" ref="O130:O133" si="229">C130+G130+K130</f>
        <v>5000</v>
      </c>
      <c r="P130" s="469">
        <f t="shared" ref="P130:P133" si="230">D130+H130+L130</f>
        <v>0</v>
      </c>
      <c r="Q130" s="469">
        <f t="shared" ref="Q130:Q133" si="231">E130+I130+M130</f>
        <v>0</v>
      </c>
      <c r="R130" s="467">
        <f t="shared" ref="R130:R133" si="232">SUM(O130:Q130)</f>
        <v>5000</v>
      </c>
      <c r="T130" s="382"/>
      <c r="U130" s="382"/>
    </row>
    <row r="131" spans="2:21" ht="25.5">
      <c r="B131" s="388" t="str">
        <f>'Actividades del proyecto'!B130</f>
        <v>Alimentación capacitación educación alimentaria nutricional  (8 talleres x 4 subcentralias x 30 part x 20 Bs.)</v>
      </c>
      <c r="C131" s="507">
        <f>'Actividades del proyecto'!G130</f>
        <v>8640</v>
      </c>
      <c r="D131" s="508">
        <f>'Actividades del proyecto'!H130</f>
        <v>0</v>
      </c>
      <c r="E131" s="508">
        <f>'Actividades del proyecto'!I130</f>
        <v>960.00000000000011</v>
      </c>
      <c r="F131" s="467">
        <f t="shared" si="226"/>
        <v>9600</v>
      </c>
      <c r="G131" s="507">
        <f>'Actividades del proyecto'!J130</f>
        <v>8640</v>
      </c>
      <c r="H131" s="508">
        <f>'Actividades del proyecto'!K130</f>
        <v>0</v>
      </c>
      <c r="I131" s="508">
        <f>'Actividades del proyecto'!L130</f>
        <v>960.00000000000011</v>
      </c>
      <c r="J131" s="467">
        <f t="shared" si="227"/>
        <v>9600</v>
      </c>
      <c r="K131" s="507">
        <f>'Actividades del proyecto'!M130</f>
        <v>0</v>
      </c>
      <c r="L131" s="508">
        <f>'Actividades del proyecto'!N130</f>
        <v>0</v>
      </c>
      <c r="M131" s="508">
        <f>'Actividades del proyecto'!O130</f>
        <v>0</v>
      </c>
      <c r="N131" s="467">
        <f t="shared" si="228"/>
        <v>0</v>
      </c>
      <c r="O131" s="468">
        <f t="shared" si="229"/>
        <v>17280</v>
      </c>
      <c r="P131" s="469">
        <f t="shared" si="230"/>
        <v>0</v>
      </c>
      <c r="Q131" s="469">
        <f t="shared" si="231"/>
        <v>1920.0000000000002</v>
      </c>
      <c r="R131" s="467">
        <f t="shared" si="232"/>
        <v>19200</v>
      </c>
      <c r="T131" s="382"/>
      <c r="U131" s="382"/>
    </row>
    <row r="132" spans="2:21">
      <c r="B132" s="388" t="str">
        <f>'Actividades del proyecto'!B131</f>
        <v xml:space="preserve">Material de enseñanza y escritorio  </v>
      </c>
      <c r="C132" s="507">
        <f>'Actividades del proyecto'!G131</f>
        <v>1000</v>
      </c>
      <c r="D132" s="508">
        <f>'Actividades del proyecto'!H131</f>
        <v>0</v>
      </c>
      <c r="E132" s="508">
        <f>'Actividades del proyecto'!I131</f>
        <v>0</v>
      </c>
      <c r="F132" s="467">
        <f t="shared" si="226"/>
        <v>1000</v>
      </c>
      <c r="G132" s="507">
        <f>'Actividades del proyecto'!J131</f>
        <v>1000</v>
      </c>
      <c r="H132" s="508">
        <f>'Actividades del proyecto'!K131</f>
        <v>0</v>
      </c>
      <c r="I132" s="508">
        <f>'Actividades del proyecto'!L131</f>
        <v>0</v>
      </c>
      <c r="J132" s="467">
        <f t="shared" si="227"/>
        <v>1000</v>
      </c>
      <c r="K132" s="507">
        <f>'Actividades del proyecto'!M131</f>
        <v>0</v>
      </c>
      <c r="L132" s="508">
        <f>'Actividades del proyecto'!N131</f>
        <v>0</v>
      </c>
      <c r="M132" s="508">
        <f>'Actividades del proyecto'!O131</f>
        <v>0</v>
      </c>
      <c r="N132" s="467">
        <f t="shared" si="228"/>
        <v>0</v>
      </c>
      <c r="O132" s="468">
        <f t="shared" si="229"/>
        <v>2000</v>
      </c>
      <c r="P132" s="469">
        <f t="shared" si="230"/>
        <v>0</v>
      </c>
      <c r="Q132" s="469">
        <f t="shared" si="231"/>
        <v>0</v>
      </c>
      <c r="R132" s="467">
        <f t="shared" si="232"/>
        <v>2000</v>
      </c>
      <c r="T132" s="382"/>
      <c r="U132" s="382"/>
    </row>
    <row r="133" spans="2:21">
      <c r="B133" s="388" t="str">
        <f>'Actividades del proyecto'!B132</f>
        <v>Videos, fotografias y otro material educativo</v>
      </c>
      <c r="C133" s="507">
        <f>'Actividades del proyecto'!G132</f>
        <v>1000</v>
      </c>
      <c r="D133" s="508">
        <f>'Actividades del proyecto'!H132</f>
        <v>0</v>
      </c>
      <c r="E133" s="508">
        <f>'Actividades del proyecto'!I132</f>
        <v>0</v>
      </c>
      <c r="F133" s="467">
        <f t="shared" si="226"/>
        <v>1000</v>
      </c>
      <c r="G133" s="507">
        <f>'Actividades del proyecto'!J132</f>
        <v>0</v>
      </c>
      <c r="H133" s="508">
        <f>'Actividades del proyecto'!K132</f>
        <v>0</v>
      </c>
      <c r="I133" s="508">
        <f>'Actividades del proyecto'!L132</f>
        <v>0</v>
      </c>
      <c r="J133" s="467">
        <f t="shared" si="227"/>
        <v>0</v>
      </c>
      <c r="K133" s="507">
        <f>'Actividades del proyecto'!M132</f>
        <v>0</v>
      </c>
      <c r="L133" s="508">
        <f>'Actividades del proyecto'!N132</f>
        <v>0</v>
      </c>
      <c r="M133" s="508">
        <f>'Actividades del proyecto'!O132</f>
        <v>0</v>
      </c>
      <c r="N133" s="467">
        <f t="shared" si="228"/>
        <v>0</v>
      </c>
      <c r="O133" s="468">
        <f t="shared" si="229"/>
        <v>1000</v>
      </c>
      <c r="P133" s="469">
        <f t="shared" si="230"/>
        <v>0</v>
      </c>
      <c r="Q133" s="469">
        <f t="shared" si="231"/>
        <v>0</v>
      </c>
      <c r="R133" s="467">
        <f t="shared" si="232"/>
        <v>1000</v>
      </c>
      <c r="T133" s="382"/>
      <c r="U133" s="382"/>
    </row>
    <row r="134" spans="2:21" ht="25.5">
      <c r="B134" s="534" t="str">
        <f>'Actividades del proyecto'!B133</f>
        <v>3.3. Prácticas alimentarias para diversificar la dieta con alto valor nutritivo de las familias</v>
      </c>
      <c r="C134" s="507"/>
      <c r="D134" s="508"/>
      <c r="E134" s="508"/>
      <c r="F134" s="509"/>
      <c r="G134" s="507"/>
      <c r="H134" s="508"/>
      <c r="I134" s="508"/>
      <c r="J134" s="509"/>
      <c r="K134" s="507"/>
      <c r="L134" s="508"/>
      <c r="M134" s="508"/>
      <c r="N134" s="509"/>
      <c r="O134" s="507"/>
      <c r="P134" s="508"/>
      <c r="Q134" s="508"/>
      <c r="R134" s="509"/>
      <c r="T134" s="382"/>
      <c r="U134" s="382"/>
    </row>
    <row r="135" spans="2:21">
      <c r="B135" s="387" t="str">
        <f>'Actividades del proyecto'!B134</f>
        <v>Insumos alimentarios</v>
      </c>
      <c r="C135" s="507">
        <f>'Actividades del proyecto'!G134</f>
        <v>7680</v>
      </c>
      <c r="D135" s="508">
        <f>'Actividades del proyecto'!H134</f>
        <v>0</v>
      </c>
      <c r="E135" s="508">
        <f>'Actividades del proyecto'!I134</f>
        <v>1920</v>
      </c>
      <c r="F135" s="467">
        <f t="shared" si="226"/>
        <v>9600</v>
      </c>
      <c r="G135" s="507">
        <f>'Actividades del proyecto'!J134</f>
        <v>7680</v>
      </c>
      <c r="H135" s="508">
        <f>'Actividades del proyecto'!K134</f>
        <v>0</v>
      </c>
      <c r="I135" s="508">
        <f>'Actividades del proyecto'!L134</f>
        <v>1920</v>
      </c>
      <c r="J135" s="467">
        <f t="shared" ref="J135" si="233">SUM(G135:I135)</f>
        <v>9600</v>
      </c>
      <c r="K135" s="507">
        <f>'Actividades del proyecto'!M134</f>
        <v>7680</v>
      </c>
      <c r="L135" s="508">
        <f>'Actividades del proyecto'!N134</f>
        <v>0</v>
      </c>
      <c r="M135" s="508">
        <f>'Actividades del proyecto'!O134</f>
        <v>1920</v>
      </c>
      <c r="N135" s="467">
        <f t="shared" ref="N135" si="234">SUM(K135:M135)</f>
        <v>9600</v>
      </c>
      <c r="O135" s="468">
        <f t="shared" ref="O135" si="235">C135+G135+K135</f>
        <v>23040</v>
      </c>
      <c r="P135" s="469">
        <f t="shared" ref="P135" si="236">D135+H135+L135</f>
        <v>0</v>
      </c>
      <c r="Q135" s="469">
        <f t="shared" ref="Q135" si="237">E135+I135+M135</f>
        <v>5760</v>
      </c>
      <c r="R135" s="467">
        <f t="shared" ref="R135" si="238">SUM(O135:Q135)</f>
        <v>28800</v>
      </c>
      <c r="T135" s="382"/>
      <c r="U135" s="382"/>
    </row>
    <row r="136" spans="2:21" ht="38.25">
      <c r="B136" s="534" t="str">
        <f>'Actividades del proyecto'!B135</f>
        <v>3.4. Ferias nutricionales para demostrar las propiedades nutricionales de la diversificación en la producción agrícola y degustar preparaciones alimentarias nutritivas</v>
      </c>
      <c r="C136" s="507"/>
      <c r="D136" s="508"/>
      <c r="E136" s="508"/>
      <c r="F136" s="467"/>
      <c r="G136" s="507"/>
      <c r="H136" s="508"/>
      <c r="I136" s="508"/>
      <c r="J136" s="467"/>
      <c r="K136" s="507"/>
      <c r="L136" s="508"/>
      <c r="M136" s="508"/>
      <c r="N136" s="467"/>
      <c r="O136" s="468"/>
      <c r="P136" s="469"/>
      <c r="Q136" s="469"/>
      <c r="R136" s="467"/>
      <c r="T136" s="382"/>
      <c r="U136" s="382"/>
    </row>
    <row r="137" spans="2:21">
      <c r="B137" s="387" t="str">
        <f>'Actividades del proyecto'!B136</f>
        <v>Material de difusión, afiches, trípticos y otros (12 ferias)</v>
      </c>
      <c r="C137" s="507">
        <f>'Actividades del proyecto'!G136</f>
        <v>3200</v>
      </c>
      <c r="D137" s="508">
        <f>'Actividades del proyecto'!H136</f>
        <v>0</v>
      </c>
      <c r="E137" s="508">
        <f>'Actividades del proyecto'!I136</f>
        <v>0</v>
      </c>
      <c r="F137" s="467">
        <f t="shared" si="226"/>
        <v>3200</v>
      </c>
      <c r="G137" s="507">
        <f>'Actividades del proyecto'!J136</f>
        <v>3200</v>
      </c>
      <c r="H137" s="508">
        <f>'Actividades del proyecto'!K136</f>
        <v>0</v>
      </c>
      <c r="I137" s="508">
        <f>'Actividades del proyecto'!L136</f>
        <v>0</v>
      </c>
      <c r="J137" s="467">
        <f t="shared" ref="J137" si="239">SUM(G137:I137)</f>
        <v>3200</v>
      </c>
      <c r="K137" s="507">
        <f>'Actividades del proyecto'!M136</f>
        <v>3200</v>
      </c>
      <c r="L137" s="508">
        <f>'Actividades del proyecto'!N136</f>
        <v>0</v>
      </c>
      <c r="M137" s="508">
        <f>'Actividades del proyecto'!O136</f>
        <v>0</v>
      </c>
      <c r="N137" s="467">
        <f t="shared" ref="N137" si="240">SUM(K137:M137)</f>
        <v>3200</v>
      </c>
      <c r="O137" s="468">
        <f t="shared" ref="O137" si="241">C137+G137+K137</f>
        <v>9600</v>
      </c>
      <c r="P137" s="469">
        <f t="shared" ref="P137" si="242">D137+H137+L137</f>
        <v>0</v>
      </c>
      <c r="Q137" s="469">
        <f t="shared" ref="Q137" si="243">E137+I137+M137</f>
        <v>0</v>
      </c>
      <c r="R137" s="467">
        <f t="shared" ref="R137" si="244">SUM(O137:Q137)</f>
        <v>9600</v>
      </c>
      <c r="T137" s="382"/>
      <c r="U137" s="382"/>
    </row>
    <row r="138" spans="2:21">
      <c r="B138" s="387" t="str">
        <f>'Actividades del proyecto'!B137</f>
        <v>Amplificación</v>
      </c>
      <c r="C138" s="507">
        <f>'Actividades del proyecto'!G137</f>
        <v>1600</v>
      </c>
      <c r="D138" s="508">
        <f>'Actividades del proyecto'!H137</f>
        <v>0</v>
      </c>
      <c r="E138" s="508">
        <f>'Actividades del proyecto'!I137</f>
        <v>0</v>
      </c>
      <c r="F138" s="467">
        <f t="shared" ref="F138:F140" si="245">SUM(C138:E138)</f>
        <v>1600</v>
      </c>
      <c r="G138" s="507">
        <f>'Actividades del proyecto'!J137</f>
        <v>1600</v>
      </c>
      <c r="H138" s="508">
        <f>'Actividades del proyecto'!K137</f>
        <v>0</v>
      </c>
      <c r="I138" s="508">
        <f>'Actividades del proyecto'!L137</f>
        <v>0</v>
      </c>
      <c r="J138" s="467">
        <f t="shared" ref="J138:J140" si="246">SUM(G138:I138)</f>
        <v>1600</v>
      </c>
      <c r="K138" s="507">
        <f>'Actividades del proyecto'!M137</f>
        <v>1600</v>
      </c>
      <c r="L138" s="508">
        <f>'Actividades del proyecto'!N137</f>
        <v>0</v>
      </c>
      <c r="M138" s="508">
        <f>'Actividades del proyecto'!O137</f>
        <v>0</v>
      </c>
      <c r="N138" s="467">
        <f t="shared" ref="N138:N140" si="247">SUM(K138:M138)</f>
        <v>1600</v>
      </c>
      <c r="O138" s="468">
        <f t="shared" ref="O138:O140" si="248">C138+G138+K138</f>
        <v>4800</v>
      </c>
      <c r="P138" s="469">
        <f t="shared" ref="P138:P140" si="249">D138+H138+L138</f>
        <v>0</v>
      </c>
      <c r="Q138" s="469">
        <f t="shared" ref="Q138:Q140" si="250">E138+I138+M138</f>
        <v>0</v>
      </c>
      <c r="R138" s="467">
        <f t="shared" ref="R138:R140" si="251">SUM(O138:Q138)</f>
        <v>4800</v>
      </c>
      <c r="T138" s="382"/>
      <c r="U138" s="382"/>
    </row>
    <row r="139" spans="2:21">
      <c r="B139" s="387" t="str">
        <f>'Actividades del proyecto'!B138</f>
        <v>Incentivos  (alimentos, baldes  y menaje de cocina)</v>
      </c>
      <c r="C139" s="507">
        <f>'Actividades del proyecto'!G138</f>
        <v>6236.0312000000004</v>
      </c>
      <c r="D139" s="508">
        <f>'Actividades del proyecto'!H138</f>
        <v>0</v>
      </c>
      <c r="E139" s="508">
        <f>'Actividades del proyecto'!I138</f>
        <v>0</v>
      </c>
      <c r="F139" s="467">
        <f t="shared" si="245"/>
        <v>6236.0312000000004</v>
      </c>
      <c r="G139" s="507">
        <f>'Actividades del proyecto'!J138</f>
        <v>6606.0248000000001</v>
      </c>
      <c r="H139" s="508">
        <f>'Actividades del proyecto'!K138</f>
        <v>0</v>
      </c>
      <c r="I139" s="508">
        <f>'Actividades del proyecto'!L138</f>
        <v>0</v>
      </c>
      <c r="J139" s="467">
        <f t="shared" si="246"/>
        <v>6606.0248000000001</v>
      </c>
      <c r="K139" s="507">
        <f>'Actividades del proyecto'!M138</f>
        <v>7590.0295999999989</v>
      </c>
      <c r="L139" s="508">
        <f>'Actividades del proyecto'!N138</f>
        <v>0</v>
      </c>
      <c r="M139" s="508">
        <f>'Actividades del proyecto'!O138</f>
        <v>0</v>
      </c>
      <c r="N139" s="467">
        <f t="shared" si="247"/>
        <v>7590.0295999999989</v>
      </c>
      <c r="O139" s="468">
        <f t="shared" si="248"/>
        <v>20432.085599999999</v>
      </c>
      <c r="P139" s="469">
        <f t="shared" si="249"/>
        <v>0</v>
      </c>
      <c r="Q139" s="469">
        <f t="shared" si="250"/>
        <v>0</v>
      </c>
      <c r="R139" s="467">
        <f t="shared" si="251"/>
        <v>20432.085599999999</v>
      </c>
      <c r="T139" s="382"/>
      <c r="U139" s="382"/>
    </row>
    <row r="140" spans="2:21">
      <c r="B140" s="387" t="str">
        <f>'Actividades del proyecto'!B139</f>
        <v>Insumos para las ferias nutricionales</v>
      </c>
      <c r="C140" s="507">
        <f>'Actividades del proyecto'!G139</f>
        <v>4000</v>
      </c>
      <c r="D140" s="508">
        <f>'Actividades del proyecto'!H139</f>
        <v>0</v>
      </c>
      <c r="E140" s="508">
        <f>'Actividades del proyecto'!I139</f>
        <v>0</v>
      </c>
      <c r="F140" s="467">
        <f t="shared" si="245"/>
        <v>4000</v>
      </c>
      <c r="G140" s="507">
        <f>'Actividades del proyecto'!J139</f>
        <v>4000</v>
      </c>
      <c r="H140" s="508">
        <f>'Actividades del proyecto'!K139</f>
        <v>0</v>
      </c>
      <c r="I140" s="508">
        <f>'Actividades del proyecto'!L139</f>
        <v>0</v>
      </c>
      <c r="J140" s="467">
        <f t="shared" si="246"/>
        <v>4000</v>
      </c>
      <c r="K140" s="507">
        <f>'Actividades del proyecto'!M139</f>
        <v>4000</v>
      </c>
      <c r="L140" s="508">
        <f>'Actividades del proyecto'!N139</f>
        <v>0</v>
      </c>
      <c r="M140" s="508">
        <f>'Actividades del proyecto'!O139</f>
        <v>0</v>
      </c>
      <c r="N140" s="467">
        <f t="shared" si="247"/>
        <v>4000</v>
      </c>
      <c r="O140" s="468">
        <f t="shared" si="248"/>
        <v>12000</v>
      </c>
      <c r="P140" s="469">
        <f t="shared" si="249"/>
        <v>0</v>
      </c>
      <c r="Q140" s="469">
        <f t="shared" si="250"/>
        <v>0</v>
      </c>
      <c r="R140" s="467">
        <f t="shared" si="251"/>
        <v>12000</v>
      </c>
      <c r="T140" s="382"/>
      <c r="U140" s="382"/>
    </row>
    <row r="141" spans="2:21">
      <c r="B141" s="502" t="s">
        <v>101</v>
      </c>
      <c r="C141" s="507"/>
      <c r="D141" s="508"/>
      <c r="E141" s="508"/>
      <c r="F141" s="509"/>
      <c r="G141" s="507"/>
      <c r="H141" s="508"/>
      <c r="I141" s="508"/>
      <c r="J141" s="509"/>
      <c r="K141" s="507"/>
      <c r="L141" s="508"/>
      <c r="M141" s="508"/>
      <c r="N141" s="509"/>
      <c r="O141" s="507"/>
      <c r="P141" s="508"/>
      <c r="Q141" s="508"/>
      <c r="R141" s="509"/>
      <c r="T141" s="382"/>
      <c r="U141" s="382"/>
    </row>
    <row r="142" spans="2:21" ht="25.5">
      <c r="B142" s="534" t="str">
        <f>'Actividades del proyecto'!B152</f>
        <v>4.1.   Formación y asesoría técnica y legal a organizaciones sociales de base de mujeres y mixtas en fortalecimiento interno.</v>
      </c>
      <c r="C142" s="507"/>
      <c r="D142" s="508"/>
      <c r="E142" s="508"/>
      <c r="F142" s="509"/>
      <c r="G142" s="507"/>
      <c r="H142" s="508"/>
      <c r="I142" s="508"/>
      <c r="J142" s="509"/>
      <c r="K142" s="507"/>
      <c r="L142" s="508"/>
      <c r="M142" s="508"/>
      <c r="N142" s="509"/>
      <c r="O142" s="507"/>
      <c r="P142" s="508"/>
      <c r="Q142" s="508"/>
      <c r="R142" s="509"/>
      <c r="T142" s="382"/>
      <c r="U142" s="382"/>
    </row>
    <row r="143" spans="2:21">
      <c r="B143" s="387" t="str">
        <f>'Actividades del proyecto'!B153</f>
        <v xml:space="preserve">Material de enseñanza y escritorio </v>
      </c>
      <c r="C143" s="507">
        <f>'Actividades del proyecto'!G153</f>
        <v>1500</v>
      </c>
      <c r="D143" s="508">
        <f>'Actividades del proyecto'!H153</f>
        <v>0</v>
      </c>
      <c r="E143" s="508">
        <f>'Actividades del proyecto'!I153</f>
        <v>0</v>
      </c>
      <c r="F143" s="467">
        <f t="shared" ref="F143" si="252">SUM(C143:E143)</f>
        <v>1500</v>
      </c>
      <c r="G143" s="507">
        <f>'Actividades del proyecto'!J153</f>
        <v>1500</v>
      </c>
      <c r="H143" s="508">
        <f>'Actividades del proyecto'!K153</f>
        <v>0</v>
      </c>
      <c r="I143" s="508">
        <f>'Actividades del proyecto'!L153</f>
        <v>0</v>
      </c>
      <c r="J143" s="467">
        <f t="shared" ref="J143" si="253">SUM(G143:I143)</f>
        <v>1500</v>
      </c>
      <c r="K143" s="507">
        <f>'Actividades del proyecto'!M153</f>
        <v>1500</v>
      </c>
      <c r="L143" s="508">
        <f>'Actividades del proyecto'!N153</f>
        <v>0</v>
      </c>
      <c r="M143" s="508">
        <f>'Actividades del proyecto'!O153</f>
        <v>0</v>
      </c>
      <c r="N143" s="467">
        <f t="shared" ref="N143" si="254">SUM(K143:M143)</f>
        <v>1500</v>
      </c>
      <c r="O143" s="468">
        <f t="shared" ref="O143" si="255">C143+G143+K143</f>
        <v>4500</v>
      </c>
      <c r="P143" s="469">
        <f t="shared" ref="P143" si="256">D143+H143+L143</f>
        <v>0</v>
      </c>
      <c r="Q143" s="469">
        <f t="shared" ref="Q143" si="257">E143+I143+M143</f>
        <v>0</v>
      </c>
      <c r="R143" s="467">
        <f t="shared" ref="R143" si="258">SUM(O143:Q143)</f>
        <v>4500</v>
      </c>
      <c r="T143" s="382"/>
      <c r="U143" s="382"/>
    </row>
    <row r="144" spans="2:21">
      <c r="B144" s="387" t="str">
        <f>'Actividades del proyecto'!B154</f>
        <v>Mesas</v>
      </c>
      <c r="C144" s="507">
        <f>'Actividades del proyecto'!G154</f>
        <v>2000</v>
      </c>
      <c r="D144" s="508">
        <f>'Actividades del proyecto'!H154</f>
        <v>0</v>
      </c>
      <c r="E144" s="508">
        <f>'Actividades del proyecto'!I154</f>
        <v>0</v>
      </c>
      <c r="F144" s="467">
        <f t="shared" ref="F144:F145" si="259">SUM(C144:E144)</f>
        <v>2000</v>
      </c>
      <c r="G144" s="507">
        <f>'Actividades del proyecto'!J154</f>
        <v>0</v>
      </c>
      <c r="H144" s="508">
        <f>'Actividades del proyecto'!K154</f>
        <v>0</v>
      </c>
      <c r="I144" s="508">
        <f>'Actividades del proyecto'!L154</f>
        <v>0</v>
      </c>
      <c r="J144" s="467">
        <f t="shared" ref="J144:J145" si="260">SUM(G144:I144)</f>
        <v>0</v>
      </c>
      <c r="K144" s="507">
        <f>'Actividades del proyecto'!M154</f>
        <v>0</v>
      </c>
      <c r="L144" s="508">
        <f>'Actividades del proyecto'!N154</f>
        <v>0</v>
      </c>
      <c r="M144" s="508">
        <f>'Actividades del proyecto'!O154</f>
        <v>0</v>
      </c>
      <c r="N144" s="467">
        <f t="shared" ref="N144:N145" si="261">SUM(K144:M144)</f>
        <v>0</v>
      </c>
      <c r="O144" s="468">
        <f t="shared" ref="O144:O145" si="262">C144+G144+K144</f>
        <v>2000</v>
      </c>
      <c r="P144" s="469">
        <f t="shared" ref="P144:P145" si="263">D144+H144+L144</f>
        <v>0</v>
      </c>
      <c r="Q144" s="469">
        <f t="shared" ref="Q144:Q145" si="264">E144+I144+M144</f>
        <v>0</v>
      </c>
      <c r="R144" s="467">
        <f t="shared" ref="R144:R145" si="265">SUM(O144:Q144)</f>
        <v>2000</v>
      </c>
      <c r="T144" s="382"/>
      <c r="U144" s="382"/>
    </row>
    <row r="145" spans="2:21">
      <c r="B145" s="387" t="str">
        <f>'Actividades del proyecto'!B155</f>
        <v>Sillas</v>
      </c>
      <c r="C145" s="507">
        <f>'Actividades del proyecto'!G155</f>
        <v>3000</v>
      </c>
      <c r="D145" s="508">
        <f>'Actividades del proyecto'!H155</f>
        <v>0</v>
      </c>
      <c r="E145" s="508">
        <f>'Actividades del proyecto'!I155</f>
        <v>0</v>
      </c>
      <c r="F145" s="467">
        <f t="shared" si="259"/>
        <v>3000</v>
      </c>
      <c r="G145" s="507">
        <f>'Actividades del proyecto'!J155</f>
        <v>0</v>
      </c>
      <c r="H145" s="508">
        <f>'Actividades del proyecto'!K155</f>
        <v>0</v>
      </c>
      <c r="I145" s="508">
        <f>'Actividades del proyecto'!L155</f>
        <v>0</v>
      </c>
      <c r="J145" s="467">
        <f t="shared" si="260"/>
        <v>0</v>
      </c>
      <c r="K145" s="507">
        <f>'Actividades del proyecto'!M155</f>
        <v>0</v>
      </c>
      <c r="L145" s="508">
        <f>'Actividades del proyecto'!N155</f>
        <v>0</v>
      </c>
      <c r="M145" s="508">
        <f>'Actividades del proyecto'!O155</f>
        <v>0</v>
      </c>
      <c r="N145" s="467">
        <f t="shared" si="261"/>
        <v>0</v>
      </c>
      <c r="O145" s="468">
        <f t="shared" si="262"/>
        <v>3000</v>
      </c>
      <c r="P145" s="469">
        <f t="shared" si="263"/>
        <v>0</v>
      </c>
      <c r="Q145" s="469">
        <f t="shared" si="264"/>
        <v>0</v>
      </c>
      <c r="R145" s="467">
        <f t="shared" si="265"/>
        <v>3000</v>
      </c>
      <c r="T145" s="382"/>
      <c r="U145" s="382"/>
    </row>
    <row r="146" spans="2:21" ht="25.5">
      <c r="B146" s="535" t="str">
        <f>'Actividades del proyecto'!B156</f>
        <v>4.2.  Desarrollo de talleres de formación en Liderazgo de mujeres y varones</v>
      </c>
      <c r="C146" s="507"/>
      <c r="D146" s="508"/>
      <c r="E146" s="508"/>
      <c r="F146" s="467"/>
      <c r="G146" s="507"/>
      <c r="H146" s="508"/>
      <c r="I146" s="508"/>
      <c r="J146" s="467"/>
      <c r="K146" s="507"/>
      <c r="L146" s="508"/>
      <c r="M146" s="508"/>
      <c r="N146" s="467"/>
      <c r="O146" s="468"/>
      <c r="P146" s="469"/>
      <c r="Q146" s="469"/>
      <c r="R146" s="467"/>
      <c r="T146" s="382"/>
      <c r="U146" s="382"/>
    </row>
    <row r="147" spans="2:21">
      <c r="B147" s="384" t="str">
        <f>'Actividades del proyecto'!B157</f>
        <v>Actualización del material educativo (honorarios)</v>
      </c>
      <c r="C147" s="507">
        <f>'Actividades del proyecto'!G157</f>
        <v>0</v>
      </c>
      <c r="D147" s="508">
        <f>'Actividades del proyecto'!H157</f>
        <v>12000</v>
      </c>
      <c r="E147" s="508">
        <f>'Actividades del proyecto'!I157</f>
        <v>0</v>
      </c>
      <c r="F147" s="467">
        <f t="shared" ref="F147:F153" si="266">SUM(C147:E147)</f>
        <v>12000</v>
      </c>
      <c r="G147" s="507">
        <f>'Actividades del proyecto'!J157</f>
        <v>0</v>
      </c>
      <c r="H147" s="508">
        <f>'Actividades del proyecto'!K157</f>
        <v>0</v>
      </c>
      <c r="I147" s="508">
        <f>'Actividades del proyecto'!L157</f>
        <v>0</v>
      </c>
      <c r="J147" s="467">
        <f t="shared" ref="J147:J153" si="267">SUM(G147:I147)</f>
        <v>0</v>
      </c>
      <c r="K147" s="507">
        <f>'Actividades del proyecto'!M157</f>
        <v>0</v>
      </c>
      <c r="L147" s="508">
        <f>'Actividades del proyecto'!N157</f>
        <v>0</v>
      </c>
      <c r="M147" s="508">
        <f>'Actividades del proyecto'!O157</f>
        <v>0</v>
      </c>
      <c r="N147" s="467">
        <f t="shared" ref="N147:N153" si="268">SUM(K147:M147)</f>
        <v>0</v>
      </c>
      <c r="O147" s="468">
        <f t="shared" ref="O147:O155" si="269">C147+G147+K147</f>
        <v>0</v>
      </c>
      <c r="P147" s="469">
        <f t="shared" ref="P147:P155" si="270">D147+H147+L147</f>
        <v>12000</v>
      </c>
      <c r="Q147" s="469">
        <f t="shared" ref="Q147:Q155" si="271">E147+I147+M147</f>
        <v>0</v>
      </c>
      <c r="R147" s="467">
        <f t="shared" ref="R147:R155" si="272">SUM(O147:Q147)</f>
        <v>12000</v>
      </c>
      <c r="T147" s="382"/>
      <c r="U147" s="382"/>
    </row>
    <row r="148" spans="2:21">
      <c r="B148" s="384" t="str">
        <f>'Actividades del proyecto'!B158</f>
        <v>Alimentación (8 modulos x 22 part x 30 Bs x 2 días x 2 años)</v>
      </c>
      <c r="C148" s="507">
        <f>'Actividades del proyecto'!G158</f>
        <v>10560</v>
      </c>
      <c r="D148" s="508">
        <f>'Actividades del proyecto'!H158</f>
        <v>0</v>
      </c>
      <c r="E148" s="508">
        <f>'Actividades del proyecto'!I158</f>
        <v>0</v>
      </c>
      <c r="F148" s="467">
        <f t="shared" si="266"/>
        <v>10560</v>
      </c>
      <c r="G148" s="507">
        <f>'Actividades del proyecto'!J158</f>
        <v>10560</v>
      </c>
      <c r="H148" s="508">
        <f>'Actividades del proyecto'!K158</f>
        <v>0</v>
      </c>
      <c r="I148" s="508">
        <f>'Actividades del proyecto'!L158</f>
        <v>0</v>
      </c>
      <c r="J148" s="467">
        <f t="shared" si="267"/>
        <v>10560</v>
      </c>
      <c r="K148" s="507">
        <f>'Actividades del proyecto'!M158</f>
        <v>0</v>
      </c>
      <c r="L148" s="508">
        <f>'Actividades del proyecto'!N158</f>
        <v>0</v>
      </c>
      <c r="M148" s="508">
        <f>'Actividades del proyecto'!O158</f>
        <v>0</v>
      </c>
      <c r="N148" s="467">
        <f t="shared" si="268"/>
        <v>0</v>
      </c>
      <c r="O148" s="468">
        <f t="shared" si="269"/>
        <v>21120</v>
      </c>
      <c r="P148" s="469">
        <f t="shared" si="270"/>
        <v>0</v>
      </c>
      <c r="Q148" s="469">
        <f t="shared" si="271"/>
        <v>0</v>
      </c>
      <c r="R148" s="467">
        <f t="shared" si="272"/>
        <v>21120</v>
      </c>
      <c r="T148" s="382"/>
      <c r="U148" s="382"/>
    </row>
    <row r="149" spans="2:21">
      <c r="B149" s="384" t="str">
        <f>'Actividades del proyecto'!B159</f>
        <v>Honorarios profesionales</v>
      </c>
      <c r="C149" s="507">
        <f>'Actividades del proyecto'!G159</f>
        <v>3200</v>
      </c>
      <c r="D149" s="508">
        <f>'Actividades del proyecto'!H159</f>
        <v>0</v>
      </c>
      <c r="E149" s="508">
        <f>'Actividades del proyecto'!I159</f>
        <v>0</v>
      </c>
      <c r="F149" s="467">
        <f t="shared" si="266"/>
        <v>3200</v>
      </c>
      <c r="G149" s="507">
        <f>'Actividades del proyecto'!J159</f>
        <v>3200</v>
      </c>
      <c r="H149" s="508">
        <f>'Actividades del proyecto'!K159</f>
        <v>0</v>
      </c>
      <c r="I149" s="508">
        <f>'Actividades del proyecto'!L159</f>
        <v>0</v>
      </c>
      <c r="J149" s="467">
        <f t="shared" si="267"/>
        <v>3200</v>
      </c>
      <c r="K149" s="507">
        <f>'Actividades del proyecto'!M159</f>
        <v>0</v>
      </c>
      <c r="L149" s="508">
        <f>'Actividades del proyecto'!N159</f>
        <v>0</v>
      </c>
      <c r="M149" s="508">
        <f>'Actividades del proyecto'!O159</f>
        <v>0</v>
      </c>
      <c r="N149" s="467">
        <f t="shared" si="268"/>
        <v>0</v>
      </c>
      <c r="O149" s="468">
        <f t="shared" si="269"/>
        <v>6400</v>
      </c>
      <c r="P149" s="469">
        <f t="shared" si="270"/>
        <v>0</v>
      </c>
      <c r="Q149" s="469">
        <f t="shared" si="271"/>
        <v>0</v>
      </c>
      <c r="R149" s="467">
        <f t="shared" si="272"/>
        <v>6400</v>
      </c>
      <c r="T149" s="382"/>
      <c r="U149" s="382"/>
    </row>
    <row r="150" spans="2:21">
      <c r="B150" s="384" t="str">
        <f>'Actividades del proyecto'!B160</f>
        <v xml:space="preserve">Material de enseñanza y escritorio </v>
      </c>
      <c r="C150" s="507">
        <f>'Actividades del proyecto'!G160</f>
        <v>1500</v>
      </c>
      <c r="D150" s="508">
        <f>'Actividades del proyecto'!H160</f>
        <v>0</v>
      </c>
      <c r="E150" s="508">
        <f>'Actividades del proyecto'!I160</f>
        <v>0</v>
      </c>
      <c r="F150" s="467">
        <f t="shared" si="266"/>
        <v>1500</v>
      </c>
      <c r="G150" s="507">
        <f>'Actividades del proyecto'!J160</f>
        <v>1500</v>
      </c>
      <c r="H150" s="508">
        <f>'Actividades del proyecto'!K160</f>
        <v>0</v>
      </c>
      <c r="I150" s="508">
        <f>'Actividades del proyecto'!L160</f>
        <v>0</v>
      </c>
      <c r="J150" s="467">
        <f t="shared" si="267"/>
        <v>1500</v>
      </c>
      <c r="K150" s="507">
        <f>'Actividades del proyecto'!M160</f>
        <v>0</v>
      </c>
      <c r="L150" s="508">
        <f>'Actividades del proyecto'!N160</f>
        <v>0</v>
      </c>
      <c r="M150" s="508">
        <f>'Actividades del proyecto'!O160</f>
        <v>0</v>
      </c>
      <c r="N150" s="467">
        <f t="shared" si="268"/>
        <v>0</v>
      </c>
      <c r="O150" s="468">
        <f t="shared" si="269"/>
        <v>3000</v>
      </c>
      <c r="P150" s="469">
        <f t="shared" si="270"/>
        <v>0</v>
      </c>
      <c r="Q150" s="469">
        <f t="shared" si="271"/>
        <v>0</v>
      </c>
      <c r="R150" s="467">
        <f t="shared" si="272"/>
        <v>3000</v>
      </c>
      <c r="T150" s="382"/>
      <c r="U150" s="382"/>
    </row>
    <row r="151" spans="2:21">
      <c r="B151" s="384" t="str">
        <f>'Actividades del proyecto'!B161</f>
        <v>Videos, fotografias y otro material educativo</v>
      </c>
      <c r="C151" s="507">
        <f>'Actividades del proyecto'!G161</f>
        <v>1000</v>
      </c>
      <c r="D151" s="508">
        <f>'Actividades del proyecto'!H161</f>
        <v>0</v>
      </c>
      <c r="E151" s="508">
        <f>'Actividades del proyecto'!I161</f>
        <v>0</v>
      </c>
      <c r="F151" s="467">
        <f t="shared" si="266"/>
        <v>1000</v>
      </c>
      <c r="G151" s="507">
        <f>'Actividades del proyecto'!J161</f>
        <v>1000</v>
      </c>
      <c r="H151" s="508">
        <f>'Actividades del proyecto'!K161</f>
        <v>0</v>
      </c>
      <c r="I151" s="508">
        <f>'Actividades del proyecto'!L161</f>
        <v>0</v>
      </c>
      <c r="J151" s="467">
        <f t="shared" si="267"/>
        <v>1000</v>
      </c>
      <c r="K151" s="507">
        <f>'Actividades del proyecto'!M161</f>
        <v>0</v>
      </c>
      <c r="L151" s="508">
        <f>'Actividades del proyecto'!N161</f>
        <v>0</v>
      </c>
      <c r="M151" s="508">
        <f>'Actividades del proyecto'!O161</f>
        <v>0</v>
      </c>
      <c r="N151" s="467">
        <f t="shared" si="268"/>
        <v>0</v>
      </c>
      <c r="O151" s="468">
        <f t="shared" si="269"/>
        <v>2000</v>
      </c>
      <c r="P151" s="469">
        <f t="shared" si="270"/>
        <v>0</v>
      </c>
      <c r="Q151" s="469">
        <f t="shared" si="271"/>
        <v>0</v>
      </c>
      <c r="R151" s="467">
        <f t="shared" si="272"/>
        <v>2000</v>
      </c>
      <c r="T151" s="382"/>
      <c r="U151" s="382"/>
    </row>
    <row r="152" spans="2:21">
      <c r="B152" s="384" t="str">
        <f>'Actividades del proyecto'!B162</f>
        <v>Maletines educativos</v>
      </c>
      <c r="C152" s="507">
        <f>'Actividades del proyecto'!G162</f>
        <v>1980</v>
      </c>
      <c r="D152" s="508">
        <f>'Actividades del proyecto'!H162</f>
        <v>0</v>
      </c>
      <c r="E152" s="508">
        <f>'Actividades del proyecto'!I162</f>
        <v>0</v>
      </c>
      <c r="F152" s="467">
        <f t="shared" si="266"/>
        <v>1980</v>
      </c>
      <c r="G152" s="507">
        <f>'Actividades del proyecto'!J162</f>
        <v>1980</v>
      </c>
      <c r="H152" s="508">
        <f>'Actividades del proyecto'!K162</f>
        <v>0</v>
      </c>
      <c r="I152" s="508">
        <f>'Actividades del proyecto'!L162</f>
        <v>0</v>
      </c>
      <c r="J152" s="467">
        <f t="shared" si="267"/>
        <v>1980</v>
      </c>
      <c r="K152" s="507">
        <f>'Actividades del proyecto'!M162</f>
        <v>0</v>
      </c>
      <c r="L152" s="508">
        <f>'Actividades del proyecto'!N162</f>
        <v>0</v>
      </c>
      <c r="M152" s="508">
        <f>'Actividades del proyecto'!O162</f>
        <v>0</v>
      </c>
      <c r="N152" s="467">
        <f t="shared" si="268"/>
        <v>0</v>
      </c>
      <c r="O152" s="468">
        <f t="shared" si="269"/>
        <v>3960</v>
      </c>
      <c r="P152" s="469">
        <f t="shared" si="270"/>
        <v>0</v>
      </c>
      <c r="Q152" s="469">
        <f t="shared" si="271"/>
        <v>0</v>
      </c>
      <c r="R152" s="467">
        <f t="shared" si="272"/>
        <v>3960</v>
      </c>
      <c r="T152" s="382"/>
      <c r="U152" s="382"/>
    </row>
    <row r="153" spans="2:21">
      <c r="B153" s="384" t="str">
        <f>'Actividades del proyecto'!B163</f>
        <v>Chalecos de identificación lideresas y lideres</v>
      </c>
      <c r="C153" s="507">
        <f>'Actividades del proyecto'!G163</f>
        <v>2640</v>
      </c>
      <c r="D153" s="508">
        <f>'Actividades del proyecto'!H163</f>
        <v>0</v>
      </c>
      <c r="E153" s="508">
        <f>'Actividades del proyecto'!I163</f>
        <v>0</v>
      </c>
      <c r="F153" s="467">
        <f t="shared" si="266"/>
        <v>2640</v>
      </c>
      <c r="G153" s="507">
        <f>'Actividades del proyecto'!J163</f>
        <v>2640</v>
      </c>
      <c r="H153" s="508">
        <f>'Actividades del proyecto'!K163</f>
        <v>0</v>
      </c>
      <c r="I153" s="508">
        <f>'Actividades del proyecto'!L163</f>
        <v>0</v>
      </c>
      <c r="J153" s="467">
        <f t="shared" si="267"/>
        <v>2640</v>
      </c>
      <c r="K153" s="507">
        <f>'Actividades del proyecto'!M163</f>
        <v>0</v>
      </c>
      <c r="L153" s="508">
        <f>'Actividades del proyecto'!N163</f>
        <v>0</v>
      </c>
      <c r="M153" s="508">
        <f>'Actividades del proyecto'!O163</f>
        <v>0</v>
      </c>
      <c r="N153" s="467">
        <f t="shared" si="268"/>
        <v>0</v>
      </c>
      <c r="O153" s="468">
        <f t="shared" si="269"/>
        <v>5280</v>
      </c>
      <c r="P153" s="469">
        <f t="shared" si="270"/>
        <v>0</v>
      </c>
      <c r="Q153" s="469">
        <f t="shared" si="271"/>
        <v>0</v>
      </c>
      <c r="R153" s="467">
        <f t="shared" si="272"/>
        <v>5280</v>
      </c>
      <c r="T153" s="382"/>
      <c r="U153" s="382"/>
    </row>
    <row r="154" spans="2:21" ht="25.5">
      <c r="B154" s="535" t="str">
        <f>'Actividades del proyecto'!B164</f>
        <v>4.3. Realizar evaluación y seguimiento de los procesos de formación en liderazgo</v>
      </c>
      <c r="C154" s="507"/>
      <c r="D154" s="508"/>
      <c r="E154" s="508"/>
      <c r="F154" s="467"/>
      <c r="G154" s="507"/>
      <c r="H154" s="508"/>
      <c r="I154" s="508"/>
      <c r="J154" s="467"/>
      <c r="K154" s="507"/>
      <c r="L154" s="508"/>
      <c r="M154" s="508"/>
      <c r="N154" s="467"/>
      <c r="O154" s="468"/>
      <c r="P154" s="469"/>
      <c r="Q154" s="469"/>
      <c r="R154" s="467"/>
      <c r="T154" s="382"/>
      <c r="U154" s="382"/>
    </row>
    <row r="155" spans="2:21">
      <c r="B155" s="384" t="str">
        <f>'Actividades del proyecto'!B165</f>
        <v xml:space="preserve">Material de escritorio </v>
      </c>
      <c r="C155" s="507">
        <f>'Actividades del proyecto'!G165</f>
        <v>0</v>
      </c>
      <c r="D155" s="508">
        <f>'Actividades del proyecto'!H165</f>
        <v>0</v>
      </c>
      <c r="E155" s="508">
        <f>'Actividades del proyecto'!I165</f>
        <v>0</v>
      </c>
      <c r="F155" s="467">
        <f t="shared" ref="F155" si="273">SUM(C155:E155)</f>
        <v>0</v>
      </c>
      <c r="G155" s="507">
        <f>'Actividades del proyecto'!J165</f>
        <v>250</v>
      </c>
      <c r="H155" s="508">
        <f>'Actividades del proyecto'!K165</f>
        <v>0</v>
      </c>
      <c r="I155" s="508">
        <f>'Actividades del proyecto'!L165</f>
        <v>0</v>
      </c>
      <c r="J155" s="467">
        <f t="shared" ref="J155" si="274">SUM(G155:I155)</f>
        <v>250</v>
      </c>
      <c r="K155" s="507">
        <f>'Actividades del proyecto'!M165</f>
        <v>250</v>
      </c>
      <c r="L155" s="508">
        <f>'Actividades del proyecto'!N165</f>
        <v>0</v>
      </c>
      <c r="M155" s="508">
        <f>'Actividades del proyecto'!O165</f>
        <v>0</v>
      </c>
      <c r="N155" s="467">
        <f t="shared" ref="N155" si="275">SUM(K155:M155)</f>
        <v>250</v>
      </c>
      <c r="O155" s="468">
        <f t="shared" si="269"/>
        <v>500</v>
      </c>
      <c r="P155" s="469">
        <f t="shared" si="270"/>
        <v>0</v>
      </c>
      <c r="Q155" s="469">
        <f t="shared" si="271"/>
        <v>0</v>
      </c>
      <c r="R155" s="467">
        <f t="shared" si="272"/>
        <v>500</v>
      </c>
      <c r="T155" s="382"/>
      <c r="U155" s="382"/>
    </row>
    <row r="156" spans="2:21">
      <c r="B156" s="502" t="s">
        <v>68</v>
      </c>
      <c r="C156" s="507"/>
      <c r="D156" s="508"/>
      <c r="E156" s="508"/>
      <c r="F156" s="509"/>
      <c r="G156" s="507"/>
      <c r="H156" s="508"/>
      <c r="I156" s="508"/>
      <c r="J156" s="509"/>
      <c r="K156" s="507"/>
      <c r="L156" s="508"/>
      <c r="M156" s="508"/>
      <c r="N156" s="509"/>
      <c r="O156" s="507"/>
      <c r="P156" s="508"/>
      <c r="Q156" s="508"/>
      <c r="R156" s="509"/>
      <c r="T156" s="382"/>
      <c r="U156" s="382"/>
    </row>
    <row r="157" spans="2:21" ht="21.75" customHeight="1">
      <c r="B157" s="535" t="str">
        <f>'Actividades del proyecto'!B179</f>
        <v>5.1. Formación y asesoramiento técnico a las organizaciones de mujeres</v>
      </c>
      <c r="C157" s="507"/>
      <c r="D157" s="508"/>
      <c r="E157" s="508"/>
      <c r="F157" s="509"/>
      <c r="G157" s="507"/>
      <c r="H157" s="508"/>
      <c r="I157" s="508"/>
      <c r="J157" s="509"/>
      <c r="K157" s="507"/>
      <c r="L157" s="508"/>
      <c r="M157" s="508"/>
      <c r="N157" s="509"/>
      <c r="O157" s="507"/>
      <c r="P157" s="508"/>
      <c r="Q157" s="508"/>
      <c r="R157" s="509"/>
      <c r="T157" s="382"/>
      <c r="U157" s="382"/>
    </row>
    <row r="158" spans="2:21" ht="25.5">
      <c r="B158" s="384" t="str">
        <f>'Actividades del proyecto'!B180</f>
        <v>Material de enseñanza y escritorio a 4 organizaciones de mujeres x 3 años</v>
      </c>
      <c r="C158" s="507">
        <f>'Actividades del proyecto'!G180</f>
        <v>2000</v>
      </c>
      <c r="D158" s="508">
        <f>'Actividades del proyecto'!H180</f>
        <v>0</v>
      </c>
      <c r="E158" s="508">
        <f>'Actividades del proyecto'!I180</f>
        <v>0</v>
      </c>
      <c r="F158" s="509">
        <f>SUM(C158:E158)</f>
        <v>2000</v>
      </c>
      <c r="G158" s="507">
        <f>'Actividades del proyecto'!J180</f>
        <v>0</v>
      </c>
      <c r="H158" s="508">
        <f>'Actividades del proyecto'!K180</f>
        <v>0</v>
      </c>
      <c r="I158" s="508">
        <f>'Actividades del proyecto'!L180</f>
        <v>0</v>
      </c>
      <c r="J158" s="509">
        <f>SUM(G158:I158)</f>
        <v>0</v>
      </c>
      <c r="K158" s="507">
        <f>'Actividades del proyecto'!M180</f>
        <v>0</v>
      </c>
      <c r="L158" s="508">
        <f>'Actividades del proyecto'!N180</f>
        <v>0</v>
      </c>
      <c r="M158" s="508">
        <f>'Actividades del proyecto'!O180</f>
        <v>0</v>
      </c>
      <c r="N158" s="509">
        <f>SUM(K158:M158)</f>
        <v>0</v>
      </c>
      <c r="O158" s="507">
        <f t="shared" ref="O158" si="276">C158+G158+K158</f>
        <v>2000</v>
      </c>
      <c r="P158" s="508">
        <f t="shared" ref="P158" si="277">D158+H158+L158</f>
        <v>0</v>
      </c>
      <c r="Q158" s="508">
        <f t="shared" ref="Q158" si="278">E158+I158+M158</f>
        <v>0</v>
      </c>
      <c r="R158" s="509">
        <f t="shared" ref="R158" si="279">SUM(O158:Q158)</f>
        <v>2000</v>
      </c>
      <c r="T158" s="382"/>
      <c r="U158" s="382"/>
    </row>
    <row r="159" spans="2:21">
      <c r="B159" s="384" t="str">
        <f>'Actividades del proyecto'!B181</f>
        <v>Tramites de documentación legal organizaciones de mujeres</v>
      </c>
      <c r="C159" s="507">
        <f>'Actividades del proyecto'!G181</f>
        <v>16000</v>
      </c>
      <c r="D159" s="508">
        <f>'Actividades del proyecto'!H181</f>
        <v>0</v>
      </c>
      <c r="E159" s="508">
        <f>'Actividades del proyecto'!I181</f>
        <v>0</v>
      </c>
      <c r="F159" s="509">
        <f t="shared" ref="F159:F162" si="280">SUM(C159:E159)</f>
        <v>16000</v>
      </c>
      <c r="G159" s="507">
        <f>'Actividades del proyecto'!J181</f>
        <v>0</v>
      </c>
      <c r="H159" s="508">
        <f>'Actividades del proyecto'!K181</f>
        <v>0</v>
      </c>
      <c r="I159" s="508">
        <f>'Actividades del proyecto'!L181</f>
        <v>0</v>
      </c>
      <c r="J159" s="509">
        <f t="shared" ref="J159:J162" si="281">SUM(G159:I159)</f>
        <v>0</v>
      </c>
      <c r="K159" s="507">
        <f>'Actividades del proyecto'!M181</f>
        <v>0</v>
      </c>
      <c r="L159" s="508">
        <f>'Actividades del proyecto'!N181</f>
        <v>0</v>
      </c>
      <c r="M159" s="508">
        <f>'Actividades del proyecto'!O181</f>
        <v>0</v>
      </c>
      <c r="N159" s="509">
        <f t="shared" ref="N159:N162" si="282">SUM(K159:M159)</f>
        <v>0</v>
      </c>
      <c r="O159" s="507">
        <f t="shared" ref="O159:O162" si="283">C159+G159+K159</f>
        <v>16000</v>
      </c>
      <c r="P159" s="508">
        <f t="shared" ref="P159:P162" si="284">D159+H159+L159</f>
        <v>0</v>
      </c>
      <c r="Q159" s="508">
        <f t="shared" ref="Q159:Q162" si="285">E159+I159+M159</f>
        <v>0</v>
      </c>
      <c r="R159" s="509">
        <f t="shared" ref="R159:R162" si="286">SUM(O159:Q159)</f>
        <v>16000</v>
      </c>
      <c r="T159" s="382"/>
      <c r="U159" s="382"/>
    </row>
    <row r="160" spans="2:21">
      <c r="B160" s="384" t="str">
        <f>'Actividades del proyecto'!B182</f>
        <v>Pasajes tramitación Potosí</v>
      </c>
      <c r="C160" s="507">
        <f>'Actividades del proyecto'!G182</f>
        <v>900.00000000000011</v>
      </c>
      <c r="D160" s="508">
        <f>'Actividades del proyecto'!H182</f>
        <v>0</v>
      </c>
      <c r="E160" s="508">
        <f>'Actividades del proyecto'!I182</f>
        <v>0</v>
      </c>
      <c r="F160" s="509">
        <f t="shared" si="280"/>
        <v>900.00000000000011</v>
      </c>
      <c r="G160" s="507">
        <f>'Actividades del proyecto'!J182</f>
        <v>0</v>
      </c>
      <c r="H160" s="508">
        <f>'Actividades del proyecto'!K182</f>
        <v>0</v>
      </c>
      <c r="I160" s="508">
        <f>'Actividades del proyecto'!L182</f>
        <v>0</v>
      </c>
      <c r="J160" s="509">
        <f t="shared" si="281"/>
        <v>0</v>
      </c>
      <c r="K160" s="507">
        <f>'Actividades del proyecto'!M182</f>
        <v>0</v>
      </c>
      <c r="L160" s="508">
        <f>'Actividades del proyecto'!N182</f>
        <v>0</v>
      </c>
      <c r="M160" s="508">
        <f>'Actividades del proyecto'!O182</f>
        <v>0</v>
      </c>
      <c r="N160" s="509">
        <f t="shared" si="282"/>
        <v>0</v>
      </c>
      <c r="O160" s="507">
        <f t="shared" si="283"/>
        <v>900.00000000000011</v>
      </c>
      <c r="P160" s="508">
        <f t="shared" si="284"/>
        <v>0</v>
      </c>
      <c r="Q160" s="508">
        <f t="shared" si="285"/>
        <v>0</v>
      </c>
      <c r="R160" s="509">
        <f t="shared" si="286"/>
        <v>900.00000000000011</v>
      </c>
      <c r="T160" s="382"/>
      <c r="U160" s="382"/>
    </row>
    <row r="161" spans="2:21">
      <c r="B161" s="384" t="str">
        <f>'Actividades del proyecto'!B183</f>
        <v>Alojamiento (3 días x 1 persona x 50 Bs) Potosí</v>
      </c>
      <c r="C161" s="507">
        <f>'Actividades del proyecto'!G183</f>
        <v>150</v>
      </c>
      <c r="D161" s="508">
        <f>'Actividades del proyecto'!H183</f>
        <v>0</v>
      </c>
      <c r="E161" s="508">
        <f>'Actividades del proyecto'!I183</f>
        <v>0</v>
      </c>
      <c r="F161" s="509">
        <f t="shared" si="280"/>
        <v>150</v>
      </c>
      <c r="G161" s="507">
        <f>'Actividades del proyecto'!J183</f>
        <v>0</v>
      </c>
      <c r="H161" s="508">
        <f>'Actividades del proyecto'!K183</f>
        <v>0</v>
      </c>
      <c r="I161" s="508">
        <f>'Actividades del proyecto'!L183</f>
        <v>0</v>
      </c>
      <c r="J161" s="509">
        <f t="shared" si="281"/>
        <v>0</v>
      </c>
      <c r="K161" s="507">
        <f>'Actividades del proyecto'!M183</f>
        <v>0</v>
      </c>
      <c r="L161" s="508">
        <f>'Actividades del proyecto'!N183</f>
        <v>0</v>
      </c>
      <c r="M161" s="508">
        <f>'Actividades del proyecto'!O183</f>
        <v>0</v>
      </c>
      <c r="N161" s="509">
        <f t="shared" si="282"/>
        <v>0</v>
      </c>
      <c r="O161" s="507">
        <f t="shared" si="283"/>
        <v>150</v>
      </c>
      <c r="P161" s="508">
        <f t="shared" si="284"/>
        <v>0</v>
      </c>
      <c r="Q161" s="508">
        <f t="shared" si="285"/>
        <v>0</v>
      </c>
      <c r="R161" s="509">
        <f t="shared" si="286"/>
        <v>150</v>
      </c>
      <c r="T161" s="382"/>
      <c r="U161" s="382"/>
    </row>
    <row r="162" spans="2:21">
      <c r="B162" s="384" t="str">
        <f>'Actividades del proyecto'!B184</f>
        <v>Viaticos (9 días x 100 Bs) Potosí</v>
      </c>
      <c r="C162" s="507">
        <f>'Actividades del proyecto'!G184</f>
        <v>900.00000000000011</v>
      </c>
      <c r="D162" s="508">
        <f>'Actividades del proyecto'!H184</f>
        <v>0</v>
      </c>
      <c r="E162" s="508">
        <f>'Actividades del proyecto'!I184</f>
        <v>0</v>
      </c>
      <c r="F162" s="509">
        <f t="shared" si="280"/>
        <v>900.00000000000011</v>
      </c>
      <c r="G162" s="507">
        <f>'Actividades del proyecto'!J184</f>
        <v>0</v>
      </c>
      <c r="H162" s="508">
        <f>'Actividades del proyecto'!K184</f>
        <v>0</v>
      </c>
      <c r="I162" s="508">
        <f>'Actividades del proyecto'!L184</f>
        <v>0</v>
      </c>
      <c r="J162" s="509">
        <f t="shared" si="281"/>
        <v>0</v>
      </c>
      <c r="K162" s="507">
        <f>'Actividades del proyecto'!M184</f>
        <v>0</v>
      </c>
      <c r="L162" s="508">
        <f>'Actividades del proyecto'!N184</f>
        <v>0</v>
      </c>
      <c r="M162" s="508">
        <f>'Actividades del proyecto'!O184</f>
        <v>0</v>
      </c>
      <c r="N162" s="509">
        <f t="shared" si="282"/>
        <v>0</v>
      </c>
      <c r="O162" s="507">
        <f t="shared" si="283"/>
        <v>900.00000000000011</v>
      </c>
      <c r="P162" s="508">
        <f t="shared" si="284"/>
        <v>0</v>
      </c>
      <c r="Q162" s="508">
        <f t="shared" si="285"/>
        <v>0</v>
      </c>
      <c r="R162" s="509">
        <f t="shared" si="286"/>
        <v>900.00000000000011</v>
      </c>
      <c r="T162" s="382"/>
      <c r="U162" s="382"/>
    </row>
    <row r="163" spans="2:21">
      <c r="B163" s="535" t="str">
        <f>'Actividades del proyecto'!B185</f>
        <v>5.2. Refacción  de los centros artesanales de mujeres</v>
      </c>
      <c r="C163" s="507"/>
      <c r="D163" s="508"/>
      <c r="E163" s="508"/>
      <c r="F163" s="509"/>
      <c r="G163" s="507"/>
      <c r="H163" s="508"/>
      <c r="I163" s="508"/>
      <c r="J163" s="509"/>
      <c r="K163" s="507"/>
      <c r="L163" s="508"/>
      <c r="M163" s="508"/>
      <c r="N163" s="509"/>
      <c r="O163" s="507"/>
      <c r="P163" s="508"/>
      <c r="Q163" s="508"/>
      <c r="R163" s="509"/>
      <c r="T163" s="382"/>
      <c r="U163" s="382"/>
    </row>
    <row r="164" spans="2:21">
      <c r="B164" s="384" t="str">
        <f>'Actividades del proyecto'!B186</f>
        <v>Material de construcción</v>
      </c>
      <c r="C164" s="507">
        <f>'Actividades del proyecto'!G186</f>
        <v>24000</v>
      </c>
      <c r="D164" s="508">
        <f>'Actividades del proyecto'!H186</f>
        <v>0</v>
      </c>
      <c r="E164" s="508">
        <f>'Actividades del proyecto'!I186</f>
        <v>0</v>
      </c>
      <c r="F164" s="509">
        <f t="shared" ref="F164:F165" si="287">SUM(C164:E164)</f>
        <v>24000</v>
      </c>
      <c r="G164" s="507">
        <f>'Actividades del proyecto'!J186</f>
        <v>0</v>
      </c>
      <c r="H164" s="508">
        <f>'Actividades del proyecto'!K186</f>
        <v>0</v>
      </c>
      <c r="I164" s="508">
        <f>'Actividades del proyecto'!L186</f>
        <v>0</v>
      </c>
      <c r="J164" s="509">
        <f t="shared" ref="J164:J165" si="288">SUM(G164:I164)</f>
        <v>0</v>
      </c>
      <c r="K164" s="507">
        <f>'Actividades del proyecto'!M186</f>
        <v>0</v>
      </c>
      <c r="L164" s="508">
        <f>'Actividades del proyecto'!N186</f>
        <v>0</v>
      </c>
      <c r="M164" s="508">
        <f>'Actividades del proyecto'!O186</f>
        <v>0</v>
      </c>
      <c r="N164" s="509">
        <f t="shared" ref="N164:N165" si="289">SUM(K164:M164)</f>
        <v>0</v>
      </c>
      <c r="O164" s="507">
        <f t="shared" ref="O164:O165" si="290">C164+G164+K164</f>
        <v>24000</v>
      </c>
      <c r="P164" s="508">
        <f t="shared" ref="P164:P165" si="291">D164+H164+L164</f>
        <v>0</v>
      </c>
      <c r="Q164" s="508">
        <f t="shared" ref="Q164:Q165" si="292">E164+I164+M164</f>
        <v>0</v>
      </c>
      <c r="R164" s="509">
        <f t="shared" ref="R164:R165" si="293">SUM(O164:Q164)</f>
        <v>24000</v>
      </c>
      <c r="T164" s="382"/>
      <c r="U164" s="382"/>
    </row>
    <row r="165" spans="2:21">
      <c r="B165" s="384" t="str">
        <f>'Actividades del proyecto'!B187</f>
        <v>Contrato albañil (3 jornales/centro)</v>
      </c>
      <c r="C165" s="507">
        <f>'Actividades del proyecto'!G187</f>
        <v>1800.0000000000002</v>
      </c>
      <c r="D165" s="508">
        <f>'Actividades del proyecto'!H187</f>
        <v>0</v>
      </c>
      <c r="E165" s="508">
        <f>'Actividades del proyecto'!I187</f>
        <v>0</v>
      </c>
      <c r="F165" s="509">
        <f t="shared" si="287"/>
        <v>1800.0000000000002</v>
      </c>
      <c r="G165" s="507">
        <f>'Actividades del proyecto'!J187</f>
        <v>0</v>
      </c>
      <c r="H165" s="508">
        <f>'Actividades del proyecto'!K187</f>
        <v>0</v>
      </c>
      <c r="I165" s="508">
        <f>'Actividades del proyecto'!L187</f>
        <v>0</v>
      </c>
      <c r="J165" s="509">
        <f t="shared" si="288"/>
        <v>0</v>
      </c>
      <c r="K165" s="507">
        <f>'Actividades del proyecto'!M187</f>
        <v>0</v>
      </c>
      <c r="L165" s="508">
        <f>'Actividades del proyecto'!N187</f>
        <v>0</v>
      </c>
      <c r="M165" s="508">
        <f>'Actividades del proyecto'!O187</f>
        <v>0</v>
      </c>
      <c r="N165" s="509">
        <f t="shared" si="289"/>
        <v>0</v>
      </c>
      <c r="O165" s="507">
        <f t="shared" si="290"/>
        <v>1800.0000000000002</v>
      </c>
      <c r="P165" s="508">
        <f t="shared" si="291"/>
        <v>0</v>
      </c>
      <c r="Q165" s="508">
        <f t="shared" si="292"/>
        <v>0</v>
      </c>
      <c r="R165" s="509">
        <f t="shared" si="293"/>
        <v>1800.0000000000002</v>
      </c>
      <c r="T165" s="382"/>
      <c r="U165" s="382"/>
    </row>
    <row r="166" spans="2:21" ht="38.25">
      <c r="B166" s="535" t="str">
        <f>'Actividades del proyecto'!B188</f>
        <v>5.3. Talleres de capacitación a las organizaciones de mujeres en producción artesanal (textiles, telares tradicionales, confección de bordados)</v>
      </c>
      <c r="C166" s="507"/>
      <c r="D166" s="508"/>
      <c r="E166" s="508"/>
      <c r="F166" s="467"/>
      <c r="G166" s="507"/>
      <c r="H166" s="508"/>
      <c r="I166" s="508"/>
      <c r="J166" s="467"/>
      <c r="K166" s="507"/>
      <c r="L166" s="508"/>
      <c r="M166" s="508"/>
      <c r="N166" s="467"/>
      <c r="O166" s="468"/>
      <c r="P166" s="469"/>
      <c r="Q166" s="469"/>
      <c r="R166" s="467"/>
      <c r="T166" s="382"/>
      <c r="U166" s="382"/>
    </row>
    <row r="167" spans="2:21">
      <c r="B167" s="384" t="str">
        <f>'Actividades del proyecto'!B189</f>
        <v xml:space="preserve">Insumos y materia prima </v>
      </c>
      <c r="C167" s="507">
        <f>'Actividades del proyecto'!G189</f>
        <v>5000</v>
      </c>
      <c r="D167" s="508">
        <f>'Actividades del proyecto'!H189</f>
        <v>0</v>
      </c>
      <c r="E167" s="508">
        <f>'Actividades del proyecto'!I189</f>
        <v>0</v>
      </c>
      <c r="F167" s="509">
        <f t="shared" ref="F167:F175" si="294">SUM(C167:E167)</f>
        <v>5000</v>
      </c>
      <c r="G167" s="507">
        <f>'Actividades del proyecto'!J189</f>
        <v>5000</v>
      </c>
      <c r="H167" s="508">
        <f>'Actividades del proyecto'!K189</f>
        <v>0</v>
      </c>
      <c r="I167" s="508">
        <f>'Actividades del proyecto'!L189</f>
        <v>0</v>
      </c>
      <c r="J167" s="509">
        <f t="shared" ref="J167:J175" si="295">SUM(G167:I167)</f>
        <v>5000</v>
      </c>
      <c r="K167" s="507">
        <f>'Actividades del proyecto'!M189</f>
        <v>0</v>
      </c>
      <c r="L167" s="508">
        <f>'Actividades del proyecto'!N189</f>
        <v>0</v>
      </c>
      <c r="M167" s="508">
        <f>'Actividades del proyecto'!O189</f>
        <v>0</v>
      </c>
      <c r="N167" s="509">
        <f t="shared" ref="N167:N175" si="296">SUM(K167:M167)</f>
        <v>0</v>
      </c>
      <c r="O167" s="507">
        <f t="shared" ref="O167:O175" si="297">C167+G167+K167</f>
        <v>10000</v>
      </c>
      <c r="P167" s="508">
        <f t="shared" ref="P167:P175" si="298">D167+H167+L167</f>
        <v>0</v>
      </c>
      <c r="Q167" s="508">
        <f t="shared" ref="Q167:Q175" si="299">E167+I167+M167</f>
        <v>0</v>
      </c>
      <c r="R167" s="509">
        <f t="shared" ref="R167:R175" si="300">SUM(O167:Q167)</f>
        <v>10000</v>
      </c>
      <c r="T167" s="382"/>
      <c r="U167" s="382"/>
    </row>
    <row r="168" spans="2:21">
      <c r="B168" s="384" t="str">
        <f>'Actividades del proyecto'!B190</f>
        <v>Alimentación (20 talleres telares x 15 part. x 20 Bs x 2 año)</v>
      </c>
      <c r="C168" s="507">
        <f>'Actividades del proyecto'!G190</f>
        <v>6000</v>
      </c>
      <c r="D168" s="508">
        <f>'Actividades del proyecto'!H190</f>
        <v>0</v>
      </c>
      <c r="E168" s="508">
        <f>'Actividades del proyecto'!I190</f>
        <v>0</v>
      </c>
      <c r="F168" s="509">
        <f t="shared" si="294"/>
        <v>6000</v>
      </c>
      <c r="G168" s="507">
        <f>'Actividades del proyecto'!J190</f>
        <v>6000</v>
      </c>
      <c r="H168" s="508">
        <f>'Actividades del proyecto'!K190</f>
        <v>0</v>
      </c>
      <c r="I168" s="508">
        <f>'Actividades del proyecto'!L190</f>
        <v>0</v>
      </c>
      <c r="J168" s="509">
        <f t="shared" si="295"/>
        <v>6000</v>
      </c>
      <c r="K168" s="507">
        <f>'Actividades del proyecto'!M190</f>
        <v>0</v>
      </c>
      <c r="L168" s="508">
        <f>'Actividades del proyecto'!N190</f>
        <v>0</v>
      </c>
      <c r="M168" s="508">
        <f>'Actividades del proyecto'!O190</f>
        <v>0</v>
      </c>
      <c r="N168" s="509">
        <f t="shared" si="296"/>
        <v>0</v>
      </c>
      <c r="O168" s="507">
        <f t="shared" si="297"/>
        <v>12000</v>
      </c>
      <c r="P168" s="508">
        <f t="shared" si="298"/>
        <v>0</v>
      </c>
      <c r="Q168" s="508">
        <f t="shared" si="299"/>
        <v>0</v>
      </c>
      <c r="R168" s="509">
        <f t="shared" si="300"/>
        <v>12000</v>
      </c>
      <c r="T168" s="382"/>
      <c r="U168" s="382"/>
    </row>
    <row r="169" spans="2:21">
      <c r="B169" s="384" t="str">
        <f>'Actividades del proyecto'!B191</f>
        <v>Impresión cartillas en telares</v>
      </c>
      <c r="C169" s="507">
        <f>'Actividades del proyecto'!G191</f>
        <v>800</v>
      </c>
      <c r="D169" s="508">
        <f>'Actividades del proyecto'!H191</f>
        <v>0</v>
      </c>
      <c r="E169" s="508">
        <f>'Actividades del proyecto'!I191</f>
        <v>0</v>
      </c>
      <c r="F169" s="509">
        <f t="shared" si="294"/>
        <v>800</v>
      </c>
      <c r="G169" s="507">
        <f>'Actividades del proyecto'!J191</f>
        <v>0</v>
      </c>
      <c r="H169" s="508">
        <f>'Actividades del proyecto'!K191</f>
        <v>0</v>
      </c>
      <c r="I169" s="508">
        <f>'Actividades del proyecto'!L191</f>
        <v>0</v>
      </c>
      <c r="J169" s="509">
        <f t="shared" si="295"/>
        <v>0</v>
      </c>
      <c r="K169" s="507">
        <f>'Actividades del proyecto'!M191</f>
        <v>0</v>
      </c>
      <c r="L169" s="508">
        <f>'Actividades del proyecto'!N191</f>
        <v>0</v>
      </c>
      <c r="M169" s="508">
        <f>'Actividades del proyecto'!O191</f>
        <v>0</v>
      </c>
      <c r="N169" s="509">
        <f t="shared" si="296"/>
        <v>0</v>
      </c>
      <c r="O169" s="507">
        <f t="shared" si="297"/>
        <v>800</v>
      </c>
      <c r="P169" s="508">
        <f t="shared" si="298"/>
        <v>0</v>
      </c>
      <c r="Q169" s="508">
        <f t="shared" si="299"/>
        <v>0</v>
      </c>
      <c r="R169" s="509">
        <f t="shared" si="300"/>
        <v>800</v>
      </c>
      <c r="T169" s="382"/>
      <c r="U169" s="382"/>
    </row>
    <row r="170" spans="2:21">
      <c r="B170" s="384" t="str">
        <f>'Actividades del proyecto'!B192</f>
        <v>Honorarios profesionales telares (40 talleres x 500 Bs)</v>
      </c>
      <c r="C170" s="507">
        <f>'Actividades del proyecto'!G192</f>
        <v>10000</v>
      </c>
      <c r="D170" s="508">
        <f>'Actividades del proyecto'!H192</f>
        <v>0</v>
      </c>
      <c r="E170" s="508">
        <f>'Actividades del proyecto'!I192</f>
        <v>0</v>
      </c>
      <c r="F170" s="509">
        <f t="shared" si="294"/>
        <v>10000</v>
      </c>
      <c r="G170" s="507">
        <f>'Actividades del proyecto'!J192</f>
        <v>10000</v>
      </c>
      <c r="H170" s="508">
        <f>'Actividades del proyecto'!K192</f>
        <v>0</v>
      </c>
      <c r="I170" s="508">
        <f>'Actividades del proyecto'!L192</f>
        <v>0</v>
      </c>
      <c r="J170" s="509">
        <f t="shared" si="295"/>
        <v>10000</v>
      </c>
      <c r="K170" s="507">
        <f>'Actividades del proyecto'!M192</f>
        <v>0</v>
      </c>
      <c r="L170" s="508">
        <f>'Actividades del proyecto'!N192</f>
        <v>0</v>
      </c>
      <c r="M170" s="508">
        <f>'Actividades del proyecto'!O192</f>
        <v>0</v>
      </c>
      <c r="N170" s="509">
        <f t="shared" si="296"/>
        <v>0</v>
      </c>
      <c r="O170" s="507">
        <f t="shared" si="297"/>
        <v>20000</v>
      </c>
      <c r="P170" s="508">
        <f t="shared" si="298"/>
        <v>0</v>
      </c>
      <c r="Q170" s="508">
        <f t="shared" si="299"/>
        <v>0</v>
      </c>
      <c r="R170" s="509">
        <f t="shared" si="300"/>
        <v>20000</v>
      </c>
      <c r="T170" s="382"/>
      <c r="U170" s="382"/>
    </row>
    <row r="171" spans="2:21" ht="25.5">
      <c r="B171" s="384" t="str">
        <f>'Actividades del proyecto'!B193</f>
        <v>Alimentación (12 talleres corte y confeccion bordados x 15 part. x 20 Bs x 2 año)</v>
      </c>
      <c r="C171" s="507">
        <f>'Actividades del proyecto'!G193</f>
        <v>3600.0000000000005</v>
      </c>
      <c r="D171" s="508">
        <f>'Actividades del proyecto'!H193</f>
        <v>0</v>
      </c>
      <c r="E171" s="508">
        <f>'Actividades del proyecto'!I193</f>
        <v>0</v>
      </c>
      <c r="F171" s="509">
        <f t="shared" si="294"/>
        <v>3600.0000000000005</v>
      </c>
      <c r="G171" s="507">
        <f>'Actividades del proyecto'!J193</f>
        <v>3600.0000000000005</v>
      </c>
      <c r="H171" s="508">
        <f>'Actividades del proyecto'!K193</f>
        <v>0</v>
      </c>
      <c r="I171" s="508">
        <f>'Actividades del proyecto'!L193</f>
        <v>0</v>
      </c>
      <c r="J171" s="509">
        <f t="shared" si="295"/>
        <v>3600.0000000000005</v>
      </c>
      <c r="K171" s="507">
        <f>'Actividades del proyecto'!M193</f>
        <v>0</v>
      </c>
      <c r="L171" s="508">
        <f>'Actividades del proyecto'!N193</f>
        <v>0</v>
      </c>
      <c r="M171" s="508">
        <f>'Actividades del proyecto'!O193</f>
        <v>0</v>
      </c>
      <c r="N171" s="509">
        <f t="shared" si="296"/>
        <v>0</v>
      </c>
      <c r="O171" s="507">
        <f t="shared" si="297"/>
        <v>7200.0000000000009</v>
      </c>
      <c r="P171" s="508">
        <f t="shared" si="298"/>
        <v>0</v>
      </c>
      <c r="Q171" s="508">
        <f t="shared" si="299"/>
        <v>0</v>
      </c>
      <c r="R171" s="509">
        <f t="shared" si="300"/>
        <v>7200.0000000000009</v>
      </c>
      <c r="T171" s="382"/>
      <c r="U171" s="382"/>
    </row>
    <row r="172" spans="2:21">
      <c r="B172" s="384" t="str">
        <f>'Actividades del proyecto'!B194</f>
        <v>Impresión cartillas en corte y confeccion bordados</v>
      </c>
      <c r="C172" s="507">
        <f>'Actividades del proyecto'!G194</f>
        <v>800</v>
      </c>
      <c r="D172" s="508">
        <f>'Actividades del proyecto'!H194</f>
        <v>0</v>
      </c>
      <c r="E172" s="508">
        <f>'Actividades del proyecto'!I194</f>
        <v>0</v>
      </c>
      <c r="F172" s="509">
        <f t="shared" si="294"/>
        <v>800</v>
      </c>
      <c r="G172" s="507">
        <f>'Actividades del proyecto'!J194</f>
        <v>0</v>
      </c>
      <c r="H172" s="508">
        <f>'Actividades del proyecto'!K194</f>
        <v>0</v>
      </c>
      <c r="I172" s="508">
        <f>'Actividades del proyecto'!L194</f>
        <v>0</v>
      </c>
      <c r="J172" s="509">
        <f t="shared" si="295"/>
        <v>0</v>
      </c>
      <c r="K172" s="507">
        <f>'Actividades del proyecto'!M194</f>
        <v>0</v>
      </c>
      <c r="L172" s="508">
        <f>'Actividades del proyecto'!N194</f>
        <v>0</v>
      </c>
      <c r="M172" s="508">
        <f>'Actividades del proyecto'!O194</f>
        <v>0</v>
      </c>
      <c r="N172" s="509">
        <f t="shared" si="296"/>
        <v>0</v>
      </c>
      <c r="O172" s="507">
        <f t="shared" si="297"/>
        <v>800</v>
      </c>
      <c r="P172" s="508">
        <f t="shared" si="298"/>
        <v>0</v>
      </c>
      <c r="Q172" s="508">
        <f t="shared" si="299"/>
        <v>0</v>
      </c>
      <c r="R172" s="509">
        <f t="shared" si="300"/>
        <v>800</v>
      </c>
      <c r="T172" s="382"/>
      <c r="U172" s="382"/>
    </row>
    <row r="173" spans="2:21" ht="25.5">
      <c r="B173" s="384" t="str">
        <f>'Actividades del proyecto'!B195</f>
        <v>Honorarios profesionales corte y confeccion bordados (24 talleres x 500 Bs)</v>
      </c>
      <c r="C173" s="507">
        <f>'Actividades del proyecto'!G195</f>
        <v>6000</v>
      </c>
      <c r="D173" s="508">
        <f>'Actividades del proyecto'!H195</f>
        <v>0</v>
      </c>
      <c r="E173" s="508">
        <f>'Actividades del proyecto'!I195</f>
        <v>0</v>
      </c>
      <c r="F173" s="509">
        <f t="shared" si="294"/>
        <v>6000</v>
      </c>
      <c r="G173" s="507">
        <f>'Actividades del proyecto'!J195</f>
        <v>6000</v>
      </c>
      <c r="H173" s="508">
        <f>'Actividades del proyecto'!K195</f>
        <v>0</v>
      </c>
      <c r="I173" s="508">
        <f>'Actividades del proyecto'!L195</f>
        <v>0</v>
      </c>
      <c r="J173" s="509">
        <f t="shared" si="295"/>
        <v>6000</v>
      </c>
      <c r="K173" s="507">
        <f>'Actividades del proyecto'!M195</f>
        <v>0</v>
      </c>
      <c r="L173" s="508">
        <f>'Actividades del proyecto'!N195</f>
        <v>0</v>
      </c>
      <c r="M173" s="508">
        <f>'Actividades del proyecto'!O195</f>
        <v>0</v>
      </c>
      <c r="N173" s="509">
        <f t="shared" si="296"/>
        <v>0</v>
      </c>
      <c r="O173" s="507">
        <f t="shared" si="297"/>
        <v>12000</v>
      </c>
      <c r="P173" s="508">
        <f t="shared" si="298"/>
        <v>0</v>
      </c>
      <c r="Q173" s="508">
        <f t="shared" si="299"/>
        <v>0</v>
      </c>
      <c r="R173" s="509">
        <f t="shared" si="300"/>
        <v>12000</v>
      </c>
      <c r="T173" s="382"/>
      <c r="U173" s="382"/>
    </row>
    <row r="174" spans="2:21">
      <c r="B174" s="384" t="str">
        <f>'Actividades del proyecto'!B196</f>
        <v>Vídeos, fotografías y otro material educativo</v>
      </c>
      <c r="C174" s="507">
        <f>'Actividades del proyecto'!G196</f>
        <v>1000</v>
      </c>
      <c r="D174" s="508">
        <f>'Actividades del proyecto'!H196</f>
        <v>0</v>
      </c>
      <c r="E174" s="508">
        <f>'Actividades del proyecto'!I196</f>
        <v>0</v>
      </c>
      <c r="F174" s="509">
        <f t="shared" si="294"/>
        <v>1000</v>
      </c>
      <c r="G174" s="507">
        <f>'Actividades del proyecto'!J196</f>
        <v>1000</v>
      </c>
      <c r="H174" s="508">
        <f>'Actividades del proyecto'!K196</f>
        <v>0</v>
      </c>
      <c r="I174" s="508">
        <f>'Actividades del proyecto'!L196</f>
        <v>0</v>
      </c>
      <c r="J174" s="509">
        <f t="shared" si="295"/>
        <v>1000</v>
      </c>
      <c r="K174" s="507">
        <f>'Actividades del proyecto'!M196</f>
        <v>0</v>
      </c>
      <c r="L174" s="508">
        <f>'Actividades del proyecto'!N196</f>
        <v>0</v>
      </c>
      <c r="M174" s="508">
        <f>'Actividades del proyecto'!O196</f>
        <v>0</v>
      </c>
      <c r="N174" s="509">
        <f t="shared" si="296"/>
        <v>0</v>
      </c>
      <c r="O174" s="507">
        <f t="shared" si="297"/>
        <v>2000</v>
      </c>
      <c r="P174" s="508">
        <f t="shared" si="298"/>
        <v>0</v>
      </c>
      <c r="Q174" s="508">
        <f t="shared" si="299"/>
        <v>0</v>
      </c>
      <c r="R174" s="509">
        <f t="shared" si="300"/>
        <v>2000</v>
      </c>
      <c r="T174" s="382"/>
      <c r="U174" s="382"/>
    </row>
    <row r="175" spans="2:21">
      <c r="B175" s="384" t="str">
        <f>'Actividades del proyecto'!B197</f>
        <v xml:space="preserve">Material de enseñanza y escritorio  </v>
      </c>
      <c r="C175" s="507">
        <f>'Actividades del proyecto'!G197</f>
        <v>1000</v>
      </c>
      <c r="D175" s="508">
        <f>'Actividades del proyecto'!H197</f>
        <v>0</v>
      </c>
      <c r="E175" s="508">
        <f>'Actividades del proyecto'!I197</f>
        <v>0</v>
      </c>
      <c r="F175" s="509">
        <f t="shared" si="294"/>
        <v>1000</v>
      </c>
      <c r="G175" s="507">
        <f>'Actividades del proyecto'!J197</f>
        <v>1000</v>
      </c>
      <c r="H175" s="508">
        <f>'Actividades del proyecto'!K197</f>
        <v>0</v>
      </c>
      <c r="I175" s="508">
        <f>'Actividades del proyecto'!L197</f>
        <v>0</v>
      </c>
      <c r="J175" s="509">
        <f t="shared" si="295"/>
        <v>1000</v>
      </c>
      <c r="K175" s="507">
        <f>'Actividades del proyecto'!M197</f>
        <v>0</v>
      </c>
      <c r="L175" s="508">
        <f>'Actividades del proyecto'!N197</f>
        <v>0</v>
      </c>
      <c r="M175" s="508">
        <f>'Actividades del proyecto'!O197</f>
        <v>0</v>
      </c>
      <c r="N175" s="509">
        <f t="shared" si="296"/>
        <v>0</v>
      </c>
      <c r="O175" s="507">
        <f t="shared" si="297"/>
        <v>2000</v>
      </c>
      <c r="P175" s="508">
        <f t="shared" si="298"/>
        <v>0</v>
      </c>
      <c r="Q175" s="508">
        <f t="shared" si="299"/>
        <v>0</v>
      </c>
      <c r="R175" s="509">
        <f t="shared" si="300"/>
        <v>2000</v>
      </c>
      <c r="T175" s="382"/>
      <c r="U175" s="382"/>
    </row>
    <row r="176" spans="2:21" ht="25.5">
      <c r="B176" s="535" t="str">
        <f>'Actividades del proyecto'!B198</f>
        <v>5.4. Apoyar en el proceso de producción textiles, telares tradicionales, confección de bordados</v>
      </c>
      <c r="C176" s="507"/>
      <c r="D176" s="508"/>
      <c r="E176" s="508"/>
      <c r="F176" s="467"/>
      <c r="G176" s="507"/>
      <c r="H176" s="508"/>
      <c r="I176" s="508"/>
      <c r="J176" s="467"/>
      <c r="K176" s="507"/>
      <c r="L176" s="508"/>
      <c r="M176" s="508"/>
      <c r="N176" s="467"/>
      <c r="O176" s="468"/>
      <c r="P176" s="469"/>
      <c r="Q176" s="469"/>
      <c r="R176" s="467"/>
      <c r="T176" s="382"/>
      <c r="U176" s="382"/>
    </row>
    <row r="177" spans="2:21">
      <c r="B177" s="384" t="str">
        <f>'Actividades del proyecto'!B199</f>
        <v>Telares, bastidores, awachas</v>
      </c>
      <c r="C177" s="507">
        <f>'Actividades del proyecto'!G199</f>
        <v>0</v>
      </c>
      <c r="D177" s="508">
        <f>'Actividades del proyecto'!H199</f>
        <v>0</v>
      </c>
      <c r="E177" s="508">
        <f>'Actividades del proyecto'!I199</f>
        <v>0</v>
      </c>
      <c r="F177" s="509">
        <f t="shared" ref="F177:F187" si="301">SUM(C177:E177)</f>
        <v>0</v>
      </c>
      <c r="G177" s="507">
        <f>'Actividades del proyecto'!J199</f>
        <v>14999.999999999998</v>
      </c>
      <c r="H177" s="508">
        <f>'Actividades del proyecto'!K199</f>
        <v>0</v>
      </c>
      <c r="I177" s="508">
        <f>'Actividades del proyecto'!L199</f>
        <v>0</v>
      </c>
      <c r="J177" s="509">
        <f t="shared" ref="J177" si="302">SUM(G177:I177)</f>
        <v>14999.999999999998</v>
      </c>
      <c r="K177" s="507">
        <f>'Actividades del proyecto'!M199</f>
        <v>0</v>
      </c>
      <c r="L177" s="508">
        <f>'Actividades del proyecto'!N199</f>
        <v>0</v>
      </c>
      <c r="M177" s="508">
        <f>'Actividades del proyecto'!O199</f>
        <v>0</v>
      </c>
      <c r="N177" s="509">
        <f t="shared" ref="N177:N184" si="303">SUM(K177:M177)</f>
        <v>0</v>
      </c>
      <c r="O177" s="507">
        <f t="shared" ref="O177" si="304">C177+G177+K177</f>
        <v>14999.999999999998</v>
      </c>
      <c r="P177" s="508">
        <f t="shared" ref="P177" si="305">D177+H177+L177</f>
        <v>0</v>
      </c>
      <c r="Q177" s="508">
        <f t="shared" ref="Q177" si="306">E177+I177+M177</f>
        <v>0</v>
      </c>
      <c r="R177" s="509">
        <f t="shared" ref="R177" si="307">SUM(O177:Q177)</f>
        <v>14999.999999999998</v>
      </c>
      <c r="T177" s="382"/>
      <c r="U177" s="382"/>
    </row>
    <row r="178" spans="2:21">
      <c r="B178" s="384" t="str">
        <f>'Actividades del proyecto'!B200</f>
        <v>Bolsas de lana x 3 años</v>
      </c>
      <c r="C178" s="507">
        <f>'Actividades del proyecto'!G200</f>
        <v>8000</v>
      </c>
      <c r="D178" s="508">
        <f>'Actividades del proyecto'!H200</f>
        <v>0</v>
      </c>
      <c r="E178" s="508">
        <f>'Actividades del proyecto'!I200</f>
        <v>0</v>
      </c>
      <c r="F178" s="509">
        <f t="shared" si="301"/>
        <v>8000</v>
      </c>
      <c r="G178" s="507">
        <f>'Actividades del proyecto'!J200</f>
        <v>8000</v>
      </c>
      <c r="H178" s="508">
        <f>'Actividades del proyecto'!K200</f>
        <v>0</v>
      </c>
      <c r="I178" s="508">
        <f>'Actividades del proyecto'!L200</f>
        <v>0</v>
      </c>
      <c r="J178" s="509">
        <f t="shared" ref="J178:J187" si="308">SUM(G178:I178)</f>
        <v>8000</v>
      </c>
      <c r="K178" s="507">
        <f>'Actividades del proyecto'!M200</f>
        <v>8000</v>
      </c>
      <c r="L178" s="508">
        <f>'Actividades del proyecto'!N200</f>
        <v>0</v>
      </c>
      <c r="M178" s="508">
        <f>'Actividades del proyecto'!O200</f>
        <v>0</v>
      </c>
      <c r="N178" s="509">
        <f t="shared" si="303"/>
        <v>8000</v>
      </c>
      <c r="O178" s="507">
        <f t="shared" ref="O178:O187" si="309">C178+G178+K178</f>
        <v>24000</v>
      </c>
      <c r="P178" s="508">
        <f t="shared" ref="P178:P187" si="310">D178+H178+L178</f>
        <v>0</v>
      </c>
      <c r="Q178" s="508">
        <f t="shared" ref="Q178:Q187" si="311">E178+I178+M178</f>
        <v>0</v>
      </c>
      <c r="R178" s="509">
        <f t="shared" ref="R178:R187" si="312">SUM(O178:Q178)</f>
        <v>24000</v>
      </c>
      <c r="T178" s="382"/>
      <c r="U178" s="382"/>
    </row>
    <row r="179" spans="2:21">
      <c r="B179" s="384" t="str">
        <f>'Actividades del proyecto'!B201</f>
        <v>Repuestos</v>
      </c>
      <c r="C179" s="507">
        <f>'Actividades del proyecto'!G201</f>
        <v>0</v>
      </c>
      <c r="D179" s="508">
        <f>'Actividades del proyecto'!H201</f>
        <v>0</v>
      </c>
      <c r="E179" s="508">
        <f>'Actividades del proyecto'!I201</f>
        <v>0</v>
      </c>
      <c r="F179" s="509">
        <f t="shared" si="301"/>
        <v>0</v>
      </c>
      <c r="G179" s="507">
        <f>'Actividades del proyecto'!J201</f>
        <v>300</v>
      </c>
      <c r="H179" s="508">
        <f>'Actividades del proyecto'!K201</f>
        <v>0</v>
      </c>
      <c r="I179" s="508">
        <f>'Actividades del proyecto'!L201</f>
        <v>0</v>
      </c>
      <c r="J179" s="509">
        <f t="shared" si="308"/>
        <v>300</v>
      </c>
      <c r="K179" s="507">
        <f>'Actividades del proyecto'!M201</f>
        <v>400</v>
      </c>
      <c r="L179" s="508">
        <f>'Actividades del proyecto'!N201</f>
        <v>0</v>
      </c>
      <c r="M179" s="508">
        <f>'Actividades del proyecto'!O201</f>
        <v>0</v>
      </c>
      <c r="N179" s="509">
        <f t="shared" si="303"/>
        <v>400</v>
      </c>
      <c r="O179" s="507">
        <f t="shared" si="309"/>
        <v>700</v>
      </c>
      <c r="P179" s="508">
        <f t="shared" si="310"/>
        <v>0</v>
      </c>
      <c r="Q179" s="508">
        <f t="shared" si="311"/>
        <v>0</v>
      </c>
      <c r="R179" s="509">
        <f t="shared" si="312"/>
        <v>700</v>
      </c>
      <c r="T179" s="382"/>
      <c r="U179" s="382"/>
    </row>
    <row r="180" spans="2:21">
      <c r="B180" s="384" t="str">
        <f>'Actividades del proyecto'!B202</f>
        <v>Estantes</v>
      </c>
      <c r="C180" s="507">
        <f>'Actividades del proyecto'!G202</f>
        <v>2800</v>
      </c>
      <c r="D180" s="508">
        <f>'Actividades del proyecto'!H202</f>
        <v>0</v>
      </c>
      <c r="E180" s="508">
        <f>'Actividades del proyecto'!I202</f>
        <v>0</v>
      </c>
      <c r="F180" s="509">
        <f t="shared" si="301"/>
        <v>2800</v>
      </c>
      <c r="G180" s="507">
        <f>'Actividades del proyecto'!J202</f>
        <v>0</v>
      </c>
      <c r="H180" s="508">
        <f>'Actividades del proyecto'!K202</f>
        <v>0</v>
      </c>
      <c r="I180" s="508">
        <f>'Actividades del proyecto'!L202</f>
        <v>0</v>
      </c>
      <c r="J180" s="509">
        <f t="shared" si="308"/>
        <v>0</v>
      </c>
      <c r="K180" s="507">
        <f>'Actividades del proyecto'!M205</f>
        <v>0</v>
      </c>
      <c r="L180" s="508">
        <f>'Actividades del proyecto'!N205</f>
        <v>0</v>
      </c>
      <c r="M180" s="508">
        <f>'Actividades del proyecto'!O205</f>
        <v>0</v>
      </c>
      <c r="N180" s="509">
        <f t="shared" si="303"/>
        <v>0</v>
      </c>
      <c r="O180" s="507">
        <f t="shared" si="309"/>
        <v>2800</v>
      </c>
      <c r="P180" s="508">
        <f t="shared" si="310"/>
        <v>0</v>
      </c>
      <c r="Q180" s="508">
        <f t="shared" si="311"/>
        <v>0</v>
      </c>
      <c r="R180" s="509">
        <f t="shared" si="312"/>
        <v>2800</v>
      </c>
      <c r="T180" s="382"/>
      <c r="U180" s="382"/>
    </row>
    <row r="181" spans="2:21">
      <c r="B181" s="384" t="str">
        <f>'Actividades del proyecto'!B203</f>
        <v>Mesas</v>
      </c>
      <c r="C181" s="507">
        <f>'Actividades del proyecto'!G203</f>
        <v>1600</v>
      </c>
      <c r="D181" s="508">
        <f>'Actividades del proyecto'!H203</f>
        <v>0</v>
      </c>
      <c r="E181" s="508">
        <f>'Actividades del proyecto'!I203</f>
        <v>0</v>
      </c>
      <c r="F181" s="509">
        <f t="shared" si="301"/>
        <v>1600</v>
      </c>
      <c r="G181" s="507">
        <f>'Actividades del proyecto'!J203</f>
        <v>0</v>
      </c>
      <c r="H181" s="508">
        <f>'Actividades del proyecto'!K203</f>
        <v>0</v>
      </c>
      <c r="I181" s="508">
        <f>'Actividades del proyecto'!L203</f>
        <v>0</v>
      </c>
      <c r="J181" s="509">
        <f t="shared" si="308"/>
        <v>0</v>
      </c>
      <c r="K181" s="507">
        <f>'Actividades del proyecto'!M206</f>
        <v>4000</v>
      </c>
      <c r="L181" s="508">
        <f>'Actividades del proyecto'!N206</f>
        <v>0</v>
      </c>
      <c r="M181" s="508">
        <f>'Actividades del proyecto'!O206</f>
        <v>0</v>
      </c>
      <c r="N181" s="509">
        <f t="shared" si="303"/>
        <v>4000</v>
      </c>
      <c r="O181" s="507">
        <f t="shared" si="309"/>
        <v>5600</v>
      </c>
      <c r="P181" s="508">
        <f t="shared" si="310"/>
        <v>0</v>
      </c>
      <c r="Q181" s="508">
        <f t="shared" si="311"/>
        <v>0</v>
      </c>
      <c r="R181" s="509">
        <f t="shared" si="312"/>
        <v>5600</v>
      </c>
      <c r="T181" s="382"/>
      <c r="U181" s="382"/>
    </row>
    <row r="182" spans="2:21">
      <c r="B182" s="384" t="str">
        <f>'Actividades del proyecto'!B204</f>
        <v>Sillas</v>
      </c>
      <c r="C182" s="507">
        <f>'Actividades del proyecto'!G204</f>
        <v>2400</v>
      </c>
      <c r="D182" s="508">
        <f>'Actividades del proyecto'!H204</f>
        <v>0</v>
      </c>
      <c r="E182" s="508">
        <f>'Actividades del proyecto'!I204</f>
        <v>0</v>
      </c>
      <c r="F182" s="509">
        <f t="shared" si="301"/>
        <v>2400</v>
      </c>
      <c r="G182" s="507">
        <f>'Actividades del proyecto'!J204</f>
        <v>0</v>
      </c>
      <c r="H182" s="508">
        <f>'Actividades del proyecto'!K204</f>
        <v>0</v>
      </c>
      <c r="I182" s="508">
        <f>'Actividades del proyecto'!L204</f>
        <v>0</v>
      </c>
      <c r="J182" s="509">
        <f t="shared" si="308"/>
        <v>0</v>
      </c>
      <c r="K182" s="507">
        <f>'Actividades del proyecto'!M207</f>
        <v>3500</v>
      </c>
      <c r="L182" s="508">
        <f>'Actividades del proyecto'!N207</f>
        <v>0</v>
      </c>
      <c r="M182" s="508">
        <f>'Actividades del proyecto'!O207</f>
        <v>0</v>
      </c>
      <c r="N182" s="509">
        <f t="shared" si="303"/>
        <v>3500</v>
      </c>
      <c r="O182" s="507">
        <f t="shared" si="309"/>
        <v>5900</v>
      </c>
      <c r="P182" s="508">
        <f t="shared" si="310"/>
        <v>0</v>
      </c>
      <c r="Q182" s="508">
        <f t="shared" si="311"/>
        <v>0</v>
      </c>
      <c r="R182" s="509">
        <f t="shared" si="312"/>
        <v>5900</v>
      </c>
      <c r="T182" s="382"/>
      <c r="U182" s="382"/>
    </row>
    <row r="183" spans="2:21">
      <c r="B183" s="384" t="str">
        <f>'Actividades del proyecto'!B205</f>
        <v>Máquinas de confección y bordados</v>
      </c>
      <c r="C183" s="507">
        <f>'Actividades del proyecto'!G205</f>
        <v>0</v>
      </c>
      <c r="D183" s="508">
        <f>'Actividades del proyecto'!H205</f>
        <v>0</v>
      </c>
      <c r="E183" s="508">
        <f>'Actividades del proyecto'!I205</f>
        <v>0</v>
      </c>
      <c r="F183" s="509">
        <f t="shared" si="301"/>
        <v>0</v>
      </c>
      <c r="G183" s="507">
        <f>'Actividades del proyecto'!J205</f>
        <v>12000</v>
      </c>
      <c r="H183" s="508">
        <f>'Actividades del proyecto'!K205</f>
        <v>0</v>
      </c>
      <c r="I183" s="508">
        <f>'Actividades del proyecto'!L205</f>
        <v>0</v>
      </c>
      <c r="J183" s="509">
        <f t="shared" si="308"/>
        <v>12000</v>
      </c>
      <c r="K183" s="507">
        <f>'Actividades del proyecto'!M208</f>
        <v>400</v>
      </c>
      <c r="L183" s="508">
        <f>'Actividades del proyecto'!N208</f>
        <v>0</v>
      </c>
      <c r="M183" s="508">
        <f>'Actividades del proyecto'!O208</f>
        <v>0</v>
      </c>
      <c r="N183" s="509">
        <f t="shared" si="303"/>
        <v>400</v>
      </c>
      <c r="O183" s="507">
        <f t="shared" si="309"/>
        <v>12400</v>
      </c>
      <c r="P183" s="508">
        <f t="shared" si="310"/>
        <v>0</v>
      </c>
      <c r="Q183" s="508">
        <f t="shared" si="311"/>
        <v>0</v>
      </c>
      <c r="R183" s="509">
        <f t="shared" si="312"/>
        <v>12400</v>
      </c>
      <c r="T183" s="382"/>
      <c r="U183" s="382"/>
    </row>
    <row r="184" spans="2:21">
      <c r="B184" s="384" t="str">
        <f>'Actividades del proyecto'!B206</f>
        <v>Insumos confeccion y bordados (lanas, bolsas, planchas y otros)</v>
      </c>
      <c r="C184" s="507">
        <f>'Actividades del proyecto'!G206</f>
        <v>4000</v>
      </c>
      <c r="D184" s="508">
        <f>'Actividades del proyecto'!H206</f>
        <v>0</v>
      </c>
      <c r="E184" s="508">
        <f>'Actividades del proyecto'!I206</f>
        <v>0</v>
      </c>
      <c r="F184" s="509">
        <f t="shared" si="301"/>
        <v>4000</v>
      </c>
      <c r="G184" s="507">
        <f>'Actividades del proyecto'!J206</f>
        <v>4000</v>
      </c>
      <c r="H184" s="508">
        <f>'Actividades del proyecto'!K206</f>
        <v>0</v>
      </c>
      <c r="I184" s="508">
        <f>'Actividades del proyecto'!L206</f>
        <v>0</v>
      </c>
      <c r="J184" s="509">
        <f t="shared" si="308"/>
        <v>4000</v>
      </c>
      <c r="K184" s="507">
        <f>'Actividades del proyecto'!M209</f>
        <v>400</v>
      </c>
      <c r="L184" s="508">
        <f>'Actividades del proyecto'!N209</f>
        <v>0</v>
      </c>
      <c r="M184" s="508">
        <f>'Actividades del proyecto'!O209</f>
        <v>0</v>
      </c>
      <c r="N184" s="509">
        <f t="shared" si="303"/>
        <v>400</v>
      </c>
      <c r="O184" s="507">
        <f t="shared" si="309"/>
        <v>8400</v>
      </c>
      <c r="P184" s="508">
        <f t="shared" si="310"/>
        <v>0</v>
      </c>
      <c r="Q184" s="508">
        <f t="shared" si="311"/>
        <v>0</v>
      </c>
      <c r="R184" s="509">
        <f t="shared" si="312"/>
        <v>8400</v>
      </c>
      <c r="T184" s="382"/>
      <c r="U184" s="382"/>
    </row>
    <row r="185" spans="2:21">
      <c r="B185" s="384" t="str">
        <f>'Actividades del proyecto'!B207</f>
        <v>Tela (negro y blanco)</v>
      </c>
      <c r="C185" s="507">
        <f>'Actividades del proyecto'!G207</f>
        <v>7000</v>
      </c>
      <c r="D185" s="508">
        <f>'Actividades del proyecto'!H207</f>
        <v>0</v>
      </c>
      <c r="E185" s="508">
        <f>'Actividades del proyecto'!I207</f>
        <v>0</v>
      </c>
      <c r="F185" s="509">
        <f t="shared" si="301"/>
        <v>7000</v>
      </c>
      <c r="G185" s="507">
        <f>'Actividades del proyecto'!J207</f>
        <v>3500</v>
      </c>
      <c r="H185" s="508">
        <f>'Actividades del proyecto'!K207</f>
        <v>0</v>
      </c>
      <c r="I185" s="508">
        <f>'Actividades del proyecto'!L207</f>
        <v>0</v>
      </c>
      <c r="J185" s="509">
        <f t="shared" si="308"/>
        <v>3500</v>
      </c>
      <c r="K185" s="507"/>
      <c r="L185" s="508"/>
      <c r="M185" s="508"/>
      <c r="N185" s="509"/>
      <c r="O185" s="507">
        <f t="shared" si="309"/>
        <v>10500</v>
      </c>
      <c r="P185" s="508">
        <f t="shared" si="310"/>
        <v>0</v>
      </c>
      <c r="Q185" s="508">
        <f t="shared" si="311"/>
        <v>0</v>
      </c>
      <c r="R185" s="509">
        <f t="shared" si="312"/>
        <v>10500</v>
      </c>
      <c r="T185" s="382"/>
      <c r="U185" s="382"/>
    </row>
    <row r="186" spans="2:21">
      <c r="B186" s="384" t="str">
        <f>'Actividades del proyecto'!B208</f>
        <v>Hilo (blanco, rojo y negro)</v>
      </c>
      <c r="C186" s="507">
        <f>'Actividades del proyecto'!G208</f>
        <v>400</v>
      </c>
      <c r="D186" s="508">
        <f>'Actividades del proyecto'!H208</f>
        <v>0</v>
      </c>
      <c r="E186" s="508">
        <f>'Actividades del proyecto'!I208</f>
        <v>0</v>
      </c>
      <c r="F186" s="509">
        <f t="shared" si="301"/>
        <v>400</v>
      </c>
      <c r="G186" s="507">
        <f>'Actividades del proyecto'!J208</f>
        <v>400</v>
      </c>
      <c r="H186" s="508">
        <f>'Actividades del proyecto'!K208</f>
        <v>0</v>
      </c>
      <c r="I186" s="508">
        <f>'Actividades del proyecto'!L208</f>
        <v>0</v>
      </c>
      <c r="J186" s="509">
        <f t="shared" si="308"/>
        <v>400</v>
      </c>
      <c r="K186" s="507"/>
      <c r="L186" s="508"/>
      <c r="M186" s="508"/>
      <c r="N186" s="509"/>
      <c r="O186" s="507">
        <f t="shared" si="309"/>
        <v>800</v>
      </c>
      <c r="P186" s="508">
        <f t="shared" si="310"/>
        <v>0</v>
      </c>
      <c r="Q186" s="508">
        <f t="shared" si="311"/>
        <v>0</v>
      </c>
      <c r="R186" s="509">
        <f t="shared" si="312"/>
        <v>800</v>
      </c>
      <c r="T186" s="382"/>
      <c r="U186" s="382"/>
    </row>
    <row r="187" spans="2:21">
      <c r="B187" s="384" t="str">
        <f>'Actividades del proyecto'!B209</f>
        <v>Repuestos</v>
      </c>
      <c r="C187" s="507">
        <f>'Actividades del proyecto'!G209</f>
        <v>0</v>
      </c>
      <c r="D187" s="508">
        <f>'Actividades del proyecto'!H209</f>
        <v>0</v>
      </c>
      <c r="E187" s="508">
        <f>'Actividades del proyecto'!I209</f>
        <v>0</v>
      </c>
      <c r="F187" s="509">
        <f t="shared" si="301"/>
        <v>0</v>
      </c>
      <c r="G187" s="507">
        <f>'Actividades del proyecto'!J209</f>
        <v>600</v>
      </c>
      <c r="H187" s="508">
        <f>'Actividades del proyecto'!K209</f>
        <v>0</v>
      </c>
      <c r="I187" s="508">
        <f>'Actividades del proyecto'!L209</f>
        <v>0</v>
      </c>
      <c r="J187" s="509">
        <f t="shared" si="308"/>
        <v>600</v>
      </c>
      <c r="K187" s="507"/>
      <c r="L187" s="508"/>
      <c r="M187" s="508"/>
      <c r="N187" s="509"/>
      <c r="O187" s="507">
        <f t="shared" si="309"/>
        <v>600</v>
      </c>
      <c r="P187" s="508">
        <f t="shared" si="310"/>
        <v>0</v>
      </c>
      <c r="Q187" s="508">
        <f t="shared" si="311"/>
        <v>0</v>
      </c>
      <c r="R187" s="509">
        <f t="shared" si="312"/>
        <v>600</v>
      </c>
      <c r="T187" s="382"/>
      <c r="U187" s="382"/>
    </row>
    <row r="188" spans="2:21">
      <c r="B188" s="535" t="str">
        <f>'Actividades del proyecto'!B210</f>
        <v>5.5. Desarrollo de ferias artesanales</v>
      </c>
      <c r="C188" s="507"/>
      <c r="D188" s="508"/>
      <c r="E188" s="508"/>
      <c r="F188" s="467"/>
      <c r="G188" s="507"/>
      <c r="H188" s="508"/>
      <c r="I188" s="508"/>
      <c r="J188" s="467"/>
      <c r="K188" s="507"/>
      <c r="L188" s="508"/>
      <c r="M188" s="508"/>
      <c r="N188" s="467"/>
      <c r="O188" s="468"/>
      <c r="P188" s="469"/>
      <c r="Q188" s="469"/>
      <c r="R188" s="467"/>
      <c r="T188" s="382"/>
      <c r="U188" s="382"/>
    </row>
    <row r="189" spans="2:21">
      <c r="B189" s="384" t="str">
        <f>'Actividades del proyecto'!B211</f>
        <v>Material de difusión, afiches, trípticos y otros</v>
      </c>
      <c r="C189" s="507">
        <f>'Actividades del proyecto'!G211</f>
        <v>0</v>
      </c>
      <c r="D189" s="508">
        <f>'Actividades del proyecto'!H211</f>
        <v>0</v>
      </c>
      <c r="E189" s="508">
        <f>'Actividades del proyecto'!I211</f>
        <v>0</v>
      </c>
      <c r="F189" s="509">
        <f t="shared" ref="F189:F192" si="313">SUM(C189:E189)</f>
        <v>0</v>
      </c>
      <c r="G189" s="507">
        <f>'Actividades del proyecto'!J211</f>
        <v>3000</v>
      </c>
      <c r="H189" s="508">
        <f>'Actividades del proyecto'!K211</f>
        <v>0</v>
      </c>
      <c r="I189" s="508">
        <f>'Actividades del proyecto'!L211</f>
        <v>0</v>
      </c>
      <c r="J189" s="509">
        <f t="shared" ref="J189:J192" si="314">SUM(G189:I189)</f>
        <v>3000</v>
      </c>
      <c r="K189" s="507">
        <f>'Actividades del proyecto'!M211</f>
        <v>3000</v>
      </c>
      <c r="L189" s="508">
        <f>'Actividades del proyecto'!N211</f>
        <v>0</v>
      </c>
      <c r="M189" s="508">
        <f>'Actividades del proyecto'!O211</f>
        <v>0</v>
      </c>
      <c r="N189" s="509">
        <f t="shared" ref="N189:N192" si="315">SUM(K189:M189)</f>
        <v>3000</v>
      </c>
      <c r="O189" s="507">
        <f t="shared" ref="O189:O192" si="316">C189+G189+K189</f>
        <v>6000</v>
      </c>
      <c r="P189" s="508">
        <f t="shared" ref="P189:P192" si="317">D189+H189+L189</f>
        <v>0</v>
      </c>
      <c r="Q189" s="508">
        <f t="shared" ref="Q189:Q192" si="318">E189+I189+M189</f>
        <v>0</v>
      </c>
      <c r="R189" s="509">
        <f t="shared" ref="R189:R192" si="319">SUM(O189:Q189)</f>
        <v>6000</v>
      </c>
      <c r="T189" s="382"/>
      <c r="U189" s="382"/>
    </row>
    <row r="190" spans="2:21">
      <c r="B190" s="384" t="str">
        <f>'Actividades del proyecto'!B212</f>
        <v>Amplificación</v>
      </c>
      <c r="C190" s="507">
        <f>'Actividades del proyecto'!G212</f>
        <v>0</v>
      </c>
      <c r="D190" s="508">
        <f>'Actividades del proyecto'!H212</f>
        <v>0</v>
      </c>
      <c r="E190" s="508">
        <f>'Actividades del proyecto'!I212</f>
        <v>0</v>
      </c>
      <c r="F190" s="509">
        <f t="shared" si="313"/>
        <v>0</v>
      </c>
      <c r="G190" s="507">
        <f>'Actividades del proyecto'!J212</f>
        <v>2000</v>
      </c>
      <c r="H190" s="508">
        <f>'Actividades del proyecto'!K212</f>
        <v>0</v>
      </c>
      <c r="I190" s="508">
        <f>'Actividades del proyecto'!L212</f>
        <v>0</v>
      </c>
      <c r="J190" s="509">
        <f t="shared" si="314"/>
        <v>2000</v>
      </c>
      <c r="K190" s="507">
        <f>'Actividades del proyecto'!M212</f>
        <v>2000</v>
      </c>
      <c r="L190" s="508">
        <f>'Actividades del proyecto'!N212</f>
        <v>0</v>
      </c>
      <c r="M190" s="508">
        <f>'Actividades del proyecto'!O212</f>
        <v>0</v>
      </c>
      <c r="N190" s="509">
        <f t="shared" si="315"/>
        <v>2000</v>
      </c>
      <c r="O190" s="507">
        <f t="shared" si="316"/>
        <v>4000</v>
      </c>
      <c r="P190" s="508">
        <f t="shared" si="317"/>
        <v>0</v>
      </c>
      <c r="Q190" s="508">
        <f t="shared" si="318"/>
        <v>0</v>
      </c>
      <c r="R190" s="509">
        <f t="shared" si="319"/>
        <v>4000</v>
      </c>
      <c r="T190" s="382"/>
      <c r="U190" s="382"/>
    </row>
    <row r="191" spans="2:21">
      <c r="B191" s="384" t="str">
        <f>'Actividades del proyecto'!B213</f>
        <v>Insumos y premios para las ferias artesanales (lanas, telas y otros)</v>
      </c>
      <c r="C191" s="507">
        <f>'Actividades del proyecto'!G213</f>
        <v>0</v>
      </c>
      <c r="D191" s="508">
        <f>'Actividades del proyecto'!H213</f>
        <v>0</v>
      </c>
      <c r="E191" s="508">
        <f>'Actividades del proyecto'!I213</f>
        <v>0</v>
      </c>
      <c r="F191" s="509">
        <f t="shared" si="313"/>
        <v>0</v>
      </c>
      <c r="G191" s="507">
        <f>'Actividades del proyecto'!J213</f>
        <v>7500</v>
      </c>
      <c r="H191" s="508">
        <f>'Actividades del proyecto'!K213</f>
        <v>0</v>
      </c>
      <c r="I191" s="508">
        <f>'Actividades del proyecto'!L213</f>
        <v>0</v>
      </c>
      <c r="J191" s="509">
        <f t="shared" si="314"/>
        <v>7500</v>
      </c>
      <c r="K191" s="507">
        <f>'Actividades del proyecto'!M213</f>
        <v>7499.9999999999991</v>
      </c>
      <c r="L191" s="508">
        <f>'Actividades del proyecto'!N213</f>
        <v>0</v>
      </c>
      <c r="M191" s="508">
        <f>'Actividades del proyecto'!O213</f>
        <v>0</v>
      </c>
      <c r="N191" s="509">
        <f t="shared" si="315"/>
        <v>7499.9999999999991</v>
      </c>
      <c r="O191" s="507">
        <f t="shared" si="316"/>
        <v>15000</v>
      </c>
      <c r="P191" s="508">
        <f t="shared" si="317"/>
        <v>0</v>
      </c>
      <c r="Q191" s="508">
        <f t="shared" si="318"/>
        <v>0</v>
      </c>
      <c r="R191" s="509">
        <f t="shared" si="319"/>
        <v>15000</v>
      </c>
      <c r="T191" s="382"/>
      <c r="U191" s="382"/>
    </row>
    <row r="192" spans="2:21" ht="25.5">
      <c r="B192" s="384" t="str">
        <f>'Actividades del proyecto'!B214</f>
        <v>Alimentación (1 feria x 4 sub centralias x 20 part. x 15 bs x 3 años y 1 distrital)</v>
      </c>
      <c r="C192" s="507">
        <f>'Actividades del proyecto'!G214</f>
        <v>0</v>
      </c>
      <c r="D192" s="508">
        <f>'Actividades del proyecto'!H214</f>
        <v>0</v>
      </c>
      <c r="E192" s="508">
        <f>'Actividades del proyecto'!I214</f>
        <v>0</v>
      </c>
      <c r="F192" s="509">
        <f t="shared" si="313"/>
        <v>0</v>
      </c>
      <c r="G192" s="507">
        <f>'Actividades del proyecto'!J214</f>
        <v>1500</v>
      </c>
      <c r="H192" s="508">
        <f>'Actividades del proyecto'!K214</f>
        <v>0</v>
      </c>
      <c r="I192" s="508">
        <f>'Actividades del proyecto'!L214</f>
        <v>0</v>
      </c>
      <c r="J192" s="509">
        <f t="shared" si="314"/>
        <v>1500</v>
      </c>
      <c r="K192" s="507">
        <f>'Actividades del proyecto'!M214</f>
        <v>1500</v>
      </c>
      <c r="L192" s="508">
        <f>'Actividades del proyecto'!N214</f>
        <v>0</v>
      </c>
      <c r="M192" s="508">
        <f>'Actividades del proyecto'!O214</f>
        <v>0</v>
      </c>
      <c r="N192" s="509">
        <f t="shared" si="315"/>
        <v>1500</v>
      </c>
      <c r="O192" s="507">
        <f t="shared" si="316"/>
        <v>3000</v>
      </c>
      <c r="P192" s="508">
        <f t="shared" si="317"/>
        <v>0</v>
      </c>
      <c r="Q192" s="508">
        <f t="shared" si="318"/>
        <v>0</v>
      </c>
      <c r="R192" s="509">
        <f t="shared" si="319"/>
        <v>3000</v>
      </c>
      <c r="T192" s="382"/>
      <c r="U192" s="382"/>
    </row>
    <row r="193" spans="2:21" ht="13.5" customHeight="1">
      <c r="B193" s="510" t="s">
        <v>18</v>
      </c>
      <c r="C193" s="158">
        <f>SUM(C42:C192)</f>
        <v>881804.03119999997</v>
      </c>
      <c r="D193" s="124">
        <f t="shared" ref="D193:R193" si="320">SUM(D42:D192)</f>
        <v>31500</v>
      </c>
      <c r="E193" s="124">
        <f t="shared" si="320"/>
        <v>157400</v>
      </c>
      <c r="F193" s="159">
        <f t="shared" si="320"/>
        <v>1070704.0312000001</v>
      </c>
      <c r="G193" s="158">
        <f t="shared" si="320"/>
        <v>683984.02480000001</v>
      </c>
      <c r="H193" s="124">
        <f t="shared" si="320"/>
        <v>0</v>
      </c>
      <c r="I193" s="124">
        <f t="shared" si="320"/>
        <v>172680</v>
      </c>
      <c r="J193" s="159">
        <f t="shared" si="320"/>
        <v>856664.02480000001</v>
      </c>
      <c r="K193" s="158">
        <f t="shared" si="320"/>
        <v>377598.02960000001</v>
      </c>
      <c r="L193" s="124">
        <f t="shared" si="320"/>
        <v>0</v>
      </c>
      <c r="M193" s="124">
        <f t="shared" si="320"/>
        <v>118920</v>
      </c>
      <c r="N193" s="159">
        <f t="shared" si="320"/>
        <v>496518.02960000001</v>
      </c>
      <c r="O193" s="158">
        <f t="shared" si="320"/>
        <v>1943386.0856000001</v>
      </c>
      <c r="P193" s="124">
        <f t="shared" si="320"/>
        <v>31500</v>
      </c>
      <c r="Q193" s="124">
        <f t="shared" si="320"/>
        <v>449000</v>
      </c>
      <c r="R193" s="159">
        <f t="shared" si="320"/>
        <v>2423886.0855999999</v>
      </c>
      <c r="S193" s="399"/>
      <c r="T193" s="382"/>
      <c r="U193" s="382"/>
    </row>
    <row r="194" spans="2:21" ht="13.5" customHeight="1">
      <c r="B194" s="511"/>
      <c r="C194" s="160"/>
      <c r="D194" s="151"/>
      <c r="E194" s="151"/>
      <c r="F194" s="161"/>
      <c r="G194" s="160"/>
      <c r="H194" s="151"/>
      <c r="I194" s="151"/>
      <c r="J194" s="161"/>
      <c r="K194" s="160"/>
      <c r="L194" s="151"/>
      <c r="M194" s="151"/>
      <c r="N194" s="161"/>
      <c r="O194" s="160"/>
      <c r="P194" s="151"/>
      <c r="Q194" s="151"/>
      <c r="R194" s="161"/>
      <c r="T194" s="382"/>
      <c r="U194" s="382"/>
    </row>
    <row r="195" spans="2:21" s="6" customFormat="1" ht="13.5" customHeight="1">
      <c r="B195" s="512" t="s">
        <v>51</v>
      </c>
      <c r="C195" s="379">
        <f>SUM(C196:C197)</f>
        <v>0</v>
      </c>
      <c r="D195" s="377">
        <f t="shared" ref="D195:G195" si="321">SUM(D196:D197)</f>
        <v>0</v>
      </c>
      <c r="E195" s="377">
        <f t="shared" si="321"/>
        <v>0</v>
      </c>
      <c r="F195" s="396">
        <f t="shared" si="321"/>
        <v>0</v>
      </c>
      <c r="G195" s="379">
        <f t="shared" si="321"/>
        <v>0</v>
      </c>
      <c r="H195" s="377">
        <f t="shared" ref="H195" si="322">SUM(H196:H197)</f>
        <v>0</v>
      </c>
      <c r="I195" s="378">
        <f t="shared" ref="I195" si="323">SUM(I196:I197)</f>
        <v>0</v>
      </c>
      <c r="J195" s="396">
        <f t="shared" ref="J195:K195" si="324">SUM(J196:J197)</f>
        <v>0</v>
      </c>
      <c r="K195" s="379">
        <f t="shared" si="324"/>
        <v>0</v>
      </c>
      <c r="L195" s="378">
        <f t="shared" ref="L195" si="325">SUM(L196:L197)</f>
        <v>0</v>
      </c>
      <c r="M195" s="378">
        <f t="shared" ref="M195" si="326">SUM(M196:M197)</f>
        <v>0</v>
      </c>
      <c r="N195" s="396">
        <f t="shared" ref="N195:O195" si="327">SUM(N196:N197)</f>
        <v>0</v>
      </c>
      <c r="O195" s="379">
        <f t="shared" si="327"/>
        <v>0</v>
      </c>
      <c r="P195" s="378">
        <f t="shared" ref="P195" si="328">SUM(P196:P197)</f>
        <v>0</v>
      </c>
      <c r="Q195" s="378">
        <f t="shared" ref="Q195" si="329">SUM(Q196:Q197)</f>
        <v>0</v>
      </c>
      <c r="R195" s="396">
        <f t="shared" ref="R195" si="330">SUM(R196:R197)</f>
        <v>0</v>
      </c>
      <c r="T195" s="205"/>
      <c r="U195" s="205"/>
    </row>
    <row r="196" spans="2:21" ht="13.5" customHeight="1">
      <c r="B196" s="513"/>
      <c r="C196" s="381"/>
      <c r="D196" s="169"/>
      <c r="E196" s="169"/>
      <c r="F196" s="467"/>
      <c r="G196" s="381"/>
      <c r="H196" s="169"/>
      <c r="I196" s="169"/>
      <c r="J196" s="467"/>
      <c r="K196" s="381"/>
      <c r="L196" s="169"/>
      <c r="M196" s="169"/>
      <c r="N196" s="467"/>
      <c r="O196" s="468">
        <f t="shared" ref="O196:O197" si="331">C196+G196+K196</f>
        <v>0</v>
      </c>
      <c r="P196" s="469">
        <f t="shared" ref="P196:P197" si="332">D196+H196+L196</f>
        <v>0</v>
      </c>
      <c r="Q196" s="469">
        <f t="shared" ref="Q196:Q197" si="333">E196+I196+M196</f>
        <v>0</v>
      </c>
      <c r="R196" s="467">
        <f t="shared" ref="R196:R197" si="334">SUM(O196:Q196)</f>
        <v>0</v>
      </c>
      <c r="T196" s="382"/>
      <c r="U196" s="382"/>
    </row>
    <row r="197" spans="2:21" ht="13.5" customHeight="1">
      <c r="B197" s="514"/>
      <c r="C197" s="507"/>
      <c r="D197" s="508"/>
      <c r="E197" s="508"/>
      <c r="F197" s="509"/>
      <c r="G197" s="507"/>
      <c r="H197" s="508"/>
      <c r="I197" s="508"/>
      <c r="J197" s="509"/>
      <c r="K197" s="507"/>
      <c r="L197" s="508"/>
      <c r="M197" s="508"/>
      <c r="N197" s="509"/>
      <c r="O197" s="468">
        <f t="shared" si="331"/>
        <v>0</v>
      </c>
      <c r="P197" s="469">
        <f t="shared" si="332"/>
        <v>0</v>
      </c>
      <c r="Q197" s="469">
        <f t="shared" si="333"/>
        <v>0</v>
      </c>
      <c r="R197" s="467">
        <f t="shared" si="334"/>
        <v>0</v>
      </c>
      <c r="T197" s="382"/>
      <c r="U197" s="382"/>
    </row>
    <row r="198" spans="2:21" ht="13.5" customHeight="1">
      <c r="B198" s="488" t="s">
        <v>52</v>
      </c>
      <c r="C198" s="158">
        <f>C195</f>
        <v>0</v>
      </c>
      <c r="D198" s="206">
        <f t="shared" ref="D198:R198" si="335">D195</f>
        <v>0</v>
      </c>
      <c r="E198" s="206">
        <f t="shared" si="335"/>
        <v>0</v>
      </c>
      <c r="F198" s="159">
        <f t="shared" si="335"/>
        <v>0</v>
      </c>
      <c r="G198" s="158">
        <f t="shared" si="335"/>
        <v>0</v>
      </c>
      <c r="H198" s="206">
        <f t="shared" si="335"/>
        <v>0</v>
      </c>
      <c r="I198" s="206">
        <f t="shared" si="335"/>
        <v>0</v>
      </c>
      <c r="J198" s="159">
        <f t="shared" si="335"/>
        <v>0</v>
      </c>
      <c r="K198" s="158">
        <f t="shared" si="335"/>
        <v>0</v>
      </c>
      <c r="L198" s="206">
        <f t="shared" si="335"/>
        <v>0</v>
      </c>
      <c r="M198" s="206">
        <f t="shared" si="335"/>
        <v>0</v>
      </c>
      <c r="N198" s="159">
        <f t="shared" si="335"/>
        <v>0</v>
      </c>
      <c r="O198" s="158">
        <f t="shared" si="335"/>
        <v>0</v>
      </c>
      <c r="P198" s="206">
        <f t="shared" si="335"/>
        <v>0</v>
      </c>
      <c r="Q198" s="206">
        <f t="shared" si="335"/>
        <v>0</v>
      </c>
      <c r="R198" s="159">
        <f t="shared" si="335"/>
        <v>0</v>
      </c>
      <c r="T198" s="382"/>
      <c r="U198" s="382"/>
    </row>
    <row r="199" spans="2:21" ht="13.5" customHeight="1">
      <c r="B199" s="515"/>
      <c r="C199" s="493"/>
      <c r="D199" s="494"/>
      <c r="E199" s="494"/>
      <c r="F199" s="516"/>
      <c r="G199" s="493"/>
      <c r="H199" s="494"/>
      <c r="I199" s="494"/>
      <c r="J199" s="516"/>
      <c r="K199" s="493"/>
      <c r="L199" s="494"/>
      <c r="M199" s="494"/>
      <c r="N199" s="516"/>
      <c r="O199" s="493"/>
      <c r="P199" s="494"/>
      <c r="Q199" s="494"/>
      <c r="R199" s="516"/>
      <c r="T199" s="382"/>
      <c r="U199" s="382"/>
    </row>
    <row r="200" spans="2:21">
      <c r="B200" s="482" t="s">
        <v>53</v>
      </c>
      <c r="C200" s="162">
        <f>SUM(C201:C216)</f>
        <v>119800</v>
      </c>
      <c r="D200" s="125">
        <f t="shared" ref="D200:R200" si="336">SUM(D201:D216)</f>
        <v>18000</v>
      </c>
      <c r="E200" s="125">
        <f t="shared" si="336"/>
        <v>0</v>
      </c>
      <c r="F200" s="163">
        <f t="shared" si="336"/>
        <v>137800</v>
      </c>
      <c r="G200" s="162">
        <f t="shared" si="336"/>
        <v>70348</v>
      </c>
      <c r="H200" s="125">
        <f t="shared" si="336"/>
        <v>18000</v>
      </c>
      <c r="I200" s="125">
        <f t="shared" si="336"/>
        <v>0</v>
      </c>
      <c r="J200" s="163">
        <f t="shared" si="336"/>
        <v>88348</v>
      </c>
      <c r="K200" s="162">
        <f t="shared" si="336"/>
        <v>70000</v>
      </c>
      <c r="L200" s="125">
        <f t="shared" si="336"/>
        <v>18000</v>
      </c>
      <c r="M200" s="125">
        <f t="shared" si="336"/>
        <v>0</v>
      </c>
      <c r="N200" s="163">
        <f t="shared" si="336"/>
        <v>88000</v>
      </c>
      <c r="O200" s="162">
        <f t="shared" si="336"/>
        <v>260148</v>
      </c>
      <c r="P200" s="125">
        <f t="shared" si="336"/>
        <v>54000</v>
      </c>
      <c r="Q200" s="125">
        <f t="shared" si="336"/>
        <v>0</v>
      </c>
      <c r="R200" s="163">
        <f t="shared" si="336"/>
        <v>314148</v>
      </c>
      <c r="T200" s="382"/>
      <c r="U200" s="382"/>
    </row>
    <row r="201" spans="2:21">
      <c r="B201" s="384" t="str">
        <f>'Adm. del Proyecto'!B7</f>
        <v>Alquiler oficinas Macha</v>
      </c>
      <c r="C201" s="381">
        <f>'Adm. del Proyecto'!G7</f>
        <v>0</v>
      </c>
      <c r="D201" s="169">
        <f>'Adm. del Proyecto'!H7</f>
        <v>18000</v>
      </c>
      <c r="E201" s="169">
        <f>'Adm. del Proyecto'!I7</f>
        <v>0</v>
      </c>
      <c r="F201" s="467">
        <f t="shared" ref="F201" si="337">SUM(C201:E201)</f>
        <v>18000</v>
      </c>
      <c r="G201" s="381">
        <f>'Adm. del Proyecto'!J7</f>
        <v>0</v>
      </c>
      <c r="H201" s="169">
        <f>'Adm. del Proyecto'!K7</f>
        <v>18000</v>
      </c>
      <c r="I201" s="169">
        <f>'Adm. del Proyecto'!L7</f>
        <v>0</v>
      </c>
      <c r="J201" s="467">
        <f t="shared" ref="J201" si="338">SUM(G201:I201)</f>
        <v>18000</v>
      </c>
      <c r="K201" s="381">
        <f>'Adm. del Proyecto'!M7</f>
        <v>0</v>
      </c>
      <c r="L201" s="169">
        <f>'Adm. del Proyecto'!N7</f>
        <v>18000</v>
      </c>
      <c r="M201" s="169">
        <f>'Adm. del Proyecto'!O7</f>
        <v>0</v>
      </c>
      <c r="N201" s="467">
        <f t="shared" ref="N201" si="339">SUM(K201:M201)</f>
        <v>18000</v>
      </c>
      <c r="O201" s="468">
        <f t="shared" ref="O201" si="340">C201+G201+K201</f>
        <v>0</v>
      </c>
      <c r="P201" s="469">
        <f t="shared" ref="P201" si="341">D201+H201+L201</f>
        <v>54000</v>
      </c>
      <c r="Q201" s="469">
        <f t="shared" ref="Q201" si="342">E201+I201+M201</f>
        <v>0</v>
      </c>
      <c r="R201" s="467">
        <f t="shared" ref="R201" si="343">SUM(O201:Q201)</f>
        <v>54000</v>
      </c>
      <c r="T201" s="382"/>
      <c r="U201" s="382"/>
    </row>
    <row r="202" spans="2:21">
      <c r="B202" s="384" t="str">
        <f>'Adm. del Proyecto'!B8</f>
        <v>Refacción ofcinas centrales en  Macha</v>
      </c>
      <c r="C202" s="381">
        <f>'Adm. del Proyecto'!G8</f>
        <v>25000</v>
      </c>
      <c r="D202" s="169">
        <f>'Adm. del Proyecto'!H8</f>
        <v>0</v>
      </c>
      <c r="E202" s="169">
        <f>'Adm. del Proyecto'!I8</f>
        <v>0</v>
      </c>
      <c r="F202" s="467">
        <f t="shared" ref="F202:F215" si="344">SUM(C202:E202)</f>
        <v>25000</v>
      </c>
      <c r="G202" s="381">
        <f>'Adm. del Proyecto'!J8</f>
        <v>0</v>
      </c>
      <c r="H202" s="169">
        <f>'Adm. del Proyecto'!K8</f>
        <v>0</v>
      </c>
      <c r="I202" s="169">
        <f>'Adm. del Proyecto'!L8</f>
        <v>0</v>
      </c>
      <c r="J202" s="467">
        <f t="shared" ref="J202:J215" si="345">SUM(G202:I202)</f>
        <v>0</v>
      </c>
      <c r="K202" s="381">
        <f>'Adm. del Proyecto'!M8</f>
        <v>0</v>
      </c>
      <c r="L202" s="169">
        <f>'Adm. del Proyecto'!N8</f>
        <v>0</v>
      </c>
      <c r="M202" s="169">
        <f>'Adm. del Proyecto'!O8</f>
        <v>0</v>
      </c>
      <c r="N202" s="467">
        <f t="shared" ref="N202:N215" si="346">SUM(K202:M202)</f>
        <v>0</v>
      </c>
      <c r="O202" s="468">
        <f t="shared" ref="O202:O215" si="347">C202+G202+K202</f>
        <v>25000</v>
      </c>
      <c r="P202" s="469">
        <f t="shared" ref="P202:P215" si="348">D202+H202+L202</f>
        <v>0</v>
      </c>
      <c r="Q202" s="469">
        <f t="shared" ref="Q202:Q215" si="349">E202+I202+M202</f>
        <v>0</v>
      </c>
      <c r="R202" s="467">
        <f t="shared" ref="R202:R215" si="350">SUM(O202:Q202)</f>
        <v>25000</v>
      </c>
      <c r="T202" s="382"/>
      <c r="U202" s="382"/>
    </row>
    <row r="203" spans="2:21">
      <c r="B203" s="384" t="str">
        <f>'Adm. del Proyecto'!B9</f>
        <v>Alquiler oficinas bases operativas en Titiri y Kellu K´asa</v>
      </c>
      <c r="C203" s="381">
        <f>'Adm. del Proyecto'!G9</f>
        <v>7200.0000000000009</v>
      </c>
      <c r="D203" s="169">
        <f>'Adm. del Proyecto'!H9</f>
        <v>0</v>
      </c>
      <c r="E203" s="169">
        <f>'Adm. del Proyecto'!I9</f>
        <v>0</v>
      </c>
      <c r="F203" s="467">
        <f t="shared" si="344"/>
        <v>7200.0000000000009</v>
      </c>
      <c r="G203" s="381">
        <f>'Adm. del Proyecto'!J9</f>
        <v>7200.0000000000009</v>
      </c>
      <c r="H203" s="169">
        <f>'Adm. del Proyecto'!K9</f>
        <v>0</v>
      </c>
      <c r="I203" s="169">
        <f>'Adm. del Proyecto'!L9</f>
        <v>0</v>
      </c>
      <c r="J203" s="467">
        <f t="shared" si="345"/>
        <v>7200.0000000000009</v>
      </c>
      <c r="K203" s="381">
        <f>'Adm. del Proyecto'!M9</f>
        <v>7200.0000000000009</v>
      </c>
      <c r="L203" s="169">
        <f>'Adm. del Proyecto'!N9</f>
        <v>0</v>
      </c>
      <c r="M203" s="169">
        <f>'Adm. del Proyecto'!O9</f>
        <v>0</v>
      </c>
      <c r="N203" s="467">
        <f t="shared" si="346"/>
        <v>7200.0000000000009</v>
      </c>
      <c r="O203" s="468">
        <f t="shared" si="347"/>
        <v>21600.000000000004</v>
      </c>
      <c r="P203" s="469">
        <f t="shared" si="348"/>
        <v>0</v>
      </c>
      <c r="Q203" s="469">
        <f t="shared" si="349"/>
        <v>0</v>
      </c>
      <c r="R203" s="467">
        <f t="shared" si="350"/>
        <v>21600.000000000004</v>
      </c>
      <c r="T203" s="382"/>
      <c r="U203" s="382"/>
    </row>
    <row r="204" spans="2:21">
      <c r="B204" s="384" t="str">
        <f>'Adm. del Proyecto'!B10</f>
        <v>Telefono/ Fax /courrier (800 Bs x 36 meses)</v>
      </c>
      <c r="C204" s="381">
        <f>'Adm. del Proyecto'!G10</f>
        <v>9600</v>
      </c>
      <c r="D204" s="169">
        <f>'Adm. del Proyecto'!H10</f>
        <v>0</v>
      </c>
      <c r="E204" s="169">
        <f>'Adm. del Proyecto'!I10</f>
        <v>0</v>
      </c>
      <c r="F204" s="467">
        <f t="shared" si="344"/>
        <v>9600</v>
      </c>
      <c r="G204" s="381">
        <f>'Adm. del Proyecto'!J10</f>
        <v>9600</v>
      </c>
      <c r="H204" s="169">
        <f>'Adm. del Proyecto'!K10</f>
        <v>0</v>
      </c>
      <c r="I204" s="169">
        <f>'Adm. del Proyecto'!L10</f>
        <v>0</v>
      </c>
      <c r="J204" s="467">
        <f t="shared" si="345"/>
        <v>9600</v>
      </c>
      <c r="K204" s="381">
        <f>'Adm. del Proyecto'!M10</f>
        <v>9600</v>
      </c>
      <c r="L204" s="169">
        <f>'Adm. del Proyecto'!N10</f>
        <v>0</v>
      </c>
      <c r="M204" s="169">
        <f>'Adm. del Proyecto'!O10</f>
        <v>0</v>
      </c>
      <c r="N204" s="467">
        <f t="shared" si="346"/>
        <v>9600</v>
      </c>
      <c r="O204" s="468">
        <f t="shared" si="347"/>
        <v>28800</v>
      </c>
      <c r="P204" s="469">
        <f t="shared" si="348"/>
        <v>0</v>
      </c>
      <c r="Q204" s="469">
        <f t="shared" si="349"/>
        <v>0</v>
      </c>
      <c r="R204" s="467">
        <f t="shared" si="350"/>
        <v>28800</v>
      </c>
      <c r="T204" s="382"/>
      <c r="U204" s="382"/>
    </row>
    <row r="205" spans="2:21">
      <c r="B205" s="384" t="str">
        <f>'Adm. del Proyecto'!B11</f>
        <v>Energía eléctrica, agua  (800 bs x 36 meses)</v>
      </c>
      <c r="C205" s="381">
        <f>'Adm. del Proyecto'!G11</f>
        <v>9600</v>
      </c>
      <c r="D205" s="169">
        <f>'Adm. del Proyecto'!H11</f>
        <v>0</v>
      </c>
      <c r="E205" s="169">
        <f>'Adm. del Proyecto'!I11</f>
        <v>0</v>
      </c>
      <c r="F205" s="467">
        <f t="shared" si="344"/>
        <v>9600</v>
      </c>
      <c r="G205" s="381">
        <f>'Adm. del Proyecto'!J11</f>
        <v>9600</v>
      </c>
      <c r="H205" s="169">
        <f>'Adm. del Proyecto'!K11</f>
        <v>0</v>
      </c>
      <c r="I205" s="169">
        <f>'Adm. del Proyecto'!L11</f>
        <v>0</v>
      </c>
      <c r="J205" s="467">
        <f t="shared" si="345"/>
        <v>9600</v>
      </c>
      <c r="K205" s="381">
        <f>'Adm. del Proyecto'!M11</f>
        <v>9600</v>
      </c>
      <c r="L205" s="169">
        <f>'Adm. del Proyecto'!N11</f>
        <v>0</v>
      </c>
      <c r="M205" s="169">
        <f>'Adm. del Proyecto'!O11</f>
        <v>0</v>
      </c>
      <c r="N205" s="467">
        <f t="shared" si="346"/>
        <v>9600</v>
      </c>
      <c r="O205" s="468">
        <f t="shared" si="347"/>
        <v>28800</v>
      </c>
      <c r="P205" s="469">
        <f t="shared" si="348"/>
        <v>0</v>
      </c>
      <c r="Q205" s="469">
        <f t="shared" si="349"/>
        <v>0</v>
      </c>
      <c r="R205" s="467">
        <f t="shared" si="350"/>
        <v>28800</v>
      </c>
      <c r="T205" s="382"/>
      <c r="U205" s="382"/>
    </row>
    <row r="206" spans="2:21">
      <c r="B206" s="384" t="str">
        <f>'Adm. del Proyecto'!B12</f>
        <v>Tasas Bancarias</v>
      </c>
      <c r="C206" s="381">
        <f>'Adm. del Proyecto'!G12</f>
        <v>3000</v>
      </c>
      <c r="D206" s="169">
        <f>'Adm. del Proyecto'!H12</f>
        <v>0</v>
      </c>
      <c r="E206" s="169">
        <f>'Adm. del Proyecto'!I12</f>
        <v>0</v>
      </c>
      <c r="F206" s="467">
        <f t="shared" si="344"/>
        <v>3000</v>
      </c>
      <c r="G206" s="610">
        <f>'Adm. del Proyecto'!J12+348</f>
        <v>3348</v>
      </c>
      <c r="H206" s="169">
        <f>'Adm. del Proyecto'!K12</f>
        <v>0</v>
      </c>
      <c r="I206" s="169">
        <f>'Adm. del Proyecto'!L12</f>
        <v>0</v>
      </c>
      <c r="J206" s="467">
        <f t="shared" si="345"/>
        <v>3348</v>
      </c>
      <c r="K206" s="381">
        <f>'Adm. del Proyecto'!M12</f>
        <v>3000</v>
      </c>
      <c r="L206" s="169">
        <f>'Adm. del Proyecto'!N12</f>
        <v>0</v>
      </c>
      <c r="M206" s="169">
        <f>'Adm. del Proyecto'!O12</f>
        <v>0</v>
      </c>
      <c r="N206" s="467">
        <f t="shared" si="346"/>
        <v>3000</v>
      </c>
      <c r="O206" s="468">
        <f t="shared" si="347"/>
        <v>9348</v>
      </c>
      <c r="P206" s="469">
        <f t="shared" si="348"/>
        <v>0</v>
      </c>
      <c r="Q206" s="469">
        <f t="shared" si="349"/>
        <v>0</v>
      </c>
      <c r="R206" s="467">
        <f t="shared" si="350"/>
        <v>9348</v>
      </c>
      <c r="T206" s="382"/>
      <c r="U206" s="382"/>
    </row>
    <row r="207" spans="2:21">
      <c r="B207" s="384" t="str">
        <f>'Adm. del Proyecto'!B13</f>
        <v>Mantenimiento equipos (computadoras, data, camara)</v>
      </c>
      <c r="C207" s="381">
        <f>'Adm. del Proyecto'!G13</f>
        <v>1000</v>
      </c>
      <c r="D207" s="169">
        <f>'Adm. del Proyecto'!H13</f>
        <v>0</v>
      </c>
      <c r="E207" s="169">
        <f>'Adm. del Proyecto'!I13</f>
        <v>0</v>
      </c>
      <c r="F207" s="467">
        <f t="shared" si="344"/>
        <v>1000</v>
      </c>
      <c r="G207" s="381">
        <f>'Adm. del Proyecto'!J13</f>
        <v>1000</v>
      </c>
      <c r="H207" s="169">
        <f>'Adm. del Proyecto'!K13</f>
        <v>0</v>
      </c>
      <c r="I207" s="169">
        <f>'Adm. del Proyecto'!L13</f>
        <v>0</v>
      </c>
      <c r="J207" s="467">
        <f t="shared" si="345"/>
        <v>1000</v>
      </c>
      <c r="K207" s="381">
        <f>'Adm. del Proyecto'!M13</f>
        <v>1000</v>
      </c>
      <c r="L207" s="169">
        <f>'Adm. del Proyecto'!N13</f>
        <v>0</v>
      </c>
      <c r="M207" s="169">
        <f>'Adm. del Proyecto'!O13</f>
        <v>0</v>
      </c>
      <c r="N207" s="467">
        <f t="shared" si="346"/>
        <v>1000</v>
      </c>
      <c r="O207" s="468">
        <f t="shared" si="347"/>
        <v>3000</v>
      </c>
      <c r="P207" s="469">
        <f t="shared" si="348"/>
        <v>0</v>
      </c>
      <c r="Q207" s="469">
        <f t="shared" si="349"/>
        <v>0</v>
      </c>
      <c r="R207" s="467">
        <f t="shared" si="350"/>
        <v>3000</v>
      </c>
      <c r="T207" s="382"/>
      <c r="U207" s="382"/>
    </row>
    <row r="208" spans="2:21">
      <c r="B208" s="384" t="str">
        <f>'Adm. del Proyecto'!B14</f>
        <v>Seguros vehículo (1 camioneta x 3 años x 4000 Bs.)</v>
      </c>
      <c r="C208" s="381">
        <f>'Adm. del Proyecto'!G14</f>
        <v>4000</v>
      </c>
      <c r="D208" s="169">
        <f>'Adm. del Proyecto'!H14</f>
        <v>0</v>
      </c>
      <c r="E208" s="169">
        <f>'Adm. del Proyecto'!I14</f>
        <v>0</v>
      </c>
      <c r="F208" s="467">
        <f t="shared" si="344"/>
        <v>4000</v>
      </c>
      <c r="G208" s="381">
        <f>'Adm. del Proyecto'!J14</f>
        <v>4000</v>
      </c>
      <c r="H208" s="169">
        <f>'Adm. del Proyecto'!K14</f>
        <v>0</v>
      </c>
      <c r="I208" s="169">
        <f>'Adm. del Proyecto'!L14</f>
        <v>0</v>
      </c>
      <c r="J208" s="467">
        <f t="shared" si="345"/>
        <v>4000</v>
      </c>
      <c r="K208" s="381">
        <f>'Adm. del Proyecto'!M14</f>
        <v>4000</v>
      </c>
      <c r="L208" s="169">
        <f>'Adm. del Proyecto'!N14</f>
        <v>0</v>
      </c>
      <c r="M208" s="169">
        <f>'Adm. del Proyecto'!O14</f>
        <v>0</v>
      </c>
      <c r="N208" s="467">
        <f t="shared" si="346"/>
        <v>4000</v>
      </c>
      <c r="O208" s="468">
        <f t="shared" si="347"/>
        <v>12000</v>
      </c>
      <c r="P208" s="469">
        <f t="shared" si="348"/>
        <v>0</v>
      </c>
      <c r="Q208" s="469">
        <f t="shared" si="349"/>
        <v>0</v>
      </c>
      <c r="R208" s="467">
        <f t="shared" si="350"/>
        <v>12000</v>
      </c>
      <c r="T208" s="382"/>
      <c r="U208" s="382"/>
    </row>
    <row r="209" spans="2:21">
      <c r="B209" s="384" t="str">
        <f>'Adm. del Proyecto'!B15</f>
        <v>Seguros motocicletas  (5 motocicletas x 3 años x 800 Bs.)</v>
      </c>
      <c r="C209" s="381">
        <f>'Adm. del Proyecto'!G15</f>
        <v>4000</v>
      </c>
      <c r="D209" s="169">
        <f>'Adm. del Proyecto'!H15</f>
        <v>0</v>
      </c>
      <c r="E209" s="169">
        <f>'Adm. del Proyecto'!I15</f>
        <v>0</v>
      </c>
      <c r="F209" s="467">
        <f t="shared" si="344"/>
        <v>4000</v>
      </c>
      <c r="G209" s="381">
        <f>'Adm. del Proyecto'!J15</f>
        <v>4000</v>
      </c>
      <c r="H209" s="169">
        <f>'Adm. del Proyecto'!K15</f>
        <v>0</v>
      </c>
      <c r="I209" s="169">
        <f>'Adm. del Proyecto'!L15</f>
        <v>0</v>
      </c>
      <c r="J209" s="467">
        <f t="shared" si="345"/>
        <v>4000</v>
      </c>
      <c r="K209" s="381">
        <f>'Adm. del Proyecto'!M15</f>
        <v>4000</v>
      </c>
      <c r="L209" s="169">
        <f>'Adm. del Proyecto'!N15</f>
        <v>0</v>
      </c>
      <c r="M209" s="169">
        <f>'Adm. del Proyecto'!O15</f>
        <v>0</v>
      </c>
      <c r="N209" s="467">
        <f t="shared" si="346"/>
        <v>4000</v>
      </c>
      <c r="O209" s="468">
        <f t="shared" si="347"/>
        <v>12000</v>
      </c>
      <c r="P209" s="469">
        <f t="shared" si="348"/>
        <v>0</v>
      </c>
      <c r="Q209" s="469">
        <f t="shared" si="349"/>
        <v>0</v>
      </c>
      <c r="R209" s="467">
        <f t="shared" si="350"/>
        <v>12000</v>
      </c>
      <c r="T209" s="382"/>
      <c r="U209" s="382"/>
    </row>
    <row r="210" spans="2:21">
      <c r="B210" s="384" t="str">
        <f>'Adm. del Proyecto'!B16</f>
        <v>Mantenimiento (3 veces x 1200 bs x 6 x 3 años)</v>
      </c>
      <c r="C210" s="381">
        <f>'Adm. del Proyecto'!G16</f>
        <v>21600</v>
      </c>
      <c r="D210" s="169">
        <f>'Adm. del Proyecto'!H16</f>
        <v>0</v>
      </c>
      <c r="E210" s="169">
        <f>'Adm. del Proyecto'!I16</f>
        <v>0</v>
      </c>
      <c r="F210" s="467">
        <f t="shared" si="344"/>
        <v>21600</v>
      </c>
      <c r="G210" s="381">
        <f>'Adm. del Proyecto'!J16</f>
        <v>21600</v>
      </c>
      <c r="H210" s="169">
        <f>'Adm. del Proyecto'!K16</f>
        <v>0</v>
      </c>
      <c r="I210" s="169">
        <f>'Adm. del Proyecto'!L16</f>
        <v>0</v>
      </c>
      <c r="J210" s="467">
        <f t="shared" si="345"/>
        <v>21600</v>
      </c>
      <c r="K210" s="381">
        <f>'Adm. del Proyecto'!M16</f>
        <v>21600</v>
      </c>
      <c r="L210" s="169">
        <f>'Adm. del Proyecto'!N16</f>
        <v>0</v>
      </c>
      <c r="M210" s="169">
        <f>'Adm. del Proyecto'!O16</f>
        <v>0</v>
      </c>
      <c r="N210" s="467">
        <f t="shared" si="346"/>
        <v>21600</v>
      </c>
      <c r="O210" s="468">
        <f t="shared" si="347"/>
        <v>64800</v>
      </c>
      <c r="P210" s="469">
        <f t="shared" si="348"/>
        <v>0</v>
      </c>
      <c r="Q210" s="469">
        <f t="shared" si="349"/>
        <v>0</v>
      </c>
      <c r="R210" s="467">
        <f t="shared" si="350"/>
        <v>64800</v>
      </c>
      <c r="T210" s="382"/>
      <c r="U210" s="382"/>
    </row>
    <row r="211" spans="2:21">
      <c r="B211" s="384" t="str">
        <f>'Adm. del Proyecto'!B17</f>
        <v>Material de trabajo asistencia técnica (fotocopias, hojas, tinta y otros)</v>
      </c>
      <c r="C211" s="381">
        <f>'Adm. del Proyecto'!G17</f>
        <v>3000</v>
      </c>
      <c r="D211" s="169">
        <f>'Adm. del Proyecto'!H17</f>
        <v>0</v>
      </c>
      <c r="E211" s="169">
        <f>'Adm. del Proyecto'!I17</f>
        <v>0</v>
      </c>
      <c r="F211" s="467">
        <f t="shared" si="344"/>
        <v>3000</v>
      </c>
      <c r="G211" s="381">
        <f>'Adm. del Proyecto'!J17</f>
        <v>3000</v>
      </c>
      <c r="H211" s="169">
        <f>'Adm. del Proyecto'!K17</f>
        <v>0</v>
      </c>
      <c r="I211" s="169">
        <f>'Adm. del Proyecto'!L17</f>
        <v>0</v>
      </c>
      <c r="J211" s="467">
        <f t="shared" si="345"/>
        <v>3000</v>
      </c>
      <c r="K211" s="381">
        <f>'Adm. del Proyecto'!M17</f>
        <v>3000</v>
      </c>
      <c r="L211" s="169">
        <f>'Adm. del Proyecto'!N17</f>
        <v>0</v>
      </c>
      <c r="M211" s="169">
        <f>'Adm. del Proyecto'!O17</f>
        <v>0</v>
      </c>
      <c r="N211" s="467">
        <f t="shared" si="346"/>
        <v>3000</v>
      </c>
      <c r="O211" s="468">
        <f t="shared" si="347"/>
        <v>9000</v>
      </c>
      <c r="P211" s="469">
        <f t="shared" si="348"/>
        <v>0</v>
      </c>
      <c r="Q211" s="469">
        <f t="shared" si="349"/>
        <v>0</v>
      </c>
      <c r="R211" s="467">
        <f t="shared" si="350"/>
        <v>9000</v>
      </c>
      <c r="T211" s="382"/>
      <c r="U211" s="382"/>
    </row>
    <row r="212" spans="2:21">
      <c r="B212" s="384" t="str">
        <f>'Adm. del Proyecto'!B18</f>
        <v>Material de oficina y fotocopias</v>
      </c>
      <c r="C212" s="381">
        <f>'Adm. del Proyecto'!G18</f>
        <v>5000</v>
      </c>
      <c r="D212" s="169">
        <f>'Adm. del Proyecto'!H18</f>
        <v>0</v>
      </c>
      <c r="E212" s="169">
        <f>'Adm. del Proyecto'!I18</f>
        <v>0</v>
      </c>
      <c r="F212" s="467">
        <f t="shared" si="344"/>
        <v>5000</v>
      </c>
      <c r="G212" s="381">
        <f>'Adm. del Proyecto'!J18</f>
        <v>5000</v>
      </c>
      <c r="H212" s="169">
        <f>'Adm. del Proyecto'!K18</f>
        <v>0</v>
      </c>
      <c r="I212" s="169">
        <f>'Adm. del Proyecto'!L18</f>
        <v>0</v>
      </c>
      <c r="J212" s="467">
        <f t="shared" si="345"/>
        <v>5000</v>
      </c>
      <c r="K212" s="381">
        <f>'Adm. del Proyecto'!M18</f>
        <v>5000</v>
      </c>
      <c r="L212" s="169">
        <f>'Adm. del Proyecto'!N18</f>
        <v>0</v>
      </c>
      <c r="M212" s="169">
        <f>'Adm. del Proyecto'!O18</f>
        <v>0</v>
      </c>
      <c r="N212" s="467">
        <f t="shared" si="346"/>
        <v>5000</v>
      </c>
      <c r="O212" s="468">
        <f t="shared" si="347"/>
        <v>15000</v>
      </c>
      <c r="P212" s="469">
        <f t="shared" si="348"/>
        <v>0</v>
      </c>
      <c r="Q212" s="469">
        <f t="shared" si="349"/>
        <v>0</v>
      </c>
      <c r="R212" s="467">
        <f t="shared" si="350"/>
        <v>15000</v>
      </c>
      <c r="T212" s="382"/>
      <c r="U212" s="382"/>
    </row>
    <row r="213" spans="2:21">
      <c r="B213" s="384" t="str">
        <f>'Adm. del Proyecto'!B19</f>
        <v>Impresiones y formularios</v>
      </c>
      <c r="C213" s="381">
        <f>'Adm. del Proyecto'!G19</f>
        <v>2000</v>
      </c>
      <c r="D213" s="169">
        <f>'Adm. del Proyecto'!H19</f>
        <v>0</v>
      </c>
      <c r="E213" s="169">
        <f>'Adm. del Proyecto'!I19</f>
        <v>0</v>
      </c>
      <c r="F213" s="467">
        <f t="shared" si="344"/>
        <v>2000</v>
      </c>
      <c r="G213" s="381">
        <f>'Adm. del Proyecto'!J19</f>
        <v>2000</v>
      </c>
      <c r="H213" s="169">
        <f>'Adm. del Proyecto'!K19</f>
        <v>0</v>
      </c>
      <c r="I213" s="169">
        <f>'Adm. del Proyecto'!L19</f>
        <v>0</v>
      </c>
      <c r="J213" s="467">
        <f t="shared" si="345"/>
        <v>2000</v>
      </c>
      <c r="K213" s="381">
        <f>'Adm. del Proyecto'!M19</f>
        <v>2000</v>
      </c>
      <c r="L213" s="169">
        <f>'Adm. del Proyecto'!N19</f>
        <v>0</v>
      </c>
      <c r="M213" s="169">
        <f>'Adm. del Proyecto'!O19</f>
        <v>0</v>
      </c>
      <c r="N213" s="467">
        <f t="shared" si="346"/>
        <v>2000</v>
      </c>
      <c r="O213" s="468">
        <f t="shared" si="347"/>
        <v>6000</v>
      </c>
      <c r="P213" s="469">
        <f t="shared" si="348"/>
        <v>0</v>
      </c>
      <c r="Q213" s="469">
        <f t="shared" si="349"/>
        <v>0</v>
      </c>
      <c r="R213" s="467">
        <f t="shared" si="350"/>
        <v>6000</v>
      </c>
      <c r="T213" s="382"/>
      <c r="U213" s="382"/>
    </row>
    <row r="214" spans="2:21">
      <c r="B214" s="384" t="str">
        <f>'Adm. del Proyecto'!B20</f>
        <v>Construcción letreros (muros)</v>
      </c>
      <c r="C214" s="381">
        <f>'Adm. del Proyecto'!G20</f>
        <v>20000</v>
      </c>
      <c r="D214" s="169">
        <f>'Adm. del Proyecto'!H20</f>
        <v>0</v>
      </c>
      <c r="E214" s="169">
        <f>'Adm. del Proyecto'!I20</f>
        <v>0</v>
      </c>
      <c r="F214" s="467">
        <f t="shared" si="344"/>
        <v>20000</v>
      </c>
      <c r="G214" s="381">
        <f>'Adm. del Proyecto'!J20</f>
        <v>0</v>
      </c>
      <c r="H214" s="169">
        <f>'Adm. del Proyecto'!K20</f>
        <v>0</v>
      </c>
      <c r="I214" s="169">
        <f>'Adm. del Proyecto'!L20</f>
        <v>0</v>
      </c>
      <c r="J214" s="467">
        <f t="shared" si="345"/>
        <v>0</v>
      </c>
      <c r="K214" s="381">
        <f>'Adm. del Proyecto'!M20</f>
        <v>0</v>
      </c>
      <c r="L214" s="169">
        <f>'Adm. del Proyecto'!N20</f>
        <v>0</v>
      </c>
      <c r="M214" s="169">
        <f>'Adm. del Proyecto'!O20</f>
        <v>0</v>
      </c>
      <c r="N214" s="467">
        <f t="shared" si="346"/>
        <v>0</v>
      </c>
      <c r="O214" s="468">
        <f t="shared" si="347"/>
        <v>20000</v>
      </c>
      <c r="P214" s="469">
        <f t="shared" si="348"/>
        <v>0</v>
      </c>
      <c r="Q214" s="469">
        <f t="shared" si="349"/>
        <v>0</v>
      </c>
      <c r="R214" s="467">
        <f t="shared" si="350"/>
        <v>20000</v>
      </c>
      <c r="T214" s="382"/>
      <c r="U214" s="382"/>
    </row>
    <row r="215" spans="2:21">
      <c r="B215" s="384" t="str">
        <f>'Adm. del Proyecto'!B21</f>
        <v>Elaboración Banner de visibilización</v>
      </c>
      <c r="C215" s="381">
        <f>'Adm. del Proyecto'!G21</f>
        <v>4800</v>
      </c>
      <c r="D215" s="169">
        <f>'Adm. del Proyecto'!H21</f>
        <v>0</v>
      </c>
      <c r="E215" s="169">
        <f>'Adm. del Proyecto'!I21</f>
        <v>0</v>
      </c>
      <c r="F215" s="467">
        <f t="shared" si="344"/>
        <v>4800</v>
      </c>
      <c r="G215" s="381">
        <f>'Adm. del Proyecto'!J21</f>
        <v>0</v>
      </c>
      <c r="H215" s="169">
        <f>'Adm. del Proyecto'!K21</f>
        <v>0</v>
      </c>
      <c r="I215" s="169">
        <f>'Adm. del Proyecto'!L21</f>
        <v>0</v>
      </c>
      <c r="J215" s="467">
        <f t="shared" si="345"/>
        <v>0</v>
      </c>
      <c r="K215" s="381">
        <f>'Adm. del Proyecto'!M21</f>
        <v>0</v>
      </c>
      <c r="L215" s="169">
        <f>'Adm. del Proyecto'!N21</f>
        <v>0</v>
      </c>
      <c r="M215" s="169">
        <f>'Adm. del Proyecto'!O21</f>
        <v>0</v>
      </c>
      <c r="N215" s="467">
        <f t="shared" si="346"/>
        <v>0</v>
      </c>
      <c r="O215" s="468">
        <f t="shared" si="347"/>
        <v>4800</v>
      </c>
      <c r="P215" s="469">
        <f t="shared" si="348"/>
        <v>0</v>
      </c>
      <c r="Q215" s="469">
        <f t="shared" si="349"/>
        <v>0</v>
      </c>
      <c r="R215" s="467">
        <f t="shared" si="350"/>
        <v>4800</v>
      </c>
      <c r="T215" s="382"/>
      <c r="U215" s="382"/>
    </row>
    <row r="216" spans="2:21">
      <c r="B216" s="517"/>
      <c r="C216" s="518"/>
      <c r="D216" s="519"/>
      <c r="E216" s="519"/>
      <c r="F216" s="520"/>
      <c r="G216" s="518"/>
      <c r="H216" s="519"/>
      <c r="I216" s="519"/>
      <c r="J216" s="520"/>
      <c r="K216" s="518"/>
      <c r="L216" s="519"/>
      <c r="M216" s="519"/>
      <c r="N216" s="520"/>
      <c r="O216" s="521"/>
      <c r="P216" s="522"/>
      <c r="Q216" s="522"/>
      <c r="R216" s="520"/>
      <c r="T216" s="382"/>
      <c r="U216" s="382"/>
    </row>
    <row r="217" spans="2:21">
      <c r="B217" s="495" t="s">
        <v>40</v>
      </c>
      <c r="C217" s="162">
        <f>SUM(C218:C219)</f>
        <v>17400</v>
      </c>
      <c r="D217" s="125">
        <f t="shared" ref="D217:F217" si="351">SUM(D218:D219)</f>
        <v>0</v>
      </c>
      <c r="E217" s="125">
        <f t="shared" si="351"/>
        <v>0</v>
      </c>
      <c r="F217" s="163">
        <f t="shared" si="351"/>
        <v>17400</v>
      </c>
      <c r="G217" s="162">
        <f t="shared" ref="G217" si="352">SUM(G218:G219)</f>
        <v>17400</v>
      </c>
      <c r="H217" s="125">
        <f t="shared" ref="H217" si="353">SUM(H218:H219)</f>
        <v>0</v>
      </c>
      <c r="I217" s="125">
        <f t="shared" ref="I217" si="354">SUM(I218:I219)</f>
        <v>0</v>
      </c>
      <c r="J217" s="163">
        <f t="shared" ref="J217" si="355">SUM(J218:J219)</f>
        <v>17400</v>
      </c>
      <c r="K217" s="162">
        <f t="shared" ref="K217" si="356">SUM(K218:K219)</f>
        <v>38400</v>
      </c>
      <c r="L217" s="125">
        <f t="shared" ref="L217" si="357">SUM(L218:L219)</f>
        <v>0</v>
      </c>
      <c r="M217" s="125">
        <f t="shared" ref="M217" si="358">SUM(M218:M219)</f>
        <v>0</v>
      </c>
      <c r="N217" s="163">
        <f t="shared" ref="N217" si="359">SUM(N218:N219)</f>
        <v>38400</v>
      </c>
      <c r="O217" s="162">
        <f t="shared" ref="O217" si="360">SUM(O218:O219)</f>
        <v>73200</v>
      </c>
      <c r="P217" s="125">
        <f t="shared" ref="P217" si="361">SUM(P218:P219)</f>
        <v>0</v>
      </c>
      <c r="Q217" s="125">
        <f t="shared" ref="Q217" si="362">SUM(Q218:Q219)</f>
        <v>0</v>
      </c>
      <c r="R217" s="163">
        <f t="shared" ref="R217" si="363">SUM(R218:R219)</f>
        <v>73200</v>
      </c>
      <c r="T217" s="382"/>
      <c r="U217" s="382"/>
    </row>
    <row r="218" spans="2:21">
      <c r="B218" s="389" t="str">
        <f>'Adm. del Proyecto'!B22</f>
        <v>Auditoria proyecto</v>
      </c>
      <c r="C218" s="381">
        <f>'Adm. del Proyecto'!G22</f>
        <v>17400</v>
      </c>
      <c r="D218" s="169">
        <f>'Adm. del Proyecto'!H22</f>
        <v>0</v>
      </c>
      <c r="E218" s="169">
        <f>'Adm. del Proyecto'!I22</f>
        <v>0</v>
      </c>
      <c r="F218" s="467">
        <f>SUM(C218:E218)</f>
        <v>17400</v>
      </c>
      <c r="G218" s="381">
        <f>'Adm. del Proyecto'!J22</f>
        <v>17400</v>
      </c>
      <c r="H218" s="169">
        <f>'Adm. del Proyecto'!K22</f>
        <v>0</v>
      </c>
      <c r="I218" s="169">
        <f>'Adm. del Proyecto'!L22</f>
        <v>0</v>
      </c>
      <c r="J218" s="467">
        <f>SUM(G218:I218)</f>
        <v>17400</v>
      </c>
      <c r="K218" s="381">
        <f>'Adm. del Proyecto'!M22</f>
        <v>17400</v>
      </c>
      <c r="L218" s="169">
        <f>'Adm. del Proyecto'!N22</f>
        <v>0</v>
      </c>
      <c r="M218" s="169">
        <f>'Adm. del Proyecto'!O22</f>
        <v>0</v>
      </c>
      <c r="N218" s="467">
        <f>SUM(K218:M218)</f>
        <v>17400</v>
      </c>
      <c r="O218" s="468">
        <f t="shared" ref="O218" si="364">C218+G218+K218</f>
        <v>52200</v>
      </c>
      <c r="P218" s="469">
        <f t="shared" ref="P218" si="365">D218+H218+L218</f>
        <v>0</v>
      </c>
      <c r="Q218" s="469">
        <f t="shared" ref="Q218" si="366">E218+I218+M218</f>
        <v>0</v>
      </c>
      <c r="R218" s="467">
        <f t="shared" ref="R218" si="367">SUM(O218:Q218)</f>
        <v>52200</v>
      </c>
      <c r="T218" s="382"/>
      <c r="U218" s="382"/>
    </row>
    <row r="219" spans="2:21">
      <c r="B219" s="389" t="str">
        <f>'Adm. del Proyecto'!B23</f>
        <v>Evaluación proyecto</v>
      </c>
      <c r="C219" s="381">
        <f>'Adm. del Proyecto'!G23</f>
        <v>0</v>
      </c>
      <c r="D219" s="169">
        <f>'Adm. del Proyecto'!H23</f>
        <v>0</v>
      </c>
      <c r="E219" s="169">
        <f>'Adm. del Proyecto'!I23</f>
        <v>0</v>
      </c>
      <c r="F219" s="467">
        <f>SUM(C219:E219)</f>
        <v>0</v>
      </c>
      <c r="G219" s="381">
        <f>'Adm. del Proyecto'!J23</f>
        <v>0</v>
      </c>
      <c r="H219" s="169">
        <f>'Adm. del Proyecto'!K23</f>
        <v>0</v>
      </c>
      <c r="I219" s="169">
        <f>'Adm. del Proyecto'!L23</f>
        <v>0</v>
      </c>
      <c r="J219" s="467">
        <f>SUM(G219:I219)</f>
        <v>0</v>
      </c>
      <c r="K219" s="381">
        <f>'Adm. del Proyecto'!M23</f>
        <v>21000</v>
      </c>
      <c r="L219" s="169">
        <f>'Adm. del Proyecto'!N23</f>
        <v>0</v>
      </c>
      <c r="M219" s="169">
        <f>'Adm. del Proyecto'!O23</f>
        <v>0</v>
      </c>
      <c r="N219" s="467">
        <f>SUM(K219:M219)</f>
        <v>21000</v>
      </c>
      <c r="O219" s="468">
        <f t="shared" ref="O219" si="368">C219+G219+K219</f>
        <v>21000</v>
      </c>
      <c r="P219" s="469">
        <f t="shared" ref="P219" si="369">D219+H219+L219</f>
        <v>0</v>
      </c>
      <c r="Q219" s="469">
        <f t="shared" ref="Q219" si="370">E219+I219+M219</f>
        <v>0</v>
      </c>
      <c r="R219" s="467">
        <f t="shared" ref="R219" si="371">SUM(O219:Q219)</f>
        <v>21000</v>
      </c>
      <c r="T219" s="382"/>
      <c r="U219" s="382"/>
    </row>
    <row r="220" spans="2:21">
      <c r="B220" s="488" t="s">
        <v>17</v>
      </c>
      <c r="C220" s="158">
        <f t="shared" ref="C220:H220" si="372">+C200+C217</f>
        <v>137200</v>
      </c>
      <c r="D220" s="124">
        <f t="shared" si="372"/>
        <v>18000</v>
      </c>
      <c r="E220" s="124">
        <f t="shared" si="372"/>
        <v>0</v>
      </c>
      <c r="F220" s="159">
        <f t="shared" si="372"/>
        <v>155200</v>
      </c>
      <c r="G220" s="158">
        <f t="shared" si="372"/>
        <v>87748</v>
      </c>
      <c r="H220" s="124">
        <f t="shared" si="372"/>
        <v>18000</v>
      </c>
      <c r="I220" s="124"/>
      <c r="J220" s="159">
        <f>+J200+J217</f>
        <v>105748</v>
      </c>
      <c r="K220" s="158">
        <f>+K200+K217</f>
        <v>108400</v>
      </c>
      <c r="L220" s="124">
        <f>+L200+L217</f>
        <v>18000</v>
      </c>
      <c r="M220" s="124"/>
      <c r="N220" s="159">
        <f>+N200+N217</f>
        <v>126400</v>
      </c>
      <c r="O220" s="158">
        <f>+O200+O217</f>
        <v>333348</v>
      </c>
      <c r="P220" s="124">
        <f>+P200+P217</f>
        <v>54000</v>
      </c>
      <c r="Q220" s="124"/>
      <c r="R220" s="159">
        <f>+R200+R217</f>
        <v>387348</v>
      </c>
      <c r="T220" s="382"/>
      <c r="U220" s="382"/>
    </row>
    <row r="221" spans="2:21" s="524" customFormat="1" ht="13.5" customHeight="1">
      <c r="B221" s="523"/>
      <c r="C221" s="164"/>
      <c r="D221" s="126"/>
      <c r="E221" s="126"/>
      <c r="F221" s="165"/>
      <c r="G221" s="164"/>
      <c r="H221" s="126"/>
      <c r="I221" s="126"/>
      <c r="J221" s="165"/>
      <c r="K221" s="164"/>
      <c r="L221" s="126"/>
      <c r="M221" s="126"/>
      <c r="N221" s="165"/>
      <c r="O221" s="164"/>
      <c r="P221" s="126"/>
      <c r="Q221" s="126"/>
      <c r="R221" s="165"/>
      <c r="T221" s="382"/>
      <c r="U221" s="382"/>
    </row>
    <row r="222" spans="2:21" s="524" customFormat="1" ht="13.5" customHeight="1">
      <c r="B222" s="525" t="s">
        <v>42</v>
      </c>
      <c r="C222" s="156">
        <f t="shared" ref="C222:R222" si="373">SUM(C223)</f>
        <v>38259.120000000003</v>
      </c>
      <c r="D222" s="123">
        <f t="shared" si="373"/>
        <v>0</v>
      </c>
      <c r="E222" s="123">
        <f t="shared" si="373"/>
        <v>0</v>
      </c>
      <c r="F222" s="157">
        <f t="shared" si="373"/>
        <v>38259.120000000003</v>
      </c>
      <c r="G222" s="156">
        <f t="shared" si="373"/>
        <v>24318.240000000002</v>
      </c>
      <c r="H222" s="123">
        <f t="shared" si="373"/>
        <v>0</v>
      </c>
      <c r="I222" s="123">
        <f t="shared" si="373"/>
        <v>0</v>
      </c>
      <c r="J222" s="157">
        <f t="shared" si="373"/>
        <v>24318.240000000002</v>
      </c>
      <c r="K222" s="156">
        <f t="shared" si="373"/>
        <v>22153.68</v>
      </c>
      <c r="L222" s="123">
        <f t="shared" si="373"/>
        <v>0</v>
      </c>
      <c r="M222" s="123">
        <f t="shared" si="373"/>
        <v>0</v>
      </c>
      <c r="N222" s="157">
        <f t="shared" si="373"/>
        <v>22153.68</v>
      </c>
      <c r="O222" s="156">
        <f t="shared" si="373"/>
        <v>84731.040000000008</v>
      </c>
      <c r="P222" s="123">
        <f t="shared" si="373"/>
        <v>0</v>
      </c>
      <c r="Q222" s="123">
        <f t="shared" si="373"/>
        <v>0</v>
      </c>
      <c r="R222" s="157">
        <f t="shared" si="373"/>
        <v>84731.040000000008</v>
      </c>
      <c r="T222" s="382"/>
      <c r="U222" s="382"/>
    </row>
    <row r="223" spans="2:21" ht="12" customHeight="1">
      <c r="B223" s="526" t="s">
        <v>43</v>
      </c>
      <c r="C223" s="527">
        <f>'Adm. del Proyecto'!G24</f>
        <v>38259.120000000003</v>
      </c>
      <c r="D223" s="528">
        <f>'Adm. del Proyecto'!H24</f>
        <v>0</v>
      </c>
      <c r="E223" s="528">
        <f>'Adm. del Proyecto'!I24</f>
        <v>0</v>
      </c>
      <c r="F223" s="467">
        <f>SUM(C223:E223)</f>
        <v>38259.120000000003</v>
      </c>
      <c r="G223" s="527">
        <f>'Adm. del Proyecto'!J24</f>
        <v>24318.240000000002</v>
      </c>
      <c r="H223" s="528">
        <f>'Adm. del Proyecto'!K24</f>
        <v>0</v>
      </c>
      <c r="I223" s="528">
        <f>'Adm. del Proyecto'!L24</f>
        <v>0</v>
      </c>
      <c r="J223" s="467">
        <f>SUM(G223:I223)</f>
        <v>24318.240000000002</v>
      </c>
      <c r="K223" s="527">
        <f>'Adm. del Proyecto'!M24</f>
        <v>22153.68</v>
      </c>
      <c r="L223" s="528">
        <f>'Adm. del Proyecto'!N24</f>
        <v>0</v>
      </c>
      <c r="M223" s="528">
        <f>'Adm. del Proyecto'!O24</f>
        <v>0</v>
      </c>
      <c r="N223" s="467">
        <f>SUM(K223:M223)</f>
        <v>22153.68</v>
      </c>
      <c r="O223" s="468">
        <f>C223+G223+K223</f>
        <v>84731.040000000008</v>
      </c>
      <c r="P223" s="469">
        <f t="shared" ref="P223" si="374">D223+H223+L223</f>
        <v>0</v>
      </c>
      <c r="Q223" s="469">
        <f t="shared" ref="Q223" si="375">E223+I223+M223</f>
        <v>0</v>
      </c>
      <c r="R223" s="467">
        <f>SUM(O223:Q223)</f>
        <v>84731.040000000008</v>
      </c>
      <c r="T223" s="382"/>
      <c r="U223" s="382"/>
    </row>
    <row r="224" spans="2:21" ht="13.5" customHeight="1">
      <c r="B224" s="390" t="s">
        <v>4</v>
      </c>
      <c r="C224" s="166">
        <f t="shared" ref="C224:R224" si="376">+C21+C39+C193+C198+C220+C222</f>
        <v>1942316.1352000001</v>
      </c>
      <c r="D224" s="127">
        <f t="shared" si="376"/>
        <v>121239.05600000001</v>
      </c>
      <c r="E224" s="127">
        <f t="shared" si="376"/>
        <v>157400</v>
      </c>
      <c r="F224" s="397">
        <f t="shared" si="376"/>
        <v>2220955.1912000002</v>
      </c>
      <c r="G224" s="614">
        <f t="shared" si="376"/>
        <v>1249156.2967999999</v>
      </c>
      <c r="H224" s="127">
        <f t="shared" si="376"/>
        <v>76526.008000000002</v>
      </c>
      <c r="I224" s="127">
        <f t="shared" si="376"/>
        <v>172680</v>
      </c>
      <c r="J224" s="397">
        <f t="shared" si="376"/>
        <v>1498362.3048</v>
      </c>
      <c r="K224" s="166">
        <f t="shared" si="376"/>
        <v>984875.88760000013</v>
      </c>
      <c r="L224" s="127">
        <f t="shared" si="376"/>
        <v>82119.712</v>
      </c>
      <c r="M224" s="127">
        <f t="shared" si="376"/>
        <v>118920</v>
      </c>
      <c r="N224" s="397">
        <f t="shared" si="376"/>
        <v>1185915.5996000001</v>
      </c>
      <c r="O224" s="614">
        <f t="shared" si="376"/>
        <v>4176348.3196</v>
      </c>
      <c r="P224" s="127">
        <f t="shared" si="376"/>
        <v>279884.77600000001</v>
      </c>
      <c r="Q224" s="127">
        <f t="shared" si="376"/>
        <v>449000</v>
      </c>
      <c r="R224" s="613">
        <f t="shared" si="376"/>
        <v>4905233.0956000006</v>
      </c>
      <c r="T224" s="382"/>
      <c r="U224" s="382"/>
    </row>
    <row r="225" spans="1:21" ht="9.75" customHeight="1">
      <c r="A225" s="529"/>
      <c r="B225" s="391"/>
      <c r="C225" s="394"/>
      <c r="D225" s="395"/>
      <c r="E225" s="395"/>
      <c r="F225" s="398"/>
      <c r="G225" s="394"/>
      <c r="H225" s="395"/>
      <c r="I225" s="395"/>
      <c r="J225" s="398"/>
      <c r="K225" s="394"/>
      <c r="L225" s="395"/>
      <c r="M225" s="395"/>
      <c r="N225" s="398"/>
      <c r="O225" s="394"/>
      <c r="P225" s="395"/>
      <c r="Q225" s="395"/>
      <c r="R225" s="398"/>
      <c r="T225" s="382"/>
      <c r="U225" s="382"/>
    </row>
    <row r="226" spans="1:21" ht="13.5" customHeight="1">
      <c r="B226" s="392" t="s">
        <v>27</v>
      </c>
      <c r="C226" s="167">
        <f t="shared" ref="C226:I226" si="377">+C224/$R$4</f>
        <v>279068.41022988508</v>
      </c>
      <c r="D226" s="133">
        <f t="shared" si="377"/>
        <v>17419.404597701152</v>
      </c>
      <c r="E226" s="133">
        <f t="shared" si="377"/>
        <v>22614.942528735632</v>
      </c>
      <c r="F226" s="168">
        <f t="shared" si="377"/>
        <v>319102.75735632185</v>
      </c>
      <c r="G226" s="611">
        <f t="shared" si="377"/>
        <v>179476.47942528734</v>
      </c>
      <c r="H226" s="133">
        <f t="shared" si="377"/>
        <v>10995.116091954023</v>
      </c>
      <c r="I226" s="133">
        <f t="shared" si="377"/>
        <v>24810.344827586207</v>
      </c>
      <c r="J226" s="168">
        <f t="shared" ref="J226:R226" si="378">+J224/$R$4</f>
        <v>215281.9403448276</v>
      </c>
      <c r="K226" s="167">
        <f t="shared" si="378"/>
        <v>141505.15626436783</v>
      </c>
      <c r="L226" s="133">
        <f t="shared" si="378"/>
        <v>11798.809195402298</v>
      </c>
      <c r="M226" s="133">
        <f t="shared" si="378"/>
        <v>17086.206896551725</v>
      </c>
      <c r="N226" s="168">
        <f t="shared" si="378"/>
        <v>170390.17235632185</v>
      </c>
      <c r="O226" s="611">
        <f t="shared" si="378"/>
        <v>600050.04591954022</v>
      </c>
      <c r="P226" s="133">
        <f t="shared" si="378"/>
        <v>40213.329885057472</v>
      </c>
      <c r="Q226" s="133">
        <f t="shared" si="378"/>
        <v>64511.494252873563</v>
      </c>
      <c r="R226" s="612">
        <f>+R224/$R$4</f>
        <v>704774.87005747133</v>
      </c>
      <c r="T226" s="382"/>
      <c r="U226" s="382"/>
    </row>
    <row r="227" spans="1:21">
      <c r="O227" s="530">
        <f>+O224/$R$224</f>
        <v>0.85140669937707736</v>
      </c>
      <c r="P227" s="530">
        <f>+P224/$R$224</f>
        <v>5.7058404880097738E-2</v>
      </c>
      <c r="Q227" s="530">
        <f>+Q224/$R$224</f>
        <v>9.1534895742824834E-2</v>
      </c>
      <c r="R227" s="531"/>
    </row>
    <row r="228" spans="1:21" ht="10.5" customHeight="1"/>
  </sheetData>
  <autoFilter ref="B7:R226"/>
  <mergeCells count="5">
    <mergeCell ref="C5:F5"/>
    <mergeCell ref="G5:J5"/>
    <mergeCell ref="O5:R5"/>
    <mergeCell ref="K5:N5"/>
    <mergeCell ref="B5:B6"/>
  </mergeCells>
  <printOptions horizontalCentered="1"/>
  <pageMargins left="1.1811023622047245" right="0.19685039370078741" top="0.98425196850393704" bottom="0.39370078740157483" header="0.31496062992125984" footer="0.31496062992125984"/>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5"/>
  <sheetViews>
    <sheetView zoomScale="90" zoomScaleNormal="90" workbookViewId="0">
      <selection activeCell="G27" sqref="G27"/>
    </sheetView>
  </sheetViews>
  <sheetFormatPr baseColWidth="10" defaultColWidth="10.28515625" defaultRowHeight="12.75"/>
  <cols>
    <col min="1" max="1" width="3.140625" style="7" customWidth="1"/>
    <col min="2" max="2" width="38.85546875" style="46" customWidth="1"/>
    <col min="3" max="3" width="9.85546875" style="47" customWidth="1"/>
    <col min="4" max="4" width="9.42578125" style="48" customWidth="1"/>
    <col min="5" max="5" width="11.42578125" style="48" bestFit="1" customWidth="1"/>
    <col min="6" max="6" width="11.7109375" style="13" customWidth="1"/>
    <col min="7" max="15" width="11.85546875" style="13" customWidth="1"/>
    <col min="16" max="16" width="11.7109375" style="7" customWidth="1"/>
    <col min="17" max="18" width="10.28515625" style="7"/>
    <col min="19" max="19" width="11.5703125" style="7" customWidth="1"/>
    <col min="20" max="16384" width="10.28515625" style="7"/>
  </cols>
  <sheetData>
    <row r="1" spans="1:20">
      <c r="A1" s="9"/>
      <c r="B1" s="10"/>
      <c r="C1" s="11"/>
      <c r="D1" s="12"/>
      <c r="E1" s="12"/>
    </row>
    <row r="2" spans="1:20">
      <c r="A2" s="9"/>
      <c r="B2" s="10"/>
      <c r="C2" s="11"/>
      <c r="D2" s="12"/>
      <c r="E2" s="12"/>
    </row>
    <row r="3" spans="1:20">
      <c r="B3" s="14" t="s">
        <v>31</v>
      </c>
      <c r="C3" s="11"/>
      <c r="D3" s="12"/>
      <c r="E3" s="12"/>
    </row>
    <row r="4" spans="1:20">
      <c r="A4" s="9"/>
      <c r="B4" s="547"/>
      <c r="C4" s="547"/>
      <c r="D4" s="547"/>
      <c r="E4" s="547"/>
      <c r="F4" s="547"/>
      <c r="Q4" s="132" t="s">
        <v>39</v>
      </c>
      <c r="R4" s="204">
        <f>'Pres.Total en Bs. y $us.'!R4</f>
        <v>6.96</v>
      </c>
    </row>
    <row r="5" spans="1:20" ht="15.6" customHeight="1">
      <c r="B5" s="10"/>
      <c r="C5" s="11"/>
      <c r="D5" s="12"/>
      <c r="E5" s="12"/>
      <c r="F5" s="16"/>
      <c r="G5" s="548" t="s">
        <v>103</v>
      </c>
      <c r="H5" s="549"/>
      <c r="I5" s="550"/>
      <c r="J5" s="551" t="s">
        <v>104</v>
      </c>
      <c r="K5" s="551"/>
      <c r="L5" s="551"/>
      <c r="M5" s="548" t="s">
        <v>105</v>
      </c>
      <c r="N5" s="549"/>
      <c r="O5" s="550"/>
      <c r="P5" s="548" t="s">
        <v>106</v>
      </c>
      <c r="Q5" s="549"/>
      <c r="R5" s="550"/>
    </row>
    <row r="6" spans="1:20" s="17" customFormat="1" ht="54" customHeight="1">
      <c r="A6" s="129"/>
      <c r="B6" s="18" t="s">
        <v>1</v>
      </c>
      <c r="C6" s="19" t="s">
        <v>2</v>
      </c>
      <c r="D6" s="18" t="s">
        <v>3</v>
      </c>
      <c r="E6" s="18" t="s">
        <v>0</v>
      </c>
      <c r="F6" s="400" t="s">
        <v>4</v>
      </c>
      <c r="G6" s="408" t="s">
        <v>20</v>
      </c>
      <c r="H6" s="21" t="s">
        <v>58</v>
      </c>
      <c r="I6" s="409" t="s">
        <v>63</v>
      </c>
      <c r="J6" s="403" t="s">
        <v>20</v>
      </c>
      <c r="K6" s="21" t="s">
        <v>58</v>
      </c>
      <c r="L6" s="421" t="s">
        <v>63</v>
      </c>
      <c r="M6" s="408" t="s">
        <v>20</v>
      </c>
      <c r="N6" s="21" t="s">
        <v>58</v>
      </c>
      <c r="O6" s="409" t="s">
        <v>63</v>
      </c>
      <c r="P6" s="408" t="s">
        <v>20</v>
      </c>
      <c r="Q6" s="21" t="s">
        <v>58</v>
      </c>
      <c r="R6" s="409" t="s">
        <v>63</v>
      </c>
    </row>
    <row r="7" spans="1:20">
      <c r="A7" s="130"/>
      <c r="B7" s="23"/>
      <c r="C7" s="24"/>
      <c r="D7" s="25"/>
      <c r="E7" s="216"/>
      <c r="F7" s="217"/>
      <c r="G7" s="410"/>
      <c r="H7" s="90"/>
      <c r="I7" s="411"/>
      <c r="J7" s="27"/>
      <c r="K7" s="27"/>
      <c r="L7" s="27"/>
      <c r="M7" s="424"/>
      <c r="N7" s="425"/>
      <c r="O7" s="426"/>
      <c r="P7" s="429"/>
      <c r="Q7" s="430"/>
      <c r="R7" s="431"/>
    </row>
    <row r="8" spans="1:20" ht="12.6" customHeight="1">
      <c r="A8" s="131" t="s">
        <v>30</v>
      </c>
      <c r="B8" s="189" t="s">
        <v>198</v>
      </c>
      <c r="C8" s="286">
        <v>1</v>
      </c>
      <c r="D8" s="190" t="s">
        <v>80</v>
      </c>
      <c r="E8" s="342">
        <v>278400</v>
      </c>
      <c r="F8" s="365">
        <f>C8*E8</f>
        <v>278400</v>
      </c>
      <c r="G8" s="356">
        <f>F8</f>
        <v>278400</v>
      </c>
      <c r="H8" s="357">
        <v>0</v>
      </c>
      <c r="I8" s="412">
        <v>0</v>
      </c>
      <c r="J8" s="404">
        <v>0</v>
      </c>
      <c r="K8" s="357">
        <v>0</v>
      </c>
      <c r="L8" s="422">
        <v>0</v>
      </c>
      <c r="M8" s="356">
        <v>0</v>
      </c>
      <c r="N8" s="357">
        <v>0</v>
      </c>
      <c r="O8" s="412">
        <v>0</v>
      </c>
      <c r="P8" s="427">
        <f>G8+J8+M8</f>
        <v>278400</v>
      </c>
      <c r="Q8" s="32">
        <f t="shared" ref="Q8:R8" si="0">H8+K8+N8</f>
        <v>0</v>
      </c>
      <c r="R8" s="428">
        <f t="shared" si="0"/>
        <v>0</v>
      </c>
      <c r="S8" s="13"/>
      <c r="T8" s="13"/>
    </row>
    <row r="9" spans="1:20" ht="12.6" customHeight="1">
      <c r="A9" s="131" t="s">
        <v>30</v>
      </c>
      <c r="B9" s="189" t="s">
        <v>199</v>
      </c>
      <c r="C9" s="286">
        <v>4</v>
      </c>
      <c r="D9" s="190" t="s">
        <v>80</v>
      </c>
      <c r="E9" s="342">
        <v>36888</v>
      </c>
      <c r="F9" s="365">
        <f t="shared" ref="F9:F18" si="1">C9*E9</f>
        <v>147552</v>
      </c>
      <c r="G9" s="356">
        <f>F9</f>
        <v>147552</v>
      </c>
      <c r="H9" s="357">
        <v>0</v>
      </c>
      <c r="I9" s="412">
        <v>0</v>
      </c>
      <c r="J9" s="404">
        <v>0</v>
      </c>
      <c r="K9" s="357">
        <v>0</v>
      </c>
      <c r="L9" s="422">
        <v>0</v>
      </c>
      <c r="M9" s="356">
        <v>0</v>
      </c>
      <c r="N9" s="357">
        <v>0</v>
      </c>
      <c r="O9" s="412">
        <v>0</v>
      </c>
      <c r="P9" s="427">
        <f t="shared" ref="P9:P13" si="2">G9+J9+M9</f>
        <v>147552</v>
      </c>
      <c r="Q9" s="32">
        <f t="shared" ref="Q9:Q13" si="3">H9+K9+N9</f>
        <v>0</v>
      </c>
      <c r="R9" s="428">
        <f t="shared" ref="R9:R13" si="4">I9+L9+O9</f>
        <v>0</v>
      </c>
      <c r="S9" s="13"/>
      <c r="T9" s="13"/>
    </row>
    <row r="10" spans="1:20" ht="12.6" customHeight="1">
      <c r="A10" s="131" t="s">
        <v>28</v>
      </c>
      <c r="B10" s="189" t="s">
        <v>193</v>
      </c>
      <c r="C10" s="286">
        <v>1</v>
      </c>
      <c r="D10" s="190" t="s">
        <v>80</v>
      </c>
      <c r="E10" s="342">
        <v>16000</v>
      </c>
      <c r="F10" s="365">
        <f t="shared" si="1"/>
        <v>16000</v>
      </c>
      <c r="G10" s="356">
        <v>0</v>
      </c>
      <c r="H10" s="357">
        <f>F10</f>
        <v>16000</v>
      </c>
      <c r="I10" s="412">
        <v>0</v>
      </c>
      <c r="J10" s="404">
        <v>0</v>
      </c>
      <c r="K10" s="357">
        <v>0</v>
      </c>
      <c r="L10" s="422">
        <v>0</v>
      </c>
      <c r="M10" s="356">
        <v>0</v>
      </c>
      <c r="N10" s="357">
        <v>0</v>
      </c>
      <c r="O10" s="412">
        <v>0</v>
      </c>
      <c r="P10" s="427">
        <f t="shared" si="2"/>
        <v>0</v>
      </c>
      <c r="Q10" s="32">
        <f t="shared" si="3"/>
        <v>16000</v>
      </c>
      <c r="R10" s="428">
        <f t="shared" si="4"/>
        <v>0</v>
      </c>
      <c r="S10" s="13"/>
      <c r="T10" s="13"/>
    </row>
    <row r="11" spans="1:20" ht="12.6" customHeight="1">
      <c r="A11" s="131"/>
      <c r="B11" s="196" t="s">
        <v>89</v>
      </c>
      <c r="C11" s="286">
        <v>2</v>
      </c>
      <c r="D11" s="190" t="s">
        <v>80</v>
      </c>
      <c r="E11" s="342">
        <v>6000</v>
      </c>
      <c r="F11" s="365">
        <f t="shared" si="1"/>
        <v>12000</v>
      </c>
      <c r="G11" s="356">
        <f t="shared" ref="G11:G18" si="5">F11</f>
        <v>12000</v>
      </c>
      <c r="H11" s="357">
        <v>0</v>
      </c>
      <c r="I11" s="412">
        <v>0</v>
      </c>
      <c r="J11" s="404">
        <v>0</v>
      </c>
      <c r="K11" s="357">
        <v>0</v>
      </c>
      <c r="L11" s="422">
        <v>0</v>
      </c>
      <c r="M11" s="356">
        <v>0</v>
      </c>
      <c r="N11" s="357">
        <v>0</v>
      </c>
      <c r="O11" s="412">
        <v>0</v>
      </c>
      <c r="P11" s="427">
        <f t="shared" si="2"/>
        <v>12000</v>
      </c>
      <c r="Q11" s="32">
        <f t="shared" si="3"/>
        <v>0</v>
      </c>
      <c r="R11" s="428">
        <f t="shared" si="4"/>
        <v>0</v>
      </c>
      <c r="S11" s="13"/>
      <c r="T11" s="13"/>
    </row>
    <row r="12" spans="1:20" ht="12.6" customHeight="1">
      <c r="A12" s="131"/>
      <c r="B12" s="314" t="s">
        <v>90</v>
      </c>
      <c r="C12" s="286">
        <v>2</v>
      </c>
      <c r="D12" s="190" t="s">
        <v>80</v>
      </c>
      <c r="E12" s="342">
        <v>4500</v>
      </c>
      <c r="F12" s="365">
        <f t="shared" si="1"/>
        <v>9000</v>
      </c>
      <c r="G12" s="356">
        <f t="shared" si="5"/>
        <v>9000</v>
      </c>
      <c r="H12" s="357">
        <v>0</v>
      </c>
      <c r="I12" s="412">
        <v>0</v>
      </c>
      <c r="J12" s="404">
        <v>0</v>
      </c>
      <c r="K12" s="357">
        <v>0</v>
      </c>
      <c r="L12" s="422">
        <v>0</v>
      </c>
      <c r="M12" s="356">
        <v>0</v>
      </c>
      <c r="N12" s="357">
        <v>0</v>
      </c>
      <c r="O12" s="412">
        <v>0</v>
      </c>
      <c r="P12" s="427">
        <f t="shared" si="2"/>
        <v>9000</v>
      </c>
      <c r="Q12" s="32">
        <f t="shared" si="3"/>
        <v>0</v>
      </c>
      <c r="R12" s="428">
        <f t="shared" si="4"/>
        <v>0</v>
      </c>
      <c r="S12" s="13"/>
      <c r="T12" s="13"/>
    </row>
    <row r="13" spans="1:20" ht="12.6" customHeight="1">
      <c r="A13" s="131"/>
      <c r="B13" s="314" t="s">
        <v>91</v>
      </c>
      <c r="C13" s="286">
        <v>4</v>
      </c>
      <c r="D13" s="190" t="s">
        <v>80</v>
      </c>
      <c r="E13" s="342">
        <v>2100</v>
      </c>
      <c r="F13" s="365">
        <f t="shared" si="1"/>
        <v>8400</v>
      </c>
      <c r="G13" s="356">
        <f t="shared" si="5"/>
        <v>8400</v>
      </c>
      <c r="H13" s="357">
        <v>0</v>
      </c>
      <c r="I13" s="412">
        <v>0</v>
      </c>
      <c r="J13" s="404">
        <v>0</v>
      </c>
      <c r="K13" s="357">
        <v>0</v>
      </c>
      <c r="L13" s="422">
        <v>0</v>
      </c>
      <c r="M13" s="356">
        <v>0</v>
      </c>
      <c r="N13" s="357">
        <v>0</v>
      </c>
      <c r="O13" s="412">
        <v>0</v>
      </c>
      <c r="P13" s="427">
        <f t="shared" si="2"/>
        <v>8400</v>
      </c>
      <c r="Q13" s="32">
        <f t="shared" si="3"/>
        <v>0</v>
      </c>
      <c r="R13" s="428">
        <f t="shared" si="4"/>
        <v>0</v>
      </c>
      <c r="S13" s="13"/>
      <c r="T13" s="13"/>
    </row>
    <row r="14" spans="1:20" ht="12.6" customHeight="1">
      <c r="A14" s="131"/>
      <c r="B14" s="196" t="s">
        <v>323</v>
      </c>
      <c r="C14" s="286">
        <v>1</v>
      </c>
      <c r="D14" s="190" t="s">
        <v>80</v>
      </c>
      <c r="E14" s="342">
        <v>3000</v>
      </c>
      <c r="F14" s="365">
        <f t="shared" si="1"/>
        <v>3000</v>
      </c>
      <c r="G14" s="356">
        <f t="shared" si="5"/>
        <v>3000</v>
      </c>
      <c r="H14" s="357">
        <v>0</v>
      </c>
      <c r="I14" s="412">
        <v>0</v>
      </c>
      <c r="J14" s="404">
        <v>0</v>
      </c>
      <c r="K14" s="357">
        <v>0</v>
      </c>
      <c r="L14" s="412">
        <v>0</v>
      </c>
      <c r="M14" s="404">
        <v>0</v>
      </c>
      <c r="N14" s="357">
        <v>0</v>
      </c>
      <c r="O14" s="422">
        <v>0</v>
      </c>
      <c r="P14" s="427">
        <f t="shared" ref="P14:P18" si="6">G14+J14+M14</f>
        <v>3000</v>
      </c>
      <c r="Q14" s="32">
        <f t="shared" ref="Q14:Q18" si="7">H14+K14+N14</f>
        <v>0</v>
      </c>
      <c r="R14" s="428">
        <f t="shared" ref="R14:R18" si="8">I14+L14+O14</f>
        <v>0</v>
      </c>
      <c r="S14" s="13"/>
      <c r="T14" s="13"/>
    </row>
    <row r="15" spans="1:20" ht="12.6" customHeight="1">
      <c r="A15" s="131"/>
      <c r="B15" s="196" t="s">
        <v>152</v>
      </c>
      <c r="C15" s="286">
        <v>10</v>
      </c>
      <c r="D15" s="190" t="s">
        <v>80</v>
      </c>
      <c r="E15" s="342">
        <v>140</v>
      </c>
      <c r="F15" s="365">
        <f t="shared" si="1"/>
        <v>1400</v>
      </c>
      <c r="G15" s="356">
        <f t="shared" si="5"/>
        <v>1400</v>
      </c>
      <c r="H15" s="357">
        <v>0</v>
      </c>
      <c r="I15" s="412">
        <v>0</v>
      </c>
      <c r="J15" s="404">
        <v>0</v>
      </c>
      <c r="K15" s="357">
        <v>0</v>
      </c>
      <c r="L15" s="412">
        <v>0</v>
      </c>
      <c r="M15" s="404">
        <v>0</v>
      </c>
      <c r="N15" s="357">
        <v>0</v>
      </c>
      <c r="O15" s="422">
        <v>0</v>
      </c>
      <c r="P15" s="427">
        <f t="shared" si="6"/>
        <v>1400</v>
      </c>
      <c r="Q15" s="32">
        <f t="shared" si="7"/>
        <v>0</v>
      </c>
      <c r="R15" s="428">
        <f t="shared" si="8"/>
        <v>0</v>
      </c>
      <c r="S15" s="13"/>
      <c r="T15" s="13"/>
    </row>
    <row r="16" spans="1:20" ht="12.6" customHeight="1">
      <c r="A16" s="131"/>
      <c r="B16" s="196" t="s">
        <v>321</v>
      </c>
      <c r="C16" s="286">
        <v>2</v>
      </c>
      <c r="D16" s="190" t="s">
        <v>80</v>
      </c>
      <c r="E16" s="342">
        <v>700</v>
      </c>
      <c r="F16" s="365">
        <f t="shared" si="1"/>
        <v>1400</v>
      </c>
      <c r="G16" s="356">
        <f t="shared" si="5"/>
        <v>1400</v>
      </c>
      <c r="H16" s="357">
        <v>0</v>
      </c>
      <c r="I16" s="412">
        <v>0</v>
      </c>
      <c r="J16" s="404">
        <v>0</v>
      </c>
      <c r="K16" s="357">
        <v>0</v>
      </c>
      <c r="L16" s="412">
        <v>0</v>
      </c>
      <c r="M16" s="404">
        <v>0</v>
      </c>
      <c r="N16" s="357">
        <v>0</v>
      </c>
      <c r="O16" s="422">
        <v>0</v>
      </c>
      <c r="P16" s="427">
        <f t="shared" si="6"/>
        <v>1400</v>
      </c>
      <c r="Q16" s="32">
        <f t="shared" si="7"/>
        <v>0</v>
      </c>
      <c r="R16" s="428">
        <f t="shared" si="8"/>
        <v>0</v>
      </c>
      <c r="S16" s="13"/>
      <c r="T16" s="13"/>
    </row>
    <row r="17" spans="1:20" ht="12.6" customHeight="1">
      <c r="A17" s="131"/>
      <c r="B17" s="196" t="s">
        <v>322</v>
      </c>
      <c r="C17" s="286">
        <v>1</v>
      </c>
      <c r="D17" s="190" t="s">
        <v>80</v>
      </c>
      <c r="E17" s="342">
        <v>1500</v>
      </c>
      <c r="F17" s="365">
        <f t="shared" si="1"/>
        <v>1500</v>
      </c>
      <c r="G17" s="356">
        <f t="shared" si="5"/>
        <v>1500</v>
      </c>
      <c r="H17" s="357">
        <v>0</v>
      </c>
      <c r="I17" s="412">
        <v>0</v>
      </c>
      <c r="J17" s="404">
        <v>0</v>
      </c>
      <c r="K17" s="357">
        <v>0</v>
      </c>
      <c r="L17" s="412">
        <v>0</v>
      </c>
      <c r="M17" s="404">
        <v>0</v>
      </c>
      <c r="N17" s="357">
        <v>0</v>
      </c>
      <c r="O17" s="422">
        <v>0</v>
      </c>
      <c r="P17" s="427">
        <f t="shared" si="6"/>
        <v>1500</v>
      </c>
      <c r="Q17" s="32">
        <f t="shared" si="7"/>
        <v>0</v>
      </c>
      <c r="R17" s="428">
        <f t="shared" si="8"/>
        <v>0</v>
      </c>
      <c r="S17" s="13"/>
      <c r="T17" s="13"/>
    </row>
    <row r="18" spans="1:20" ht="12.6" customHeight="1">
      <c r="A18" s="131"/>
      <c r="B18" s="196" t="s">
        <v>320</v>
      </c>
      <c r="C18" s="286">
        <v>1</v>
      </c>
      <c r="D18" s="190" t="s">
        <v>80</v>
      </c>
      <c r="E18" s="342">
        <v>2700</v>
      </c>
      <c r="F18" s="365">
        <f t="shared" si="1"/>
        <v>2700</v>
      </c>
      <c r="G18" s="356">
        <f t="shared" si="5"/>
        <v>2700</v>
      </c>
      <c r="H18" s="357">
        <v>0</v>
      </c>
      <c r="I18" s="412">
        <v>0</v>
      </c>
      <c r="J18" s="404">
        <v>0</v>
      </c>
      <c r="K18" s="357">
        <v>0</v>
      </c>
      <c r="L18" s="412">
        <v>0</v>
      </c>
      <c r="M18" s="404">
        <v>0</v>
      </c>
      <c r="N18" s="357">
        <v>0</v>
      </c>
      <c r="O18" s="422">
        <v>0</v>
      </c>
      <c r="P18" s="427">
        <f t="shared" si="6"/>
        <v>2700</v>
      </c>
      <c r="Q18" s="32">
        <f t="shared" si="7"/>
        <v>0</v>
      </c>
      <c r="R18" s="428">
        <f t="shared" si="8"/>
        <v>0</v>
      </c>
      <c r="S18" s="13"/>
      <c r="T18" s="13"/>
    </row>
    <row r="19" spans="1:20" ht="12.6" customHeight="1">
      <c r="A19" s="131"/>
      <c r="B19" s="189"/>
      <c r="C19" s="190"/>
      <c r="D19" s="190"/>
      <c r="E19" s="193"/>
      <c r="F19" s="365"/>
      <c r="G19" s="413"/>
      <c r="H19" s="31"/>
      <c r="I19" s="414"/>
      <c r="J19" s="405"/>
      <c r="K19" s="32"/>
      <c r="L19" s="423"/>
      <c r="M19" s="427"/>
      <c r="N19" s="32"/>
      <c r="O19" s="428"/>
      <c r="P19" s="427"/>
      <c r="Q19" s="32"/>
      <c r="R19" s="428"/>
      <c r="T19" s="13"/>
    </row>
    <row r="20" spans="1:20" ht="12.6" customHeight="1">
      <c r="A20" s="130"/>
      <c r="B20" s="33" t="s">
        <v>9</v>
      </c>
      <c r="C20" s="34"/>
      <c r="D20" s="35"/>
      <c r="E20" s="36"/>
      <c r="F20" s="401">
        <f t="shared" ref="F20:R20" si="9">SUM(F8:F19)</f>
        <v>481352</v>
      </c>
      <c r="G20" s="415">
        <f t="shared" si="9"/>
        <v>465352</v>
      </c>
      <c r="H20" s="37">
        <f t="shared" si="9"/>
        <v>16000</v>
      </c>
      <c r="I20" s="416">
        <f t="shared" si="9"/>
        <v>0</v>
      </c>
      <c r="J20" s="406">
        <f t="shared" si="9"/>
        <v>0</v>
      </c>
      <c r="K20" s="37">
        <f t="shared" si="9"/>
        <v>0</v>
      </c>
      <c r="L20" s="401">
        <f t="shared" si="9"/>
        <v>0</v>
      </c>
      <c r="M20" s="415">
        <f t="shared" si="9"/>
        <v>0</v>
      </c>
      <c r="N20" s="37">
        <f t="shared" si="9"/>
        <v>0</v>
      </c>
      <c r="O20" s="416">
        <f t="shared" si="9"/>
        <v>0</v>
      </c>
      <c r="P20" s="415">
        <f t="shared" si="9"/>
        <v>465352</v>
      </c>
      <c r="Q20" s="37">
        <f t="shared" si="9"/>
        <v>16000</v>
      </c>
      <c r="R20" s="416">
        <f t="shared" si="9"/>
        <v>0</v>
      </c>
      <c r="S20" s="13">
        <f>SUM(P20:R20)</f>
        <v>481352</v>
      </c>
      <c r="T20" s="13">
        <f t="shared" ref="T20" si="10">F20-S20</f>
        <v>0</v>
      </c>
    </row>
    <row r="21" spans="1:20">
      <c r="A21" s="130"/>
      <c r="B21" s="38"/>
      <c r="C21" s="39"/>
      <c r="D21" s="25"/>
      <c r="E21" s="40"/>
      <c r="G21" s="417"/>
      <c r="H21" s="16"/>
      <c r="I21" s="418"/>
      <c r="M21" s="417"/>
      <c r="N21" s="16"/>
      <c r="O21" s="418"/>
      <c r="P21" s="417"/>
      <c r="Q21" s="16"/>
      <c r="R21" s="418"/>
    </row>
    <row r="22" spans="1:20" ht="12.6" customHeight="1">
      <c r="B22" s="139" t="s">
        <v>44</v>
      </c>
      <c r="C22" s="140"/>
      <c r="D22" s="141"/>
      <c r="E22" s="142"/>
      <c r="F22" s="402">
        <f>+F20/$R$4</f>
        <v>69159.770114942527</v>
      </c>
      <c r="G22" s="419">
        <f t="shared" ref="G22:R22" si="11">+G20/$R$4</f>
        <v>66860.919540229879</v>
      </c>
      <c r="H22" s="143">
        <f t="shared" si="11"/>
        <v>2298.8505747126437</v>
      </c>
      <c r="I22" s="420">
        <f t="shared" si="11"/>
        <v>0</v>
      </c>
      <c r="J22" s="407">
        <f t="shared" si="11"/>
        <v>0</v>
      </c>
      <c r="K22" s="143">
        <f t="shared" si="11"/>
        <v>0</v>
      </c>
      <c r="L22" s="402">
        <f t="shared" si="11"/>
        <v>0</v>
      </c>
      <c r="M22" s="419">
        <f t="shared" si="11"/>
        <v>0</v>
      </c>
      <c r="N22" s="143">
        <f t="shared" si="11"/>
        <v>0</v>
      </c>
      <c r="O22" s="420">
        <f t="shared" si="11"/>
        <v>0</v>
      </c>
      <c r="P22" s="419">
        <f t="shared" si="11"/>
        <v>66860.919540229879</v>
      </c>
      <c r="Q22" s="143">
        <f t="shared" si="11"/>
        <v>2298.8505747126437</v>
      </c>
      <c r="R22" s="420">
        <f t="shared" si="11"/>
        <v>0</v>
      </c>
    </row>
    <row r="23" spans="1:20">
      <c r="B23" s="38"/>
      <c r="C23" s="24"/>
      <c r="D23" s="25"/>
      <c r="E23" s="25"/>
      <c r="F23" s="45"/>
      <c r="G23" s="45"/>
      <c r="H23" s="45"/>
      <c r="I23" s="45"/>
      <c r="J23" s="45"/>
      <c r="K23" s="45"/>
      <c r="L23" s="45"/>
      <c r="M23" s="45"/>
      <c r="N23" s="45"/>
      <c r="O23" s="45"/>
      <c r="P23" s="171"/>
      <c r="Q23" s="171"/>
      <c r="R23" s="171"/>
    </row>
    <row r="24" spans="1:20">
      <c r="B24" s="135"/>
      <c r="C24" s="136"/>
      <c r="D24" s="137"/>
      <c r="E24" s="137"/>
      <c r="F24" s="138"/>
      <c r="G24" s="138"/>
      <c r="H24" s="138"/>
      <c r="I24" s="138"/>
      <c r="J24" s="138"/>
      <c r="K24" s="138"/>
      <c r="L24" s="138"/>
      <c r="M24" s="138"/>
      <c r="N24" s="138"/>
      <c r="O24" s="138"/>
    </row>
    <row r="25" spans="1:20">
      <c r="H25" s="102"/>
      <c r="I25" s="102"/>
    </row>
  </sheetData>
  <mergeCells count="5">
    <mergeCell ref="B4:F4"/>
    <mergeCell ref="G5:I5"/>
    <mergeCell ref="J5:L5"/>
    <mergeCell ref="M5:O5"/>
    <mergeCell ref="P5:R5"/>
  </mergeCells>
  <pageMargins left="0.39370078740157483" right="0.19685039370078741" top="0.98425196850393704" bottom="0.74803149606299213" header="0.31496062992125984" footer="0.31496062992125984"/>
  <pageSetup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42"/>
  <sheetViews>
    <sheetView showGridLines="0" zoomScale="90" zoomScaleNormal="90" workbookViewId="0">
      <selection activeCell="H8" sqref="H8"/>
    </sheetView>
  </sheetViews>
  <sheetFormatPr baseColWidth="10" defaultColWidth="10.28515625" defaultRowHeight="12.75"/>
  <cols>
    <col min="1" max="1" width="3.7109375" style="7" customWidth="1"/>
    <col min="2" max="2" width="38.85546875" style="46" customWidth="1"/>
    <col min="3" max="3" width="11.28515625" style="47" customWidth="1"/>
    <col min="4" max="4" width="9.42578125" style="48" customWidth="1"/>
    <col min="5" max="5" width="11.42578125" style="48" bestFit="1" customWidth="1"/>
    <col min="6" max="6" width="11.7109375" style="13" customWidth="1"/>
    <col min="7" max="7" width="13.140625" style="13" customWidth="1"/>
    <col min="8" max="16" width="12.42578125" style="13" customWidth="1"/>
    <col min="17" max="17" width="13" style="7" customWidth="1"/>
    <col min="18" max="18" width="12.140625" style="7" customWidth="1"/>
    <col min="19" max="19" width="10.28515625" style="7"/>
    <col min="20" max="20" width="12.85546875" style="7" customWidth="1"/>
    <col min="21" max="16384" width="10.28515625" style="7"/>
  </cols>
  <sheetData>
    <row r="1" spans="1:21">
      <c r="A1" s="9"/>
      <c r="B1" s="10"/>
      <c r="C1" s="11"/>
      <c r="D1" s="12"/>
      <c r="E1" s="12"/>
    </row>
    <row r="2" spans="1:21">
      <c r="A2" s="9"/>
      <c r="B2" s="10"/>
      <c r="C2" s="11"/>
      <c r="D2" s="12"/>
      <c r="E2" s="12"/>
    </row>
    <row r="3" spans="1:21">
      <c r="B3" s="14" t="s">
        <v>32</v>
      </c>
      <c r="C3" s="11"/>
      <c r="D3" s="12"/>
      <c r="E3" s="12"/>
    </row>
    <row r="4" spans="1:21">
      <c r="A4" s="9"/>
      <c r="B4" s="547" t="s">
        <v>33</v>
      </c>
      <c r="C4" s="547"/>
      <c r="D4" s="547"/>
      <c r="E4" s="547"/>
      <c r="F4" s="547"/>
      <c r="G4" s="15"/>
      <c r="R4" s="132" t="s">
        <v>39</v>
      </c>
      <c r="S4" s="204">
        <f>'Pres.Total en Bs. y $us.'!R4</f>
        <v>6.96</v>
      </c>
    </row>
    <row r="5" spans="1:21" ht="15.6" customHeight="1">
      <c r="B5" s="10"/>
      <c r="C5" s="11"/>
      <c r="D5" s="12"/>
      <c r="E5" s="12"/>
      <c r="F5" s="16"/>
      <c r="G5" s="16"/>
      <c r="H5" s="548" t="s">
        <v>103</v>
      </c>
      <c r="I5" s="549"/>
      <c r="J5" s="550"/>
      <c r="K5" s="551" t="s">
        <v>104</v>
      </c>
      <c r="L5" s="551"/>
      <c r="M5" s="551"/>
      <c r="N5" s="548" t="s">
        <v>105</v>
      </c>
      <c r="O5" s="549"/>
      <c r="P5" s="550"/>
      <c r="Q5" s="548" t="s">
        <v>107</v>
      </c>
      <c r="R5" s="549"/>
      <c r="S5" s="550"/>
    </row>
    <row r="6" spans="1:21" s="17" customFormat="1" ht="38.25">
      <c r="B6" s="18" t="s">
        <v>1</v>
      </c>
      <c r="C6" s="19" t="s">
        <v>2</v>
      </c>
      <c r="D6" s="18" t="s">
        <v>3</v>
      </c>
      <c r="E6" s="18" t="s">
        <v>0</v>
      </c>
      <c r="F6" s="18" t="s">
        <v>19</v>
      </c>
      <c r="G6" s="432" t="s">
        <v>21</v>
      </c>
      <c r="H6" s="408" t="s">
        <v>20</v>
      </c>
      <c r="I6" s="21" t="s">
        <v>58</v>
      </c>
      <c r="J6" s="409" t="s">
        <v>63</v>
      </c>
      <c r="K6" s="403" t="s">
        <v>20</v>
      </c>
      <c r="L6" s="21" t="s">
        <v>58</v>
      </c>
      <c r="M6" s="421" t="s">
        <v>63</v>
      </c>
      <c r="N6" s="408" t="s">
        <v>20</v>
      </c>
      <c r="O6" s="21" t="s">
        <v>58</v>
      </c>
      <c r="P6" s="409" t="s">
        <v>63</v>
      </c>
      <c r="Q6" s="408" t="s">
        <v>20</v>
      </c>
      <c r="R6" s="21" t="s">
        <v>58</v>
      </c>
      <c r="S6" s="409" t="s">
        <v>63</v>
      </c>
    </row>
    <row r="7" spans="1:21">
      <c r="B7" s="23"/>
      <c r="C7" s="24"/>
      <c r="D7" s="25"/>
      <c r="E7" s="25"/>
      <c r="H7" s="410"/>
      <c r="I7" s="90"/>
      <c r="J7" s="411"/>
      <c r="K7" s="27"/>
      <c r="L7" s="27"/>
      <c r="M7" s="27"/>
      <c r="N7" s="424"/>
      <c r="O7" s="425"/>
      <c r="P7" s="426"/>
      <c r="Q7" s="429"/>
      <c r="R7" s="430"/>
      <c r="S7" s="431"/>
    </row>
    <row r="8" spans="1:21" ht="39.75" customHeight="1">
      <c r="A8" s="119" t="s">
        <v>29</v>
      </c>
      <c r="B8" s="189" t="s">
        <v>331</v>
      </c>
      <c r="C8" s="286">
        <v>14</v>
      </c>
      <c r="D8" s="190" t="s">
        <v>77</v>
      </c>
      <c r="E8" s="342">
        <f>F8/C8</f>
        <v>5715.8571428571431</v>
      </c>
      <c r="F8" s="369">
        <f>H8</f>
        <v>80022</v>
      </c>
      <c r="G8" s="433">
        <f>Q8+R8+S8</f>
        <v>254269.91</v>
      </c>
      <c r="H8" s="356">
        <v>80022</v>
      </c>
      <c r="I8" s="357">
        <v>0</v>
      </c>
      <c r="J8" s="412">
        <v>0</v>
      </c>
      <c r="K8" s="356">
        <v>84023.1</v>
      </c>
      <c r="L8" s="357">
        <v>0</v>
      </c>
      <c r="M8" s="422">
        <v>0</v>
      </c>
      <c r="N8" s="356">
        <v>90224.81</v>
      </c>
      <c r="O8" s="357">
        <v>0</v>
      </c>
      <c r="P8" s="412">
        <v>0</v>
      </c>
      <c r="Q8" s="439">
        <f>H8+K8+N8</f>
        <v>254269.91</v>
      </c>
      <c r="R8" s="121">
        <f t="shared" ref="R8:S8" si="0">I8+L8+O8</f>
        <v>0</v>
      </c>
      <c r="S8" s="440">
        <f t="shared" si="0"/>
        <v>0</v>
      </c>
    </row>
    <row r="9" spans="1:21" ht="30.75" customHeight="1">
      <c r="A9" s="119" t="s">
        <v>29</v>
      </c>
      <c r="B9" s="189" t="s">
        <v>332</v>
      </c>
      <c r="C9" s="286">
        <v>14</v>
      </c>
      <c r="D9" s="190" t="s">
        <v>77</v>
      </c>
      <c r="E9" s="342">
        <f t="shared" ref="E9:E14" si="1">F9/C9</f>
        <v>4572.6857142857143</v>
      </c>
      <c r="F9" s="369">
        <f t="shared" ref="F9:F12" si="2">H9</f>
        <v>64017.600000000006</v>
      </c>
      <c r="G9" s="433">
        <f t="shared" ref="G9:G14" si="3">Q9+R9+S9</f>
        <v>203816.03000000003</v>
      </c>
      <c r="H9" s="356">
        <v>64017.600000000006</v>
      </c>
      <c r="I9" s="357">
        <v>0</v>
      </c>
      <c r="J9" s="412">
        <v>0</v>
      </c>
      <c r="K9" s="356">
        <v>67218.48</v>
      </c>
      <c r="L9" s="357">
        <v>0</v>
      </c>
      <c r="M9" s="422">
        <v>0</v>
      </c>
      <c r="N9" s="356">
        <v>72579.95</v>
      </c>
      <c r="O9" s="357">
        <v>0</v>
      </c>
      <c r="P9" s="412">
        <v>0</v>
      </c>
      <c r="Q9" s="439">
        <f t="shared" ref="Q9:Q14" si="4">H9+K9+N9</f>
        <v>203816.03000000003</v>
      </c>
      <c r="R9" s="121">
        <f t="shared" ref="R9:R14" si="5">I9+L9+O9</f>
        <v>0</v>
      </c>
      <c r="S9" s="440">
        <f t="shared" ref="S9:S14" si="6">J9+M9+P9</f>
        <v>0</v>
      </c>
    </row>
    <row r="10" spans="1:21" ht="30.75" customHeight="1">
      <c r="A10" s="119" t="s">
        <v>29</v>
      </c>
      <c r="B10" s="189" t="s">
        <v>333</v>
      </c>
      <c r="C10" s="286">
        <v>14</v>
      </c>
      <c r="D10" s="190" t="s">
        <v>77</v>
      </c>
      <c r="E10" s="342">
        <f t="shared" si="1"/>
        <v>4572.6857142857143</v>
      </c>
      <c r="F10" s="369">
        <f t="shared" si="2"/>
        <v>64017.600000000006</v>
      </c>
      <c r="G10" s="433">
        <f t="shared" ref="G10:G12" si="7">Q10+R10+S10</f>
        <v>203816.03000000003</v>
      </c>
      <c r="H10" s="356">
        <v>64017.600000000006</v>
      </c>
      <c r="I10" s="357">
        <v>0</v>
      </c>
      <c r="J10" s="412">
        <v>0</v>
      </c>
      <c r="K10" s="356">
        <v>67218.48</v>
      </c>
      <c r="L10" s="357">
        <v>0</v>
      </c>
      <c r="M10" s="422">
        <v>0</v>
      </c>
      <c r="N10" s="356">
        <v>72579.95</v>
      </c>
      <c r="O10" s="357">
        <v>0</v>
      </c>
      <c r="P10" s="412">
        <v>0</v>
      </c>
      <c r="Q10" s="439">
        <f t="shared" ref="Q10:Q12" si="8">H10+K10+N10</f>
        <v>203816.03000000003</v>
      </c>
      <c r="R10" s="121">
        <f t="shared" ref="R10:R12" si="9">I10+L10+O10</f>
        <v>0</v>
      </c>
      <c r="S10" s="440">
        <f t="shared" ref="S10:S12" si="10">J10+M10+P10</f>
        <v>0</v>
      </c>
    </row>
    <row r="11" spans="1:21" ht="30.75" customHeight="1">
      <c r="A11" s="119" t="s">
        <v>29</v>
      </c>
      <c r="B11" s="189" t="s">
        <v>334</v>
      </c>
      <c r="C11" s="286">
        <v>14</v>
      </c>
      <c r="D11" s="190" t="s">
        <v>77</v>
      </c>
      <c r="E11" s="342">
        <f t="shared" si="1"/>
        <v>4572.6857142857143</v>
      </c>
      <c r="F11" s="369">
        <f t="shared" si="2"/>
        <v>64017.600000000006</v>
      </c>
      <c r="G11" s="433">
        <f t="shared" si="7"/>
        <v>203816.03000000003</v>
      </c>
      <c r="H11" s="356">
        <v>64017.600000000006</v>
      </c>
      <c r="I11" s="357">
        <v>0</v>
      </c>
      <c r="J11" s="412">
        <v>0</v>
      </c>
      <c r="K11" s="356">
        <v>67218.48</v>
      </c>
      <c r="L11" s="357">
        <v>0</v>
      </c>
      <c r="M11" s="422">
        <v>0</v>
      </c>
      <c r="N11" s="356">
        <v>72579.95</v>
      </c>
      <c r="O11" s="357">
        <v>0</v>
      </c>
      <c r="P11" s="412">
        <v>0</v>
      </c>
      <c r="Q11" s="439">
        <f t="shared" si="8"/>
        <v>203816.03000000003</v>
      </c>
      <c r="R11" s="121">
        <f t="shared" si="9"/>
        <v>0</v>
      </c>
      <c r="S11" s="440">
        <f t="shared" si="10"/>
        <v>0</v>
      </c>
    </row>
    <row r="12" spans="1:21" ht="30.75" customHeight="1">
      <c r="A12" s="119" t="s">
        <v>29</v>
      </c>
      <c r="B12" s="189" t="s">
        <v>335</v>
      </c>
      <c r="C12" s="286">
        <v>14</v>
      </c>
      <c r="D12" s="190" t="s">
        <v>77</v>
      </c>
      <c r="E12" s="342">
        <f t="shared" si="1"/>
        <v>4572.6857142857143</v>
      </c>
      <c r="F12" s="369">
        <f t="shared" si="2"/>
        <v>64017.600000000006</v>
      </c>
      <c r="G12" s="433">
        <f t="shared" si="7"/>
        <v>203816.03000000003</v>
      </c>
      <c r="H12" s="356">
        <v>64017.600000000006</v>
      </c>
      <c r="I12" s="357">
        <v>0</v>
      </c>
      <c r="J12" s="412">
        <v>0</v>
      </c>
      <c r="K12" s="356">
        <v>67218.48</v>
      </c>
      <c r="L12" s="357">
        <v>0</v>
      </c>
      <c r="M12" s="422">
        <v>0</v>
      </c>
      <c r="N12" s="356">
        <v>72579.95</v>
      </c>
      <c r="O12" s="357">
        <v>0</v>
      </c>
      <c r="P12" s="412">
        <v>0</v>
      </c>
      <c r="Q12" s="439">
        <f t="shared" si="8"/>
        <v>203816.03000000003</v>
      </c>
      <c r="R12" s="121">
        <f t="shared" si="9"/>
        <v>0</v>
      </c>
      <c r="S12" s="440">
        <f t="shared" si="10"/>
        <v>0</v>
      </c>
    </row>
    <row r="13" spans="1:21" ht="30.75" customHeight="1">
      <c r="A13" s="119" t="s">
        <v>29</v>
      </c>
      <c r="B13" s="189" t="s">
        <v>336</v>
      </c>
      <c r="C13" s="286">
        <v>14</v>
      </c>
      <c r="D13" s="190" t="s">
        <v>77</v>
      </c>
      <c r="E13" s="342">
        <f t="shared" si="1"/>
        <v>4976.7014285714295</v>
      </c>
      <c r="F13" s="369">
        <f>H13+I13</f>
        <v>69673.820000000007</v>
      </c>
      <c r="G13" s="433">
        <f t="shared" si="3"/>
        <v>222980.97</v>
      </c>
      <c r="H13" s="356">
        <v>41804.292000000001</v>
      </c>
      <c r="I13" s="357">
        <v>27869.528000000002</v>
      </c>
      <c r="J13" s="412">
        <v>0</v>
      </c>
      <c r="K13" s="356">
        <v>43894.505999999994</v>
      </c>
      <c r="L13" s="357">
        <v>29263.004000000001</v>
      </c>
      <c r="M13" s="422">
        <v>0</v>
      </c>
      <c r="N13" s="356">
        <v>48089.784</v>
      </c>
      <c r="O13" s="357">
        <v>32059.856000000003</v>
      </c>
      <c r="P13" s="412">
        <v>0</v>
      </c>
      <c r="Q13" s="439">
        <f t="shared" si="4"/>
        <v>133788.58199999999</v>
      </c>
      <c r="R13" s="121">
        <f t="shared" si="5"/>
        <v>89192.388000000006</v>
      </c>
      <c r="S13" s="440">
        <f t="shared" si="6"/>
        <v>0</v>
      </c>
    </row>
    <row r="14" spans="1:21" ht="30.75" customHeight="1">
      <c r="A14" s="119" t="s">
        <v>29</v>
      </c>
      <c r="B14" s="189" t="s">
        <v>337</v>
      </c>
      <c r="C14" s="286">
        <v>14</v>
      </c>
      <c r="D14" s="190" t="s">
        <v>77</v>
      </c>
      <c r="E14" s="342">
        <f t="shared" si="1"/>
        <v>4976.7014285714295</v>
      </c>
      <c r="F14" s="369">
        <f>H14+I14</f>
        <v>69673.820000000007</v>
      </c>
      <c r="G14" s="433">
        <f t="shared" si="3"/>
        <v>222980.97</v>
      </c>
      <c r="H14" s="356">
        <v>41804.292000000001</v>
      </c>
      <c r="I14" s="357">
        <v>27869.528000000002</v>
      </c>
      <c r="J14" s="412">
        <v>0</v>
      </c>
      <c r="K14" s="356">
        <v>43894.505999999994</v>
      </c>
      <c r="L14" s="357">
        <v>29263.004000000001</v>
      </c>
      <c r="M14" s="422">
        <v>0</v>
      </c>
      <c r="N14" s="356">
        <v>48089.784</v>
      </c>
      <c r="O14" s="357">
        <v>32059.856000000003</v>
      </c>
      <c r="P14" s="412">
        <v>0</v>
      </c>
      <c r="Q14" s="439">
        <f t="shared" si="4"/>
        <v>133788.58199999999</v>
      </c>
      <c r="R14" s="121">
        <f t="shared" si="5"/>
        <v>89192.388000000006</v>
      </c>
      <c r="S14" s="440">
        <f t="shared" si="6"/>
        <v>0</v>
      </c>
    </row>
    <row r="15" spans="1:21">
      <c r="B15" s="1"/>
      <c r="C15" s="60"/>
      <c r="D15" s="61"/>
      <c r="E15" s="3"/>
      <c r="F15" s="52"/>
      <c r="G15" s="434"/>
      <c r="H15" s="436"/>
      <c r="I15" s="5"/>
      <c r="J15" s="437"/>
      <c r="K15" s="435"/>
      <c r="L15" s="5"/>
      <c r="M15" s="438"/>
      <c r="N15" s="436"/>
      <c r="O15" s="5"/>
      <c r="P15" s="437"/>
      <c r="Q15" s="436"/>
      <c r="R15" s="5"/>
      <c r="S15" s="437"/>
    </row>
    <row r="16" spans="1:21" ht="12.6" customHeight="1">
      <c r="B16" s="33" t="s">
        <v>11</v>
      </c>
      <c r="C16" s="34"/>
      <c r="D16" s="35"/>
      <c r="E16" s="36"/>
      <c r="F16" s="37">
        <f>SUM(F8:F15)</f>
        <v>475440.04000000004</v>
      </c>
      <c r="G16" s="401">
        <f>SUM(G8:G15)</f>
        <v>1515495.9700000002</v>
      </c>
      <c r="H16" s="415">
        <f>SUM(H8:H15)</f>
        <v>419700.98400000005</v>
      </c>
      <c r="I16" s="37">
        <f>SUM(I8:I15)</f>
        <v>55739.056000000004</v>
      </c>
      <c r="J16" s="416"/>
      <c r="K16" s="406">
        <f t="shared" ref="K16:S16" si="11">SUM(K8:K15)</f>
        <v>440686.03199999995</v>
      </c>
      <c r="L16" s="37">
        <f t="shared" si="11"/>
        <v>58526.008000000002</v>
      </c>
      <c r="M16" s="401">
        <f t="shared" si="11"/>
        <v>0</v>
      </c>
      <c r="N16" s="415">
        <f t="shared" si="11"/>
        <v>476724.17800000001</v>
      </c>
      <c r="O16" s="37">
        <f t="shared" si="11"/>
        <v>64119.712000000007</v>
      </c>
      <c r="P16" s="416">
        <f t="shared" si="11"/>
        <v>0</v>
      </c>
      <c r="Q16" s="415">
        <f t="shared" si="11"/>
        <v>1337111.1940000001</v>
      </c>
      <c r="R16" s="37">
        <f t="shared" si="11"/>
        <v>178384.77600000001</v>
      </c>
      <c r="S16" s="416">
        <f t="shared" si="11"/>
        <v>0</v>
      </c>
      <c r="T16" s="13">
        <f>SUM(Q16:S16)</f>
        <v>1515495.9700000002</v>
      </c>
      <c r="U16" s="13">
        <f>G16-T16</f>
        <v>0</v>
      </c>
    </row>
    <row r="17" spans="2:19">
      <c r="B17" s="38"/>
      <c r="C17" s="39"/>
      <c r="D17" s="25"/>
      <c r="E17" s="40"/>
      <c r="Q17" s="13"/>
      <c r="R17" s="13"/>
      <c r="S17" s="13"/>
    </row>
    <row r="18" spans="2:19">
      <c r="B18" s="547" t="s">
        <v>56</v>
      </c>
      <c r="C18" s="547"/>
      <c r="D18" s="547"/>
      <c r="E18" s="547"/>
      <c r="F18" s="547"/>
      <c r="G18" s="150"/>
      <c r="Q18" s="13"/>
      <c r="R18" s="13"/>
      <c r="S18" s="13"/>
    </row>
    <row r="19" spans="2:19" ht="13.15" customHeight="1">
      <c r="B19" s="10"/>
      <c r="C19" s="11"/>
      <c r="D19" s="12"/>
      <c r="E19" s="12"/>
      <c r="F19" s="16"/>
      <c r="G19" s="16"/>
      <c r="H19" s="556" t="s">
        <v>59</v>
      </c>
      <c r="I19" s="549"/>
      <c r="J19" s="549"/>
      <c r="K19" s="557" t="s">
        <v>60</v>
      </c>
      <c r="L19" s="551"/>
      <c r="M19" s="551"/>
      <c r="N19" s="556" t="s">
        <v>61</v>
      </c>
      <c r="O19" s="549"/>
      <c r="P19" s="549"/>
      <c r="Q19" s="556" t="s">
        <v>62</v>
      </c>
      <c r="R19" s="549"/>
      <c r="S19" s="549"/>
    </row>
    <row r="20" spans="2:19" ht="38.25">
      <c r="B20" s="18" t="s">
        <v>1</v>
      </c>
      <c r="C20" s="19" t="s">
        <v>2</v>
      </c>
      <c r="D20" s="18" t="s">
        <v>3</v>
      </c>
      <c r="E20" s="18" t="s">
        <v>0</v>
      </c>
      <c r="F20" s="18" t="s">
        <v>19</v>
      </c>
      <c r="G20" s="18" t="s">
        <v>21</v>
      </c>
      <c r="H20" s="20" t="s">
        <v>20</v>
      </c>
      <c r="I20" s="21" t="s">
        <v>58</v>
      </c>
      <c r="J20" s="22" t="s">
        <v>63</v>
      </c>
      <c r="K20" s="20" t="s">
        <v>20</v>
      </c>
      <c r="L20" s="21" t="s">
        <v>58</v>
      </c>
      <c r="M20" s="22" t="s">
        <v>63</v>
      </c>
      <c r="N20" s="20" t="s">
        <v>20</v>
      </c>
      <c r="O20" s="21" t="s">
        <v>58</v>
      </c>
      <c r="P20" s="22" t="s">
        <v>63</v>
      </c>
      <c r="Q20" s="20" t="s">
        <v>20</v>
      </c>
      <c r="R20" s="21" t="s">
        <v>58</v>
      </c>
      <c r="S20" s="22" t="s">
        <v>63</v>
      </c>
    </row>
    <row r="21" spans="2:19">
      <c r="B21" s="23"/>
      <c r="C21" s="24"/>
      <c r="D21" s="25"/>
      <c r="E21" s="25"/>
      <c r="H21" s="26"/>
      <c r="I21" s="26"/>
      <c r="J21" s="26"/>
      <c r="K21" s="27"/>
      <c r="L21" s="27"/>
      <c r="M21" s="27"/>
      <c r="N21" s="27"/>
      <c r="O21" s="27"/>
      <c r="P21" s="27"/>
      <c r="Q21" s="27"/>
      <c r="R21" s="27"/>
      <c r="S21" s="27"/>
    </row>
    <row r="22" spans="2:19">
      <c r="B22" s="4"/>
      <c r="C22" s="49"/>
      <c r="D22" s="50"/>
      <c r="E22" s="51"/>
      <c r="F22" s="52"/>
      <c r="G22" s="53"/>
      <c r="H22" s="54"/>
      <c r="I22" s="120"/>
      <c r="J22" s="120"/>
      <c r="K22" s="121"/>
      <c r="L22" s="121"/>
      <c r="M22" s="121"/>
      <c r="N22" s="121"/>
      <c r="O22" s="121"/>
      <c r="P22" s="121"/>
      <c r="Q22" s="121"/>
      <c r="R22" s="121"/>
      <c r="S22" s="121"/>
    </row>
    <row r="23" spans="2:19">
      <c r="B23" s="4"/>
      <c r="C23" s="49"/>
      <c r="D23" s="50"/>
      <c r="E23" s="51"/>
      <c r="F23" s="52"/>
      <c r="G23" s="53"/>
      <c r="H23" s="54"/>
      <c r="I23" s="120"/>
      <c r="J23" s="120"/>
      <c r="K23" s="121"/>
      <c r="L23" s="121"/>
      <c r="M23" s="121"/>
      <c r="N23" s="121"/>
      <c r="O23" s="121"/>
      <c r="P23" s="121"/>
      <c r="Q23" s="121"/>
      <c r="R23" s="121"/>
      <c r="S23" s="121"/>
    </row>
    <row r="24" spans="2:19" ht="13.15" customHeight="1">
      <c r="B24" s="4"/>
      <c r="C24" s="49"/>
      <c r="D24" s="50"/>
      <c r="E24" s="51"/>
      <c r="F24" s="52"/>
      <c r="G24" s="53"/>
      <c r="H24" s="54"/>
      <c r="I24" s="120"/>
      <c r="J24" s="120"/>
      <c r="K24" s="121"/>
      <c r="L24" s="121"/>
      <c r="M24" s="121"/>
      <c r="N24" s="121"/>
      <c r="O24" s="121"/>
      <c r="P24" s="121"/>
      <c r="Q24" s="121"/>
      <c r="R24" s="121"/>
      <c r="S24" s="121"/>
    </row>
    <row r="25" spans="2:19">
      <c r="B25" s="4"/>
      <c r="C25" s="49"/>
      <c r="D25" s="50"/>
      <c r="E25" s="51"/>
      <c r="F25" s="52"/>
      <c r="G25" s="53"/>
      <c r="H25" s="54"/>
      <c r="I25" s="120"/>
      <c r="J25" s="120"/>
      <c r="K25" s="121"/>
      <c r="L25" s="121"/>
      <c r="M25" s="121"/>
      <c r="N25" s="121"/>
      <c r="O25" s="121"/>
      <c r="P25" s="121"/>
      <c r="Q25" s="121"/>
      <c r="R25" s="121"/>
      <c r="S25" s="121"/>
    </row>
    <row r="26" spans="2:19">
      <c r="B26" s="4"/>
      <c r="C26" s="49"/>
      <c r="D26" s="50"/>
      <c r="E26" s="51"/>
      <c r="F26" s="52"/>
      <c r="G26" s="53"/>
      <c r="H26" s="54"/>
      <c r="I26" s="120"/>
      <c r="J26" s="120"/>
      <c r="K26" s="121"/>
      <c r="L26" s="121"/>
      <c r="M26" s="121"/>
      <c r="N26" s="121"/>
      <c r="O26" s="121"/>
      <c r="P26" s="121"/>
      <c r="Q26" s="121"/>
      <c r="R26" s="121"/>
      <c r="S26" s="121"/>
    </row>
    <row r="27" spans="2:19" ht="13.15" customHeight="1">
      <c r="B27" s="4"/>
      <c r="C27" s="49"/>
      <c r="D27" s="50"/>
      <c r="E27" s="51"/>
      <c r="F27" s="52"/>
      <c r="G27" s="53"/>
      <c r="H27" s="54"/>
      <c r="I27" s="2"/>
      <c r="J27" s="2"/>
      <c r="K27" s="55"/>
      <c r="L27" s="2"/>
      <c r="M27" s="2"/>
      <c r="N27" s="55"/>
      <c r="O27" s="2"/>
      <c r="P27" s="2"/>
      <c r="Q27" s="55"/>
      <c r="R27" s="2"/>
      <c r="S27" s="2"/>
    </row>
    <row r="28" spans="2:19">
      <c r="B28" s="4"/>
      <c r="C28" s="49"/>
      <c r="D28" s="50"/>
      <c r="E28" s="56"/>
      <c r="F28" s="57"/>
      <c r="G28" s="53"/>
      <c r="H28" s="58"/>
      <c r="I28" s="58"/>
      <c r="J28" s="58"/>
      <c r="K28" s="59"/>
      <c r="L28" s="2"/>
      <c r="M28" s="2"/>
      <c r="N28" s="55"/>
      <c r="O28" s="2"/>
      <c r="P28" s="2"/>
      <c r="Q28" s="55"/>
      <c r="R28" s="2"/>
      <c r="S28" s="2"/>
    </row>
    <row r="29" spans="2:19">
      <c r="B29" s="1"/>
      <c r="C29" s="60"/>
      <c r="D29" s="61"/>
      <c r="E29" s="3"/>
      <c r="F29" s="52"/>
      <c r="G29" s="53"/>
      <c r="H29" s="5"/>
      <c r="I29" s="5"/>
      <c r="J29" s="5"/>
      <c r="K29" s="5"/>
      <c r="L29" s="5"/>
      <c r="M29" s="5"/>
      <c r="N29" s="5"/>
      <c r="O29" s="5"/>
      <c r="P29" s="5"/>
      <c r="Q29" s="5"/>
      <c r="R29" s="5"/>
      <c r="S29" s="5"/>
    </row>
    <row r="30" spans="2:19" ht="13.15" customHeight="1">
      <c r="B30" s="4"/>
      <c r="C30" s="49"/>
      <c r="D30" s="50"/>
      <c r="E30" s="56"/>
      <c r="F30" s="57"/>
      <c r="G30" s="53"/>
      <c r="H30" s="58"/>
      <c r="I30" s="58"/>
      <c r="J30" s="58"/>
      <c r="K30" s="59"/>
      <c r="L30" s="170"/>
      <c r="M30" s="170"/>
      <c r="N30" s="55"/>
      <c r="O30" s="2"/>
      <c r="P30" s="2"/>
      <c r="Q30" s="55"/>
      <c r="R30" s="2"/>
      <c r="S30" s="2"/>
    </row>
    <row r="31" spans="2:19">
      <c r="B31" s="1"/>
      <c r="C31" s="60"/>
      <c r="D31" s="61"/>
      <c r="E31" s="3"/>
      <c r="F31" s="52"/>
      <c r="G31" s="53"/>
      <c r="H31" s="5"/>
      <c r="I31" s="5"/>
      <c r="J31" s="5"/>
      <c r="K31" s="5"/>
      <c r="L31" s="5"/>
      <c r="M31" s="5"/>
      <c r="N31" s="5"/>
      <c r="O31" s="5"/>
      <c r="P31" s="5"/>
      <c r="Q31" s="5"/>
      <c r="R31" s="5"/>
      <c r="S31" s="5"/>
    </row>
    <row r="32" spans="2:19" ht="25.5">
      <c r="B32" s="33" t="s">
        <v>57</v>
      </c>
      <c r="C32" s="34"/>
      <c r="D32" s="35"/>
      <c r="E32" s="36"/>
      <c r="F32" s="37">
        <f>SUM(F22:F31)</f>
        <v>0</v>
      </c>
      <c r="G32" s="37">
        <f t="shared" ref="G32:P32" si="12">SUM(G22:G31)</f>
        <v>0</v>
      </c>
      <c r="H32" s="37">
        <f t="shared" si="12"/>
        <v>0</v>
      </c>
      <c r="I32" s="37">
        <f t="shared" si="12"/>
        <v>0</v>
      </c>
      <c r="J32" s="37"/>
      <c r="K32" s="37">
        <f t="shared" si="12"/>
        <v>0</v>
      </c>
      <c r="L32" s="37">
        <f t="shared" si="12"/>
        <v>0</v>
      </c>
      <c r="M32" s="37">
        <f t="shared" si="12"/>
        <v>0</v>
      </c>
      <c r="N32" s="37">
        <f t="shared" si="12"/>
        <v>0</v>
      </c>
      <c r="O32" s="37">
        <f t="shared" si="12"/>
        <v>0</v>
      </c>
      <c r="P32" s="37">
        <f t="shared" si="12"/>
        <v>0</v>
      </c>
      <c r="Q32" s="37">
        <f t="shared" ref="Q32:S32" si="13">SUM(Q22:Q31)</f>
        <v>0</v>
      </c>
      <c r="R32" s="37">
        <f t="shared" si="13"/>
        <v>0</v>
      </c>
      <c r="S32" s="37">
        <f t="shared" si="13"/>
        <v>0</v>
      </c>
    </row>
    <row r="33" spans="2:19">
      <c r="B33" s="38"/>
      <c r="C33" s="39"/>
      <c r="D33" s="25"/>
      <c r="E33" s="40"/>
      <c r="Q33" s="13"/>
      <c r="R33" s="13"/>
      <c r="S33" s="13"/>
    </row>
    <row r="34" spans="2:19">
      <c r="B34" s="38"/>
      <c r="C34" s="39"/>
      <c r="D34" s="25"/>
      <c r="E34" s="40"/>
      <c r="Q34" s="13"/>
      <c r="R34" s="13"/>
      <c r="S34" s="13"/>
    </row>
    <row r="35" spans="2:19" ht="15.6" customHeight="1">
      <c r="B35" s="547" t="s">
        <v>34</v>
      </c>
      <c r="C35" s="547"/>
      <c r="D35" s="547"/>
      <c r="E35" s="547"/>
      <c r="F35" s="547"/>
      <c r="G35" s="15"/>
      <c r="H35" s="554" t="s">
        <v>59</v>
      </c>
      <c r="I35" s="555"/>
      <c r="J35" s="555"/>
      <c r="K35" s="552" t="s">
        <v>60</v>
      </c>
      <c r="L35" s="553"/>
      <c r="M35" s="553"/>
      <c r="N35" s="552" t="s">
        <v>61</v>
      </c>
      <c r="O35" s="553"/>
      <c r="P35" s="553"/>
      <c r="Q35" s="552" t="s">
        <v>62</v>
      </c>
      <c r="R35" s="553"/>
      <c r="S35" s="553"/>
    </row>
    <row r="36" spans="2:19">
      <c r="B36" s="62"/>
      <c r="C36" s="63"/>
      <c r="D36" s="64"/>
      <c r="E36" s="64"/>
      <c r="H36" s="20" t="s">
        <v>20</v>
      </c>
      <c r="I36" s="21" t="s">
        <v>58</v>
      </c>
      <c r="J36" s="22" t="s">
        <v>63</v>
      </c>
      <c r="K36" s="20" t="s">
        <v>20</v>
      </c>
      <c r="L36" s="21" t="s">
        <v>58</v>
      </c>
      <c r="M36" s="22" t="s">
        <v>63</v>
      </c>
      <c r="N36" s="20" t="s">
        <v>20</v>
      </c>
      <c r="O36" s="21" t="s">
        <v>58</v>
      </c>
      <c r="P36" s="22" t="s">
        <v>63</v>
      </c>
      <c r="Q36" s="20" t="s">
        <v>20</v>
      </c>
      <c r="R36" s="21" t="s">
        <v>58</v>
      </c>
      <c r="S36" s="22" t="s">
        <v>63</v>
      </c>
    </row>
    <row r="37" spans="2:19">
      <c r="B37" s="4" t="s">
        <v>25</v>
      </c>
      <c r="C37" s="65">
        <v>6</v>
      </c>
      <c r="D37" s="28" t="s">
        <v>5</v>
      </c>
      <c r="E37" s="29"/>
      <c r="F37" s="30"/>
      <c r="G37" s="30"/>
      <c r="H37" s="30"/>
      <c r="I37" s="30"/>
      <c r="J37" s="30"/>
      <c r="K37" s="30"/>
      <c r="L37" s="30"/>
      <c r="M37" s="30"/>
      <c r="N37" s="30"/>
      <c r="O37" s="30"/>
      <c r="P37" s="30"/>
      <c r="Q37" s="30"/>
      <c r="R37" s="30"/>
      <c r="S37" s="30"/>
    </row>
    <row r="38" spans="2:19" ht="12.6" customHeight="1">
      <c r="B38" s="66" t="s">
        <v>10</v>
      </c>
      <c r="C38" s="67"/>
      <c r="D38" s="67"/>
      <c r="E38" s="67"/>
      <c r="F38" s="68">
        <f t="shared" ref="F38:O38" si="14">SUM(F37:F37)</f>
        <v>0</v>
      </c>
      <c r="G38" s="68">
        <f t="shared" si="14"/>
        <v>0</v>
      </c>
      <c r="H38" s="68">
        <f t="shared" si="14"/>
        <v>0</v>
      </c>
      <c r="I38" s="68">
        <f t="shared" si="14"/>
        <v>0</v>
      </c>
      <c r="J38" s="68">
        <f t="shared" si="14"/>
        <v>0</v>
      </c>
      <c r="K38" s="68">
        <f t="shared" si="14"/>
        <v>0</v>
      </c>
      <c r="L38" s="68">
        <f t="shared" si="14"/>
        <v>0</v>
      </c>
      <c r="M38" s="68">
        <f t="shared" ref="M38" si="15">SUM(M37:M37)</f>
        <v>0</v>
      </c>
      <c r="N38" s="68">
        <f t="shared" si="14"/>
        <v>0</v>
      </c>
      <c r="O38" s="68">
        <f t="shared" si="14"/>
        <v>0</v>
      </c>
      <c r="P38" s="68">
        <f t="shared" ref="P38" si="16">SUM(P37:P37)</f>
        <v>0</v>
      </c>
      <c r="Q38" s="68">
        <f t="shared" ref="Q38:S38" si="17">SUM(Q37:Q37)</f>
        <v>0</v>
      </c>
      <c r="R38" s="68">
        <f t="shared" si="17"/>
        <v>0</v>
      </c>
      <c r="S38" s="68">
        <f t="shared" si="17"/>
        <v>0</v>
      </c>
    </row>
    <row r="39" spans="2:19">
      <c r="B39" s="38"/>
      <c r="C39" s="39"/>
      <c r="D39" s="25"/>
      <c r="E39" s="40"/>
      <c r="F39" s="16"/>
      <c r="G39" s="16"/>
      <c r="H39" s="16"/>
      <c r="Q39" s="13"/>
      <c r="R39" s="13"/>
      <c r="S39" s="13"/>
    </row>
    <row r="40" spans="2:19" ht="12.6" customHeight="1">
      <c r="B40" s="8" t="s">
        <v>12</v>
      </c>
      <c r="C40" s="41"/>
      <c r="D40" s="42"/>
      <c r="E40" s="43"/>
      <c r="F40" s="44">
        <f>+F16+F38+F32</f>
        <v>475440.04000000004</v>
      </c>
      <c r="G40" s="44">
        <f t="shared" ref="G40:O40" si="18">+G16+G38</f>
        <v>1515495.9700000002</v>
      </c>
      <c r="H40" s="44">
        <f t="shared" si="18"/>
        <v>419700.98400000005</v>
      </c>
      <c r="I40" s="44">
        <f t="shared" si="18"/>
        <v>55739.056000000004</v>
      </c>
      <c r="J40" s="44">
        <f t="shared" si="18"/>
        <v>0</v>
      </c>
      <c r="K40" s="44">
        <f t="shared" si="18"/>
        <v>440686.03199999995</v>
      </c>
      <c r="L40" s="44">
        <f t="shared" si="18"/>
        <v>58526.008000000002</v>
      </c>
      <c r="M40" s="44">
        <f t="shared" ref="M40" si="19">+M16+M38</f>
        <v>0</v>
      </c>
      <c r="N40" s="44">
        <f t="shared" si="18"/>
        <v>476724.17800000001</v>
      </c>
      <c r="O40" s="44">
        <f t="shared" si="18"/>
        <v>64119.712000000007</v>
      </c>
      <c r="P40" s="44">
        <f t="shared" ref="P40" si="20">+P16+P38</f>
        <v>0</v>
      </c>
      <c r="Q40" s="44">
        <f t="shared" ref="Q40:S40" si="21">+Q16+Q38</f>
        <v>1337111.1940000001</v>
      </c>
      <c r="R40" s="44">
        <f t="shared" si="21"/>
        <v>178384.77600000001</v>
      </c>
      <c r="S40" s="44">
        <f t="shared" si="21"/>
        <v>0</v>
      </c>
    </row>
    <row r="41" spans="2:19">
      <c r="B41" s="38"/>
      <c r="C41" s="24"/>
      <c r="D41" s="25"/>
      <c r="E41" s="25"/>
      <c r="F41" s="45"/>
      <c r="G41" s="45"/>
      <c r="H41" s="45"/>
      <c r="I41" s="45"/>
      <c r="J41" s="45"/>
      <c r="K41" s="45"/>
      <c r="L41" s="45"/>
      <c r="M41" s="45"/>
      <c r="N41" s="45"/>
      <c r="O41" s="45"/>
      <c r="P41" s="45"/>
      <c r="Q41" s="45"/>
      <c r="R41" s="45"/>
      <c r="S41" s="45"/>
    </row>
    <row r="42" spans="2:19" s="17" customFormat="1">
      <c r="B42" s="139" t="s">
        <v>45</v>
      </c>
      <c r="C42" s="275"/>
      <c r="D42" s="276"/>
      <c r="E42" s="276"/>
      <c r="F42" s="277">
        <f>F40/$S$4</f>
        <v>68310.350574712647</v>
      </c>
      <c r="G42" s="277">
        <f t="shared" ref="G42:S42" si="22">G40/$S$4</f>
        <v>217743.67385057473</v>
      </c>
      <c r="H42" s="277">
        <f t="shared" si="22"/>
        <v>60301.865517241386</v>
      </c>
      <c r="I42" s="277">
        <f t="shared" si="22"/>
        <v>8008.4850574712646</v>
      </c>
      <c r="J42" s="277">
        <f t="shared" si="22"/>
        <v>0</v>
      </c>
      <c r="K42" s="277">
        <f t="shared" si="22"/>
        <v>63316.958620689649</v>
      </c>
      <c r="L42" s="277">
        <f t="shared" si="22"/>
        <v>8408.9091954022988</v>
      </c>
      <c r="M42" s="277">
        <f t="shared" si="22"/>
        <v>0</v>
      </c>
      <c r="N42" s="277">
        <f t="shared" si="22"/>
        <v>68494.853160919549</v>
      </c>
      <c r="O42" s="277">
        <f t="shared" si="22"/>
        <v>9212.6022988505756</v>
      </c>
      <c r="P42" s="277">
        <f t="shared" si="22"/>
        <v>0</v>
      </c>
      <c r="Q42" s="277">
        <f t="shared" si="22"/>
        <v>192113.67729885058</v>
      </c>
      <c r="R42" s="277">
        <f t="shared" si="22"/>
        <v>25629.99655172414</v>
      </c>
      <c r="S42" s="277">
        <f t="shared" si="22"/>
        <v>0</v>
      </c>
    </row>
  </sheetData>
  <mergeCells count="15">
    <mergeCell ref="Q5:S5"/>
    <mergeCell ref="Q19:S19"/>
    <mergeCell ref="Q35:S35"/>
    <mergeCell ref="N5:P5"/>
    <mergeCell ref="N35:P35"/>
    <mergeCell ref="N19:P19"/>
    <mergeCell ref="K35:M35"/>
    <mergeCell ref="B35:F35"/>
    <mergeCell ref="B4:F4"/>
    <mergeCell ref="H5:J5"/>
    <mergeCell ref="K5:M5"/>
    <mergeCell ref="H35:J35"/>
    <mergeCell ref="B18:F18"/>
    <mergeCell ref="H19:J19"/>
    <mergeCell ref="K19:M19"/>
  </mergeCells>
  <phoneticPr fontId="5" type="noConversion"/>
  <printOptions horizontalCentered="1"/>
  <pageMargins left="0.19685039370078741" right="0.19685039370078741" top="0.98425196850393704" bottom="0.19685039370078741" header="0.39370078740157483" footer="0"/>
  <pageSetup scale="60" fitToHeight="42" orientation="landscape"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224"/>
  <sheetViews>
    <sheetView showGridLines="0" topLeftCell="A76" zoomScale="80" zoomScaleNormal="80" workbookViewId="0">
      <pane ySplit="1245" topLeftCell="A175" activePane="bottomLeft"/>
      <selection activeCell="K77" sqref="K77"/>
      <selection pane="bottomLeft" activeCell="B186" sqref="B186"/>
    </sheetView>
  </sheetViews>
  <sheetFormatPr baseColWidth="10" defaultColWidth="10.85546875" defaultRowHeight="12.75"/>
  <cols>
    <col min="1" max="1" width="4.42578125" style="27" customWidth="1"/>
    <col min="2" max="2" width="65.5703125" style="101" customWidth="1"/>
    <col min="3" max="3" width="10.85546875" style="251" customWidth="1"/>
    <col min="4" max="4" width="11.140625" style="259" customWidth="1"/>
    <col min="5" max="5" width="11" style="251" customWidth="1"/>
    <col min="6" max="6" width="12.42578125" style="251" customWidth="1"/>
    <col min="7" max="9" width="11.5703125" style="101" customWidth="1"/>
    <col min="10" max="15" width="11.5703125" style="27" customWidth="1"/>
    <col min="16" max="16" width="13" style="27" customWidth="1"/>
    <col min="17" max="18" width="11.5703125" style="27" customWidth="1"/>
    <col min="19" max="19" width="13.28515625" style="27" customWidth="1"/>
    <col min="20" max="20" width="12.28515625" style="27" bestFit="1" customWidth="1"/>
    <col min="21" max="16384" width="10.85546875" style="27"/>
  </cols>
  <sheetData>
    <row r="1" spans="2:18">
      <c r="B1" s="559"/>
      <c r="C1" s="559"/>
      <c r="D1" s="559"/>
      <c r="E1" s="559"/>
      <c r="F1" s="559"/>
      <c r="G1" s="559"/>
      <c r="H1" s="559"/>
      <c r="I1" s="559"/>
    </row>
    <row r="2" spans="2:18">
      <c r="B2" s="117" t="s">
        <v>35</v>
      </c>
      <c r="C2" s="232"/>
      <c r="D2" s="253"/>
      <c r="E2" s="232"/>
      <c r="F2" s="232"/>
      <c r="G2" s="69"/>
      <c r="H2" s="69"/>
      <c r="I2" s="69"/>
    </row>
    <row r="3" spans="2:18">
      <c r="B3" s="70"/>
      <c r="C3" s="233"/>
      <c r="D3" s="254"/>
      <c r="E3" s="233"/>
      <c r="F3" s="233"/>
      <c r="G3" s="70"/>
      <c r="H3" s="70"/>
      <c r="I3" s="70"/>
    </row>
    <row r="4" spans="2:18" ht="12.6" customHeight="1">
      <c r="B4" s="118" t="s">
        <v>64</v>
      </c>
      <c r="C4" s="234"/>
      <c r="D4" s="255"/>
      <c r="E4" s="234"/>
      <c r="F4" s="234"/>
      <c r="G4" s="72"/>
      <c r="H4" s="72"/>
      <c r="I4" s="72"/>
    </row>
    <row r="5" spans="2:18" ht="12.6" customHeight="1" thickBot="1">
      <c r="B5" s="71"/>
      <c r="C5" s="234"/>
      <c r="D5" s="255"/>
      <c r="E5" s="234"/>
      <c r="F5" s="234"/>
      <c r="G5" s="72"/>
      <c r="H5" s="72"/>
      <c r="I5" s="72"/>
    </row>
    <row r="6" spans="2:18" ht="40.5" customHeight="1" thickTop="1" thickBot="1">
      <c r="B6" s="564" t="s">
        <v>362</v>
      </c>
      <c r="C6" s="561"/>
      <c r="D6" s="561"/>
      <c r="E6" s="561"/>
      <c r="F6" s="561"/>
      <c r="G6" s="561"/>
      <c r="H6" s="561"/>
      <c r="I6" s="561"/>
      <c r="J6" s="561"/>
      <c r="K6" s="561"/>
      <c r="L6" s="561"/>
      <c r="M6" s="561"/>
      <c r="N6" s="561"/>
      <c r="O6" s="561"/>
      <c r="P6" s="561"/>
      <c r="Q6" s="561"/>
      <c r="R6" s="562"/>
    </row>
    <row r="7" spans="2:18" ht="57" customHeight="1" thickTop="1" thickBot="1">
      <c r="B7" s="560" t="s">
        <v>356</v>
      </c>
      <c r="C7" s="561"/>
      <c r="D7" s="561"/>
      <c r="E7" s="561"/>
      <c r="F7" s="561"/>
      <c r="G7" s="561"/>
      <c r="H7" s="561"/>
      <c r="I7" s="561"/>
      <c r="J7" s="561"/>
      <c r="K7" s="561"/>
      <c r="L7" s="561"/>
      <c r="M7" s="561"/>
      <c r="N7" s="561"/>
      <c r="O7" s="561"/>
      <c r="P7" s="561"/>
      <c r="Q7" s="561"/>
      <c r="R7" s="562"/>
    </row>
    <row r="8" spans="2:18" ht="68.25" customHeight="1" thickTop="1" thickBot="1">
      <c r="B8" s="564" t="s">
        <v>357</v>
      </c>
      <c r="C8" s="561"/>
      <c r="D8" s="561"/>
      <c r="E8" s="561"/>
      <c r="F8" s="561"/>
      <c r="G8" s="561"/>
      <c r="H8" s="561"/>
      <c r="I8" s="561"/>
      <c r="J8" s="561"/>
      <c r="K8" s="561"/>
      <c r="L8" s="561"/>
      <c r="M8" s="561"/>
      <c r="N8" s="561"/>
      <c r="O8" s="561"/>
      <c r="P8" s="561"/>
      <c r="Q8" s="561"/>
      <c r="R8" s="562"/>
    </row>
    <row r="9" spans="2:18" ht="132.75" customHeight="1" thickTop="1" thickBot="1">
      <c r="B9" s="564" t="s">
        <v>358</v>
      </c>
      <c r="C9" s="561"/>
      <c r="D9" s="561"/>
      <c r="E9" s="561"/>
      <c r="F9" s="561"/>
      <c r="G9" s="561"/>
      <c r="H9" s="561"/>
      <c r="I9" s="561"/>
      <c r="J9" s="561"/>
      <c r="K9" s="561"/>
      <c r="L9" s="561"/>
      <c r="M9" s="561"/>
      <c r="N9" s="561"/>
      <c r="O9" s="561"/>
      <c r="P9" s="561"/>
      <c r="Q9" s="561"/>
      <c r="R9" s="562"/>
    </row>
    <row r="10" spans="2:18" ht="55.5" customHeight="1" thickTop="1" thickBot="1">
      <c r="B10" s="565" t="s">
        <v>359</v>
      </c>
      <c r="C10" s="566"/>
      <c r="D10" s="566"/>
      <c r="E10" s="566"/>
      <c r="F10" s="566"/>
      <c r="G10" s="566"/>
      <c r="H10" s="566"/>
      <c r="I10" s="566"/>
      <c r="J10" s="566"/>
      <c r="K10" s="566"/>
      <c r="L10" s="566"/>
      <c r="M10" s="566"/>
      <c r="N10" s="566"/>
      <c r="O10" s="566"/>
      <c r="P10" s="566"/>
      <c r="Q10" s="566"/>
      <c r="R10" s="567"/>
    </row>
    <row r="11" spans="2:18" ht="82.5" customHeight="1" thickTop="1" thickBot="1">
      <c r="B11" s="565" t="s">
        <v>360</v>
      </c>
      <c r="C11" s="566"/>
      <c r="D11" s="566"/>
      <c r="E11" s="566"/>
      <c r="F11" s="566"/>
      <c r="G11" s="566"/>
      <c r="H11" s="566"/>
      <c r="I11" s="566"/>
      <c r="J11" s="566"/>
      <c r="K11" s="566"/>
      <c r="L11" s="566"/>
      <c r="M11" s="566"/>
      <c r="N11" s="566"/>
      <c r="O11" s="566"/>
      <c r="P11" s="566"/>
      <c r="Q11" s="566"/>
      <c r="R11" s="567"/>
    </row>
    <row r="12" spans="2:18" ht="81" customHeight="1" thickTop="1" thickBot="1">
      <c r="B12" s="560" t="s">
        <v>361</v>
      </c>
      <c r="C12" s="561"/>
      <c r="D12" s="561"/>
      <c r="E12" s="561"/>
      <c r="F12" s="561"/>
      <c r="G12" s="561"/>
      <c r="H12" s="561"/>
      <c r="I12" s="561"/>
      <c r="J12" s="561"/>
      <c r="K12" s="561"/>
      <c r="L12" s="561"/>
      <c r="M12" s="561"/>
      <c r="N12" s="561"/>
      <c r="O12" s="561"/>
      <c r="P12" s="561"/>
      <c r="Q12" s="561"/>
      <c r="R12" s="562"/>
    </row>
    <row r="13" spans="2:18" ht="12.6" customHeight="1" thickTop="1">
      <c r="B13" s="73"/>
      <c r="C13" s="235"/>
      <c r="D13" s="256"/>
      <c r="E13" s="235"/>
      <c r="F13" s="235"/>
      <c r="G13" s="72"/>
      <c r="H13" s="72"/>
      <c r="I13" s="72"/>
      <c r="Q13" s="132" t="s">
        <v>39</v>
      </c>
      <c r="R13" s="204">
        <f>'Pres.Total en Bs. y $us.'!R4</f>
        <v>6.96</v>
      </c>
    </row>
    <row r="14" spans="2:18" ht="12.6" customHeight="1">
      <c r="B14" s="563"/>
      <c r="C14" s="563"/>
      <c r="D14" s="563"/>
      <c r="E14" s="236"/>
      <c r="F14" s="236"/>
      <c r="G14" s="556" t="s">
        <v>103</v>
      </c>
      <c r="H14" s="549"/>
      <c r="I14" s="549"/>
      <c r="J14" s="557" t="s">
        <v>104</v>
      </c>
      <c r="K14" s="551"/>
      <c r="L14" s="551"/>
      <c r="M14" s="556" t="s">
        <v>105</v>
      </c>
      <c r="N14" s="549"/>
      <c r="O14" s="549"/>
      <c r="P14" s="556" t="s">
        <v>107</v>
      </c>
      <c r="Q14" s="549"/>
      <c r="R14" s="549"/>
    </row>
    <row r="15" spans="2:18" ht="38.25" customHeight="1">
      <c r="B15" s="75" t="s">
        <v>1</v>
      </c>
      <c r="C15" s="76" t="s">
        <v>2</v>
      </c>
      <c r="D15" s="77" t="s">
        <v>3</v>
      </c>
      <c r="E15" s="77" t="s">
        <v>0</v>
      </c>
      <c r="F15" s="77" t="s">
        <v>6</v>
      </c>
      <c r="G15" s="20" t="s">
        <v>20</v>
      </c>
      <c r="H15" s="21" t="s">
        <v>58</v>
      </c>
      <c r="I15" s="22" t="s">
        <v>63</v>
      </c>
      <c r="J15" s="20" t="s">
        <v>20</v>
      </c>
      <c r="K15" s="21" t="s">
        <v>58</v>
      </c>
      <c r="L15" s="22" t="s">
        <v>63</v>
      </c>
      <c r="M15" s="20" t="s">
        <v>20</v>
      </c>
      <c r="N15" s="21" t="s">
        <v>58</v>
      </c>
      <c r="O15" s="22" t="s">
        <v>63</v>
      </c>
      <c r="P15" s="20" t="s">
        <v>20</v>
      </c>
      <c r="Q15" s="21" t="s">
        <v>58</v>
      </c>
      <c r="R15" s="22" t="s">
        <v>63</v>
      </c>
    </row>
    <row r="16" spans="2:18" s="461" customFormat="1" ht="12" customHeight="1">
      <c r="B16" s="462"/>
      <c r="C16" s="463"/>
      <c r="D16" s="464"/>
      <c r="E16" s="464"/>
      <c r="F16" s="464"/>
      <c r="G16" s="97"/>
      <c r="H16" s="97"/>
      <c r="I16" s="97"/>
      <c r="J16" s="97"/>
      <c r="K16" s="97"/>
      <c r="L16" s="97"/>
      <c r="M16" s="97"/>
      <c r="N16" s="97"/>
      <c r="O16" s="97"/>
      <c r="P16" s="97"/>
      <c r="Q16" s="97"/>
      <c r="R16" s="97"/>
    </row>
    <row r="17" spans="2:20" s="265" customFormat="1">
      <c r="B17" s="231" t="s">
        <v>324</v>
      </c>
      <c r="C17" s="260"/>
      <c r="D17" s="261"/>
      <c r="E17" s="262"/>
      <c r="F17" s="263">
        <f>SUM(F18)</f>
        <v>17400</v>
      </c>
      <c r="G17" s="263">
        <f t="shared" ref="G17:R17" si="0">SUM(G18)</f>
        <v>17400</v>
      </c>
      <c r="H17" s="263">
        <f t="shared" si="0"/>
        <v>0</v>
      </c>
      <c r="I17" s="263">
        <f t="shared" si="0"/>
        <v>0</v>
      </c>
      <c r="J17" s="263">
        <f t="shared" si="0"/>
        <v>0</v>
      </c>
      <c r="K17" s="263">
        <f t="shared" si="0"/>
        <v>0</v>
      </c>
      <c r="L17" s="263">
        <f t="shared" si="0"/>
        <v>0</v>
      </c>
      <c r="M17" s="263">
        <f t="shared" si="0"/>
        <v>0</v>
      </c>
      <c r="N17" s="263">
        <f t="shared" si="0"/>
        <v>0</v>
      </c>
      <c r="O17" s="263">
        <f t="shared" si="0"/>
        <v>0</v>
      </c>
      <c r="P17" s="263">
        <f t="shared" si="0"/>
        <v>17400</v>
      </c>
      <c r="Q17" s="263">
        <f t="shared" si="0"/>
        <v>0</v>
      </c>
      <c r="R17" s="263">
        <f t="shared" si="0"/>
        <v>0</v>
      </c>
      <c r="S17" s="370">
        <f>SUM(P17:R17)</f>
        <v>17400</v>
      </c>
      <c r="T17" s="370">
        <f>F17-S17</f>
        <v>0</v>
      </c>
    </row>
    <row r="18" spans="2:20" ht="12.6" customHeight="1">
      <c r="B18" s="328" t="s">
        <v>316</v>
      </c>
      <c r="C18" s="284">
        <v>1</v>
      </c>
      <c r="D18" s="187" t="s">
        <v>317</v>
      </c>
      <c r="E18" s="340">
        <f>2500*6.96</f>
        <v>17400</v>
      </c>
      <c r="F18" s="355">
        <f t="shared" ref="F18" si="1">C18*E18</f>
        <v>17400</v>
      </c>
      <c r="G18" s="356">
        <f>F18</f>
        <v>17400</v>
      </c>
      <c r="H18" s="357">
        <v>0</v>
      </c>
      <c r="I18" s="357">
        <v>0</v>
      </c>
      <c r="J18" s="356">
        <v>0</v>
      </c>
      <c r="K18" s="357">
        <v>0</v>
      </c>
      <c r="L18" s="357">
        <v>0</v>
      </c>
      <c r="M18" s="356">
        <v>0</v>
      </c>
      <c r="N18" s="357">
        <v>0</v>
      </c>
      <c r="O18" s="357">
        <v>0</v>
      </c>
      <c r="P18" s="266">
        <f t="shared" ref="P18" si="2">G18+J18+M18</f>
        <v>17400</v>
      </c>
      <c r="Q18" s="266">
        <f t="shared" ref="Q18" si="3">H18+K18+N18</f>
        <v>0</v>
      </c>
      <c r="R18" s="266">
        <f t="shared" ref="R18" si="4">I18+L18+O18</f>
        <v>0</v>
      </c>
    </row>
    <row r="19" spans="2:20" s="265" customFormat="1" ht="25.5">
      <c r="B19" s="231" t="s">
        <v>326</v>
      </c>
      <c r="C19" s="260"/>
      <c r="D19" s="261"/>
      <c r="E19" s="262"/>
      <c r="F19" s="263">
        <f t="shared" ref="F19:O19" si="5">SUM(F20:F21)</f>
        <v>8140</v>
      </c>
      <c r="G19" s="263">
        <f t="shared" si="5"/>
        <v>8140</v>
      </c>
      <c r="H19" s="263">
        <f t="shared" si="5"/>
        <v>0</v>
      </c>
      <c r="I19" s="263">
        <f t="shared" si="5"/>
        <v>0</v>
      </c>
      <c r="J19" s="263">
        <f t="shared" si="5"/>
        <v>0</v>
      </c>
      <c r="K19" s="263">
        <f t="shared" si="5"/>
        <v>0</v>
      </c>
      <c r="L19" s="263">
        <f t="shared" si="5"/>
        <v>0</v>
      </c>
      <c r="M19" s="263">
        <f t="shared" si="5"/>
        <v>0</v>
      </c>
      <c r="N19" s="263">
        <f t="shared" si="5"/>
        <v>0</v>
      </c>
      <c r="O19" s="263">
        <f t="shared" si="5"/>
        <v>0</v>
      </c>
      <c r="P19" s="264">
        <f>G19+J19+M19</f>
        <v>8140</v>
      </c>
      <c r="Q19" s="264">
        <f>H19+K19+N19</f>
        <v>0</v>
      </c>
      <c r="R19" s="264">
        <f>I19+L19+O19</f>
        <v>0</v>
      </c>
      <c r="S19" s="370">
        <f>SUM(P19:R19)</f>
        <v>8140</v>
      </c>
      <c r="T19" s="370">
        <f>F19-S19</f>
        <v>0</v>
      </c>
    </row>
    <row r="20" spans="2:20" ht="12.6" customHeight="1">
      <c r="B20" s="191" t="s">
        <v>141</v>
      </c>
      <c r="C20" s="285">
        <v>22</v>
      </c>
      <c r="D20" s="192" t="s">
        <v>161</v>
      </c>
      <c r="E20" s="337">
        <v>170</v>
      </c>
      <c r="F20" s="241">
        <f>C20*E20</f>
        <v>3740</v>
      </c>
      <c r="G20" s="356">
        <f>F20</f>
        <v>3740</v>
      </c>
      <c r="H20" s="357">
        <v>0</v>
      </c>
      <c r="I20" s="357">
        <v>0</v>
      </c>
      <c r="J20" s="356">
        <v>0</v>
      </c>
      <c r="K20" s="357">
        <v>0</v>
      </c>
      <c r="L20" s="357">
        <v>0</v>
      </c>
      <c r="M20" s="356">
        <v>0</v>
      </c>
      <c r="N20" s="357">
        <v>0</v>
      </c>
      <c r="O20" s="357">
        <v>0</v>
      </c>
      <c r="P20" s="266">
        <f t="shared" ref="P20:P61" si="6">G20+J20+M20</f>
        <v>3740</v>
      </c>
      <c r="Q20" s="266">
        <f t="shared" ref="Q20:Q61" si="7">H20+K20+N20</f>
        <v>0</v>
      </c>
      <c r="R20" s="266">
        <f t="shared" ref="R20:R61" si="8">I20+L20+O20</f>
        <v>0</v>
      </c>
    </row>
    <row r="21" spans="2:20" ht="12.6" customHeight="1">
      <c r="B21" s="191" t="s">
        <v>260</v>
      </c>
      <c r="C21" s="284">
        <v>22</v>
      </c>
      <c r="D21" s="187" t="s">
        <v>142</v>
      </c>
      <c r="E21" s="340">
        <v>200</v>
      </c>
      <c r="F21" s="241">
        <f>C21*E21</f>
        <v>4400</v>
      </c>
      <c r="G21" s="356">
        <f t="shared" ref="G21" si="9">F21</f>
        <v>4400</v>
      </c>
      <c r="H21" s="357">
        <v>0</v>
      </c>
      <c r="I21" s="357">
        <v>0</v>
      </c>
      <c r="J21" s="356">
        <v>0</v>
      </c>
      <c r="K21" s="357">
        <v>0</v>
      </c>
      <c r="L21" s="357">
        <v>0</v>
      </c>
      <c r="M21" s="356">
        <v>0</v>
      </c>
      <c r="N21" s="357">
        <v>0</v>
      </c>
      <c r="O21" s="357">
        <v>0</v>
      </c>
      <c r="P21" s="266">
        <f t="shared" ref="P21" si="10">G21+J21+M21</f>
        <v>4400</v>
      </c>
      <c r="Q21" s="266">
        <f t="shared" ref="Q21" si="11">H21+K21+N21</f>
        <v>0</v>
      </c>
      <c r="R21" s="266">
        <f t="shared" ref="R21" si="12">I21+L21+O21</f>
        <v>0</v>
      </c>
    </row>
    <row r="22" spans="2:20" s="265" customFormat="1" ht="32.25" customHeight="1">
      <c r="B22" s="230" t="s">
        <v>325</v>
      </c>
      <c r="C22" s="260"/>
      <c r="D22" s="261"/>
      <c r="E22" s="262"/>
      <c r="F22" s="263">
        <f t="shared" ref="F22:O22" si="13">SUM(F23:F27)</f>
        <v>37100</v>
      </c>
      <c r="G22" s="263">
        <f t="shared" si="13"/>
        <v>34100</v>
      </c>
      <c r="H22" s="263">
        <f t="shared" si="13"/>
        <v>3000</v>
      </c>
      <c r="I22" s="263">
        <f t="shared" si="13"/>
        <v>0</v>
      </c>
      <c r="J22" s="263">
        <f t="shared" si="13"/>
        <v>0</v>
      </c>
      <c r="K22" s="263">
        <f t="shared" si="13"/>
        <v>0</v>
      </c>
      <c r="L22" s="263">
        <f t="shared" si="13"/>
        <v>0</v>
      </c>
      <c r="M22" s="263">
        <f t="shared" si="13"/>
        <v>0</v>
      </c>
      <c r="N22" s="263">
        <f t="shared" si="13"/>
        <v>0</v>
      </c>
      <c r="O22" s="263">
        <f t="shared" si="13"/>
        <v>0</v>
      </c>
      <c r="P22" s="264">
        <f t="shared" si="6"/>
        <v>34100</v>
      </c>
      <c r="Q22" s="264">
        <f t="shared" si="7"/>
        <v>3000</v>
      </c>
      <c r="R22" s="264">
        <f t="shared" si="8"/>
        <v>0</v>
      </c>
      <c r="S22" s="370">
        <f>SUM(P22:R22)</f>
        <v>37100</v>
      </c>
      <c r="T22" s="370">
        <f>F22-S22</f>
        <v>0</v>
      </c>
    </row>
    <row r="23" spans="2:20" ht="12.6" customHeight="1">
      <c r="B23" s="189" t="s">
        <v>131</v>
      </c>
      <c r="C23" s="286">
        <v>2</v>
      </c>
      <c r="D23" s="190" t="s">
        <v>132</v>
      </c>
      <c r="E23" s="339">
        <v>1500</v>
      </c>
      <c r="F23" s="241">
        <f t="shared" ref="F23:F27" si="14">C23*E23</f>
        <v>3000</v>
      </c>
      <c r="G23" s="356">
        <v>0</v>
      </c>
      <c r="H23" s="357">
        <v>3000</v>
      </c>
      <c r="I23" s="357">
        <v>0</v>
      </c>
      <c r="J23" s="356">
        <v>0</v>
      </c>
      <c r="K23" s="357">
        <v>0</v>
      </c>
      <c r="L23" s="357">
        <v>0</v>
      </c>
      <c r="M23" s="356">
        <v>0</v>
      </c>
      <c r="N23" s="357">
        <v>0</v>
      </c>
      <c r="O23" s="357">
        <v>0</v>
      </c>
      <c r="P23" s="266">
        <f t="shared" si="6"/>
        <v>0</v>
      </c>
      <c r="Q23" s="266">
        <f t="shared" si="7"/>
        <v>3000</v>
      </c>
      <c r="R23" s="266">
        <f t="shared" si="8"/>
        <v>0</v>
      </c>
    </row>
    <row r="24" spans="2:20" ht="12.6" customHeight="1">
      <c r="B24" s="189" t="s">
        <v>147</v>
      </c>
      <c r="C24" s="286">
        <v>500</v>
      </c>
      <c r="D24" s="190" t="s">
        <v>148</v>
      </c>
      <c r="E24" s="339">
        <v>25</v>
      </c>
      <c r="F24" s="241">
        <f t="shared" si="14"/>
        <v>12500</v>
      </c>
      <c r="G24" s="356">
        <v>12500</v>
      </c>
      <c r="H24" s="357">
        <v>0</v>
      </c>
      <c r="I24" s="357">
        <v>0</v>
      </c>
      <c r="J24" s="356">
        <v>0</v>
      </c>
      <c r="K24" s="357">
        <v>0</v>
      </c>
      <c r="L24" s="357">
        <v>0</v>
      </c>
      <c r="M24" s="356">
        <v>0</v>
      </c>
      <c r="N24" s="357">
        <v>0</v>
      </c>
      <c r="O24" s="357">
        <v>0</v>
      </c>
      <c r="P24" s="266">
        <f t="shared" si="6"/>
        <v>12500</v>
      </c>
      <c r="Q24" s="266">
        <f t="shared" si="7"/>
        <v>0</v>
      </c>
      <c r="R24" s="266">
        <f t="shared" si="8"/>
        <v>0</v>
      </c>
    </row>
    <row r="25" spans="2:20" ht="12.6" customHeight="1">
      <c r="B25" s="189" t="s">
        <v>261</v>
      </c>
      <c r="C25" s="286">
        <v>44</v>
      </c>
      <c r="D25" s="190" t="s">
        <v>134</v>
      </c>
      <c r="E25" s="339">
        <v>400</v>
      </c>
      <c r="F25" s="241">
        <f t="shared" si="14"/>
        <v>17600</v>
      </c>
      <c r="G25" s="356">
        <v>17600</v>
      </c>
      <c r="H25" s="357">
        <v>0</v>
      </c>
      <c r="I25" s="357">
        <v>0</v>
      </c>
      <c r="J25" s="356">
        <v>0</v>
      </c>
      <c r="K25" s="357">
        <v>0</v>
      </c>
      <c r="L25" s="357">
        <v>0</v>
      </c>
      <c r="M25" s="356">
        <v>0</v>
      </c>
      <c r="N25" s="357">
        <v>0</v>
      </c>
      <c r="O25" s="357">
        <v>0</v>
      </c>
      <c r="P25" s="266">
        <f t="shared" si="6"/>
        <v>17600</v>
      </c>
      <c r="Q25" s="266">
        <f t="shared" si="7"/>
        <v>0</v>
      </c>
      <c r="R25" s="266">
        <f t="shared" si="8"/>
        <v>0</v>
      </c>
    </row>
    <row r="26" spans="2:20" ht="12.6" customHeight="1">
      <c r="B26" s="189" t="s">
        <v>137</v>
      </c>
      <c r="C26" s="286">
        <v>1</v>
      </c>
      <c r="D26" s="190" t="s">
        <v>92</v>
      </c>
      <c r="E26" s="339">
        <v>1000</v>
      </c>
      <c r="F26" s="241">
        <f t="shared" si="14"/>
        <v>1000</v>
      </c>
      <c r="G26" s="356">
        <v>1000</v>
      </c>
      <c r="H26" s="357">
        <v>0</v>
      </c>
      <c r="I26" s="357">
        <v>0</v>
      </c>
      <c r="J26" s="356">
        <v>0</v>
      </c>
      <c r="K26" s="357">
        <v>0</v>
      </c>
      <c r="L26" s="357">
        <v>0</v>
      </c>
      <c r="M26" s="356">
        <v>0</v>
      </c>
      <c r="N26" s="357">
        <v>0</v>
      </c>
      <c r="O26" s="357">
        <v>0</v>
      </c>
      <c r="P26" s="266">
        <f t="shared" si="6"/>
        <v>1000</v>
      </c>
      <c r="Q26" s="266">
        <f t="shared" si="7"/>
        <v>0</v>
      </c>
      <c r="R26" s="266">
        <f t="shared" si="8"/>
        <v>0</v>
      </c>
    </row>
    <row r="27" spans="2:20" ht="12.6" customHeight="1">
      <c r="B27" s="189" t="s">
        <v>145</v>
      </c>
      <c r="C27" s="286">
        <v>1</v>
      </c>
      <c r="D27" s="190" t="s">
        <v>92</v>
      </c>
      <c r="E27" s="339">
        <v>3000</v>
      </c>
      <c r="F27" s="241">
        <f t="shared" si="14"/>
        <v>3000</v>
      </c>
      <c r="G27" s="356">
        <v>3000</v>
      </c>
      <c r="H27" s="357">
        <v>0</v>
      </c>
      <c r="I27" s="357">
        <v>0</v>
      </c>
      <c r="J27" s="356">
        <v>0</v>
      </c>
      <c r="K27" s="357">
        <v>0</v>
      </c>
      <c r="L27" s="357">
        <v>0</v>
      </c>
      <c r="M27" s="356">
        <v>0</v>
      </c>
      <c r="N27" s="357">
        <v>0</v>
      </c>
      <c r="O27" s="357">
        <v>0</v>
      </c>
      <c r="P27" s="266">
        <f t="shared" si="6"/>
        <v>3000</v>
      </c>
      <c r="Q27" s="266">
        <f t="shared" si="7"/>
        <v>0</v>
      </c>
      <c r="R27" s="266">
        <f t="shared" si="8"/>
        <v>0</v>
      </c>
    </row>
    <row r="28" spans="2:20" s="265" customFormat="1" ht="31.5" customHeight="1">
      <c r="B28" s="230" t="s">
        <v>327</v>
      </c>
      <c r="C28" s="260"/>
      <c r="D28" s="261"/>
      <c r="E28" s="262"/>
      <c r="F28" s="263">
        <f t="shared" ref="F28:O28" si="15">SUM(F29:F44)</f>
        <v>709184</v>
      </c>
      <c r="G28" s="263">
        <f t="shared" si="15"/>
        <v>199428</v>
      </c>
      <c r="H28" s="263">
        <f t="shared" si="15"/>
        <v>0</v>
      </c>
      <c r="I28" s="263">
        <f t="shared" si="15"/>
        <v>47800</v>
      </c>
      <c r="J28" s="263">
        <f t="shared" si="15"/>
        <v>199178</v>
      </c>
      <c r="K28" s="263">
        <f t="shared" si="15"/>
        <v>0</v>
      </c>
      <c r="L28" s="263">
        <f t="shared" si="15"/>
        <v>53800</v>
      </c>
      <c r="M28" s="263">
        <f t="shared" si="15"/>
        <v>155178</v>
      </c>
      <c r="N28" s="263">
        <f t="shared" si="15"/>
        <v>0</v>
      </c>
      <c r="O28" s="263">
        <f t="shared" si="15"/>
        <v>53800</v>
      </c>
      <c r="P28" s="264">
        <f t="shared" si="6"/>
        <v>553784</v>
      </c>
      <c r="Q28" s="264">
        <f t="shared" si="7"/>
        <v>0</v>
      </c>
      <c r="R28" s="264">
        <f t="shared" si="8"/>
        <v>155400</v>
      </c>
      <c r="S28" s="370">
        <f>SUM(P28:R28)</f>
        <v>709184</v>
      </c>
      <c r="T28" s="370">
        <f>F28-S28</f>
        <v>0</v>
      </c>
    </row>
    <row r="29" spans="2:20" ht="12.6" customHeight="1">
      <c r="B29" s="191" t="s">
        <v>237</v>
      </c>
      <c r="C29" s="285">
        <v>330</v>
      </c>
      <c r="D29" s="192" t="s">
        <v>170</v>
      </c>
      <c r="E29" s="337">
        <v>500</v>
      </c>
      <c r="F29" s="241">
        <f t="shared" ref="F29:F44" si="16">C29*E29</f>
        <v>165000</v>
      </c>
      <c r="G29" s="356">
        <v>44000</v>
      </c>
      <c r="H29" s="357">
        <v>0</v>
      </c>
      <c r="I29" s="357">
        <v>11000</v>
      </c>
      <c r="J29" s="356">
        <v>44000</v>
      </c>
      <c r="K29" s="357">
        <v>0</v>
      </c>
      <c r="L29" s="357">
        <v>11000</v>
      </c>
      <c r="M29" s="356">
        <v>44000</v>
      </c>
      <c r="N29" s="357">
        <v>0</v>
      </c>
      <c r="O29" s="357">
        <v>11000</v>
      </c>
      <c r="P29" s="266">
        <f t="shared" ref="P29:P44" si="17">G29+J29+M29</f>
        <v>132000</v>
      </c>
      <c r="Q29" s="266">
        <f t="shared" ref="Q29:Q44" si="18">H29+K29+N29</f>
        <v>0</v>
      </c>
      <c r="R29" s="266">
        <f t="shared" ref="R29:R44" si="19">I29+L29+O29</f>
        <v>33000</v>
      </c>
    </row>
    <row r="30" spans="2:20" ht="12.6" customHeight="1">
      <c r="B30" s="191" t="s">
        <v>233</v>
      </c>
      <c r="C30" s="285">
        <v>75</v>
      </c>
      <c r="D30" s="192" t="s">
        <v>170</v>
      </c>
      <c r="E30" s="337">
        <v>400</v>
      </c>
      <c r="F30" s="241">
        <f t="shared" si="16"/>
        <v>30000</v>
      </c>
      <c r="G30" s="356">
        <v>10000</v>
      </c>
      <c r="H30" s="357">
        <v>0</v>
      </c>
      <c r="I30" s="357">
        <v>0</v>
      </c>
      <c r="J30" s="356">
        <v>10000</v>
      </c>
      <c r="K30" s="357">
        <v>0</v>
      </c>
      <c r="L30" s="357">
        <v>0</v>
      </c>
      <c r="M30" s="356">
        <v>10000</v>
      </c>
      <c r="N30" s="357">
        <v>0</v>
      </c>
      <c r="O30" s="357">
        <v>0</v>
      </c>
      <c r="P30" s="266">
        <f t="shared" si="17"/>
        <v>30000</v>
      </c>
      <c r="Q30" s="266">
        <f t="shared" si="18"/>
        <v>0</v>
      </c>
      <c r="R30" s="266">
        <f t="shared" si="19"/>
        <v>0</v>
      </c>
    </row>
    <row r="31" spans="2:20" ht="12.6" customHeight="1">
      <c r="B31" s="191" t="s">
        <v>234</v>
      </c>
      <c r="C31" s="285">
        <v>66</v>
      </c>
      <c r="D31" s="192" t="s">
        <v>170</v>
      </c>
      <c r="E31" s="337">
        <v>600</v>
      </c>
      <c r="F31" s="241">
        <f t="shared" si="16"/>
        <v>39600</v>
      </c>
      <c r="G31" s="356">
        <v>13200</v>
      </c>
      <c r="H31" s="357">
        <v>0</v>
      </c>
      <c r="I31" s="357">
        <v>0</v>
      </c>
      <c r="J31" s="356">
        <v>13200</v>
      </c>
      <c r="K31" s="357">
        <v>0</v>
      </c>
      <c r="L31" s="357">
        <v>0</v>
      </c>
      <c r="M31" s="356">
        <v>13200</v>
      </c>
      <c r="N31" s="357">
        <v>0</v>
      </c>
      <c r="O31" s="357">
        <v>0</v>
      </c>
      <c r="P31" s="266">
        <f t="shared" si="17"/>
        <v>39600</v>
      </c>
      <c r="Q31" s="266">
        <f t="shared" si="18"/>
        <v>0</v>
      </c>
      <c r="R31" s="266">
        <f t="shared" si="19"/>
        <v>0</v>
      </c>
    </row>
    <row r="32" spans="2:20" ht="12.6" customHeight="1">
      <c r="B32" s="191" t="s">
        <v>235</v>
      </c>
      <c r="C32" s="285">
        <v>66</v>
      </c>
      <c r="D32" s="192" t="s">
        <v>170</v>
      </c>
      <c r="E32" s="337">
        <v>400</v>
      </c>
      <c r="F32" s="241">
        <f t="shared" si="16"/>
        <v>26400</v>
      </c>
      <c r="G32" s="356">
        <v>8800</v>
      </c>
      <c r="H32" s="357">
        <v>0</v>
      </c>
      <c r="I32" s="357">
        <v>0</v>
      </c>
      <c r="J32" s="356">
        <v>8800</v>
      </c>
      <c r="K32" s="357">
        <v>0</v>
      </c>
      <c r="L32" s="357">
        <v>0</v>
      </c>
      <c r="M32" s="356">
        <v>8800</v>
      </c>
      <c r="N32" s="357">
        <v>0</v>
      </c>
      <c r="O32" s="357">
        <v>0</v>
      </c>
      <c r="P32" s="266">
        <f t="shared" si="17"/>
        <v>26400</v>
      </c>
      <c r="Q32" s="266">
        <f t="shared" si="18"/>
        <v>0</v>
      </c>
      <c r="R32" s="266">
        <f t="shared" si="19"/>
        <v>0</v>
      </c>
    </row>
    <row r="33" spans="2:20" ht="12.6" customHeight="1">
      <c r="B33" s="191" t="s">
        <v>236</v>
      </c>
      <c r="C33" s="285">
        <v>75</v>
      </c>
      <c r="D33" s="192" t="s">
        <v>170</v>
      </c>
      <c r="E33" s="337">
        <v>700</v>
      </c>
      <c r="F33" s="241">
        <f t="shared" si="16"/>
        <v>52500</v>
      </c>
      <c r="G33" s="356">
        <v>17500</v>
      </c>
      <c r="H33" s="357">
        <v>0</v>
      </c>
      <c r="I33" s="357">
        <v>0</v>
      </c>
      <c r="J33" s="356">
        <v>17500</v>
      </c>
      <c r="K33" s="357">
        <v>0</v>
      </c>
      <c r="L33" s="357">
        <v>0</v>
      </c>
      <c r="M33" s="356">
        <v>17500</v>
      </c>
      <c r="N33" s="357">
        <v>0</v>
      </c>
      <c r="O33" s="357">
        <v>0</v>
      </c>
      <c r="P33" s="266">
        <f t="shared" si="17"/>
        <v>52500</v>
      </c>
      <c r="Q33" s="266">
        <f t="shared" si="18"/>
        <v>0</v>
      </c>
      <c r="R33" s="266">
        <f t="shared" si="19"/>
        <v>0</v>
      </c>
    </row>
    <row r="34" spans="2:20" ht="12.6" customHeight="1">
      <c r="B34" s="191" t="s">
        <v>168</v>
      </c>
      <c r="C34" s="285">
        <v>3</v>
      </c>
      <c r="D34" s="192" t="s">
        <v>169</v>
      </c>
      <c r="E34" s="337">
        <v>2000</v>
      </c>
      <c r="F34" s="241">
        <f t="shared" si="16"/>
        <v>6000</v>
      </c>
      <c r="G34" s="356">
        <v>2000</v>
      </c>
      <c r="H34" s="357">
        <v>0</v>
      </c>
      <c r="I34" s="357">
        <v>0</v>
      </c>
      <c r="J34" s="356">
        <v>2000</v>
      </c>
      <c r="K34" s="357">
        <v>0</v>
      </c>
      <c r="L34" s="357">
        <v>0</v>
      </c>
      <c r="M34" s="356">
        <v>2000</v>
      </c>
      <c r="N34" s="357">
        <v>0</v>
      </c>
      <c r="O34" s="357">
        <v>0</v>
      </c>
      <c r="P34" s="266">
        <f t="shared" si="17"/>
        <v>6000</v>
      </c>
      <c r="Q34" s="266">
        <f t="shared" si="18"/>
        <v>0</v>
      </c>
      <c r="R34" s="266">
        <f t="shared" si="19"/>
        <v>0</v>
      </c>
    </row>
    <row r="35" spans="2:20" ht="12.6" customHeight="1">
      <c r="B35" s="191" t="s">
        <v>231</v>
      </c>
      <c r="C35" s="284">
        <v>60</v>
      </c>
      <c r="D35" s="187" t="s">
        <v>232</v>
      </c>
      <c r="E35" s="340">
        <v>250</v>
      </c>
      <c r="F35" s="241">
        <f t="shared" si="16"/>
        <v>15000</v>
      </c>
      <c r="G35" s="356">
        <v>5000</v>
      </c>
      <c r="H35" s="357">
        <v>0</v>
      </c>
      <c r="I35" s="357">
        <v>0</v>
      </c>
      <c r="J35" s="356">
        <v>5000</v>
      </c>
      <c r="K35" s="357">
        <v>0</v>
      </c>
      <c r="L35" s="357">
        <v>0</v>
      </c>
      <c r="M35" s="356">
        <v>5000</v>
      </c>
      <c r="N35" s="357">
        <v>0</v>
      </c>
      <c r="O35" s="357">
        <v>0</v>
      </c>
      <c r="P35" s="266">
        <f t="shared" si="17"/>
        <v>15000</v>
      </c>
      <c r="Q35" s="266">
        <f t="shared" si="18"/>
        <v>0</v>
      </c>
      <c r="R35" s="266">
        <f t="shared" si="19"/>
        <v>0</v>
      </c>
    </row>
    <row r="36" spans="2:20" ht="12.6" customHeight="1">
      <c r="B36" s="191" t="s">
        <v>262</v>
      </c>
      <c r="C36" s="284">
        <v>22</v>
      </c>
      <c r="D36" s="187" t="s">
        <v>163</v>
      </c>
      <c r="E36" s="340">
        <v>3000</v>
      </c>
      <c r="F36" s="241">
        <f t="shared" si="16"/>
        <v>66000</v>
      </c>
      <c r="G36" s="356">
        <v>33000</v>
      </c>
      <c r="H36" s="357">
        <v>0</v>
      </c>
      <c r="I36" s="357">
        <v>0</v>
      </c>
      <c r="J36" s="356">
        <v>33000</v>
      </c>
      <c r="K36" s="357">
        <v>0</v>
      </c>
      <c r="L36" s="357">
        <v>0</v>
      </c>
      <c r="M36" s="356">
        <v>0</v>
      </c>
      <c r="N36" s="357">
        <v>0</v>
      </c>
      <c r="O36" s="357">
        <v>0</v>
      </c>
      <c r="P36" s="266">
        <f t="shared" si="17"/>
        <v>66000</v>
      </c>
      <c r="Q36" s="266">
        <f t="shared" si="18"/>
        <v>0</v>
      </c>
      <c r="R36" s="266">
        <f t="shared" si="19"/>
        <v>0</v>
      </c>
    </row>
    <row r="37" spans="2:20" ht="12.6" customHeight="1">
      <c r="B37" s="191" t="s">
        <v>238</v>
      </c>
      <c r="C37" s="285">
        <v>58</v>
      </c>
      <c r="D37" s="192" t="s">
        <v>172</v>
      </c>
      <c r="E37" s="337">
        <v>700</v>
      </c>
      <c r="F37" s="241">
        <f t="shared" si="16"/>
        <v>40600</v>
      </c>
      <c r="G37" s="356">
        <v>12600</v>
      </c>
      <c r="H37" s="357">
        <v>0</v>
      </c>
      <c r="I37" s="357">
        <v>0</v>
      </c>
      <c r="J37" s="356">
        <v>14000</v>
      </c>
      <c r="K37" s="357">
        <v>0</v>
      </c>
      <c r="L37" s="357">
        <v>0</v>
      </c>
      <c r="M37" s="356">
        <v>14000</v>
      </c>
      <c r="N37" s="357">
        <v>0</v>
      </c>
      <c r="O37" s="357">
        <v>0</v>
      </c>
      <c r="P37" s="266">
        <f t="shared" si="17"/>
        <v>40600</v>
      </c>
      <c r="Q37" s="266">
        <f t="shared" si="18"/>
        <v>0</v>
      </c>
      <c r="R37" s="266">
        <f t="shared" si="19"/>
        <v>0</v>
      </c>
    </row>
    <row r="38" spans="2:20" ht="12.6" customHeight="1">
      <c r="B38" s="189" t="s">
        <v>216</v>
      </c>
      <c r="C38" s="286">
        <v>40</v>
      </c>
      <c r="D38" s="190" t="s">
        <v>184</v>
      </c>
      <c r="E38" s="339">
        <v>500</v>
      </c>
      <c r="F38" s="241">
        <f t="shared" si="16"/>
        <v>20000</v>
      </c>
      <c r="G38" s="356">
        <v>5000</v>
      </c>
      <c r="H38" s="357">
        <v>0</v>
      </c>
      <c r="I38" s="357">
        <v>0</v>
      </c>
      <c r="J38" s="356">
        <v>7500</v>
      </c>
      <c r="K38" s="357">
        <v>0</v>
      </c>
      <c r="L38" s="357">
        <v>0</v>
      </c>
      <c r="M38" s="356">
        <v>7500</v>
      </c>
      <c r="N38" s="357">
        <v>0</v>
      </c>
      <c r="O38" s="357">
        <v>0</v>
      </c>
      <c r="P38" s="266">
        <f t="shared" si="17"/>
        <v>20000</v>
      </c>
      <c r="Q38" s="266">
        <f t="shared" si="18"/>
        <v>0</v>
      </c>
      <c r="R38" s="266">
        <f t="shared" si="19"/>
        <v>0</v>
      </c>
    </row>
    <row r="39" spans="2:20" ht="12.6" customHeight="1">
      <c r="B39" s="189" t="s">
        <v>217</v>
      </c>
      <c r="C39" s="286">
        <v>1680</v>
      </c>
      <c r="D39" s="190" t="s">
        <v>80</v>
      </c>
      <c r="E39" s="339">
        <v>10</v>
      </c>
      <c r="F39" s="241">
        <f t="shared" si="16"/>
        <v>16800</v>
      </c>
      <c r="G39" s="356">
        <v>0</v>
      </c>
      <c r="H39" s="357">
        <v>0</v>
      </c>
      <c r="I39" s="357">
        <v>4800</v>
      </c>
      <c r="J39" s="356">
        <v>0</v>
      </c>
      <c r="K39" s="357">
        <v>0</v>
      </c>
      <c r="L39" s="357">
        <v>6000</v>
      </c>
      <c r="M39" s="356">
        <v>0</v>
      </c>
      <c r="N39" s="357">
        <v>0</v>
      </c>
      <c r="O39" s="357">
        <v>6000</v>
      </c>
      <c r="P39" s="266">
        <f t="shared" si="17"/>
        <v>0</v>
      </c>
      <c r="Q39" s="266">
        <f t="shared" si="18"/>
        <v>0</v>
      </c>
      <c r="R39" s="266">
        <f t="shared" si="19"/>
        <v>16800</v>
      </c>
    </row>
    <row r="40" spans="2:20" ht="12.6" customHeight="1">
      <c r="B40" s="191" t="s">
        <v>263</v>
      </c>
      <c r="C40" s="284">
        <v>66</v>
      </c>
      <c r="D40" s="187" t="s">
        <v>173</v>
      </c>
      <c r="E40" s="340">
        <v>1600</v>
      </c>
      <c r="F40" s="241">
        <f t="shared" si="16"/>
        <v>105600</v>
      </c>
      <c r="G40" s="356">
        <v>0</v>
      </c>
      <c r="H40" s="357">
        <v>0</v>
      </c>
      <c r="I40" s="357">
        <v>32000</v>
      </c>
      <c r="J40" s="356">
        <v>0</v>
      </c>
      <c r="K40" s="357">
        <v>0</v>
      </c>
      <c r="L40" s="357">
        <v>36800</v>
      </c>
      <c r="M40" s="356">
        <v>0</v>
      </c>
      <c r="N40" s="357">
        <v>0</v>
      </c>
      <c r="O40" s="357">
        <v>36800</v>
      </c>
      <c r="P40" s="266">
        <f t="shared" si="17"/>
        <v>0</v>
      </c>
      <c r="Q40" s="266">
        <f t="shared" si="18"/>
        <v>0</v>
      </c>
      <c r="R40" s="266">
        <f t="shared" si="19"/>
        <v>105600</v>
      </c>
    </row>
    <row r="41" spans="2:20" ht="12.6" customHeight="1">
      <c r="B41" s="191" t="s">
        <v>355</v>
      </c>
      <c r="C41" s="284">
        <v>14</v>
      </c>
      <c r="D41" s="187" t="s">
        <v>171</v>
      </c>
      <c r="E41" s="340">
        <v>250</v>
      </c>
      <c r="F41" s="241">
        <f t="shared" si="16"/>
        <v>3500</v>
      </c>
      <c r="G41" s="356">
        <v>1000</v>
      </c>
      <c r="H41" s="357">
        <v>0</v>
      </c>
      <c r="I41" s="357">
        <v>0</v>
      </c>
      <c r="J41" s="356">
        <v>1250</v>
      </c>
      <c r="K41" s="357">
        <v>0</v>
      </c>
      <c r="L41" s="357">
        <v>0</v>
      </c>
      <c r="M41" s="356">
        <v>1250</v>
      </c>
      <c r="N41" s="357">
        <v>0</v>
      </c>
      <c r="O41" s="357">
        <v>0</v>
      </c>
      <c r="P41" s="266">
        <f t="shared" si="17"/>
        <v>3500</v>
      </c>
      <c r="Q41" s="266">
        <f t="shared" si="18"/>
        <v>0</v>
      </c>
      <c r="R41" s="266">
        <f t="shared" si="19"/>
        <v>0</v>
      </c>
    </row>
    <row r="42" spans="2:20" ht="12.6" customHeight="1">
      <c r="B42" s="191" t="s">
        <v>264</v>
      </c>
      <c r="C42" s="284">
        <v>22</v>
      </c>
      <c r="D42" s="187" t="s">
        <v>76</v>
      </c>
      <c r="E42" s="340">
        <v>1200</v>
      </c>
      <c r="F42" s="241">
        <f t="shared" si="16"/>
        <v>26400</v>
      </c>
      <c r="G42" s="356">
        <v>15400</v>
      </c>
      <c r="H42" s="357">
        <v>0</v>
      </c>
      <c r="I42" s="357">
        <v>0</v>
      </c>
      <c r="J42" s="356">
        <v>11000</v>
      </c>
      <c r="K42" s="357">
        <v>0</v>
      </c>
      <c r="L42" s="357">
        <v>0</v>
      </c>
      <c r="M42" s="356">
        <v>0</v>
      </c>
      <c r="N42" s="357">
        <v>0</v>
      </c>
      <c r="O42" s="357">
        <v>0</v>
      </c>
      <c r="P42" s="266">
        <f t="shared" si="17"/>
        <v>26400</v>
      </c>
      <c r="Q42" s="266">
        <f t="shared" si="18"/>
        <v>0</v>
      </c>
      <c r="R42" s="266">
        <f t="shared" si="19"/>
        <v>0</v>
      </c>
    </row>
    <row r="43" spans="2:20" ht="12.6" customHeight="1">
      <c r="B43" s="191" t="s">
        <v>95</v>
      </c>
      <c r="C43" s="284">
        <v>3</v>
      </c>
      <c r="D43" s="187" t="s">
        <v>92</v>
      </c>
      <c r="E43" s="340">
        <v>5000</v>
      </c>
      <c r="F43" s="241">
        <f t="shared" si="16"/>
        <v>15000</v>
      </c>
      <c r="G43" s="356">
        <v>5000</v>
      </c>
      <c r="H43" s="357">
        <v>0</v>
      </c>
      <c r="I43" s="357">
        <v>0</v>
      </c>
      <c r="J43" s="356">
        <v>5000</v>
      </c>
      <c r="K43" s="357">
        <v>0</v>
      </c>
      <c r="L43" s="357">
        <v>0</v>
      </c>
      <c r="M43" s="356">
        <v>5000</v>
      </c>
      <c r="N43" s="357">
        <v>0</v>
      </c>
      <c r="O43" s="357">
        <v>0</v>
      </c>
      <c r="P43" s="266">
        <f t="shared" si="17"/>
        <v>15000</v>
      </c>
      <c r="Q43" s="266">
        <f t="shared" si="18"/>
        <v>0</v>
      </c>
      <c r="R43" s="266">
        <f t="shared" si="19"/>
        <v>0</v>
      </c>
    </row>
    <row r="44" spans="2:20" ht="12.6" customHeight="1">
      <c r="B44" s="196" t="s">
        <v>201</v>
      </c>
      <c r="C44" s="286">
        <v>21600</v>
      </c>
      <c r="D44" s="190" t="s">
        <v>194</v>
      </c>
      <c r="E44" s="342">
        <v>3.74</v>
      </c>
      <c r="F44" s="241">
        <f t="shared" si="16"/>
        <v>80784</v>
      </c>
      <c r="G44" s="356">
        <v>26928</v>
      </c>
      <c r="H44" s="357">
        <v>0</v>
      </c>
      <c r="I44" s="357">
        <v>0</v>
      </c>
      <c r="J44" s="356">
        <v>26928</v>
      </c>
      <c r="K44" s="357">
        <v>0</v>
      </c>
      <c r="L44" s="357">
        <v>0</v>
      </c>
      <c r="M44" s="356">
        <v>26928</v>
      </c>
      <c r="N44" s="357">
        <v>0</v>
      </c>
      <c r="O44" s="357">
        <v>0</v>
      </c>
      <c r="P44" s="266">
        <f t="shared" si="17"/>
        <v>80784</v>
      </c>
      <c r="Q44" s="266">
        <f t="shared" si="18"/>
        <v>0</v>
      </c>
      <c r="R44" s="266">
        <f t="shared" si="19"/>
        <v>0</v>
      </c>
    </row>
    <row r="45" spans="2:20" s="265" customFormat="1" ht="21" customHeight="1">
      <c r="B45" s="230" t="s">
        <v>328</v>
      </c>
      <c r="C45" s="260"/>
      <c r="D45" s="261"/>
      <c r="E45" s="262"/>
      <c r="F45" s="263">
        <f t="shared" ref="F45:O45" si="20">SUM(F46:F50)</f>
        <v>18550</v>
      </c>
      <c r="G45" s="263">
        <f t="shared" si="20"/>
        <v>17050</v>
      </c>
      <c r="H45" s="263">
        <f t="shared" si="20"/>
        <v>1500</v>
      </c>
      <c r="I45" s="263">
        <f t="shared" si="20"/>
        <v>0</v>
      </c>
      <c r="J45" s="263">
        <f t="shared" si="20"/>
        <v>0</v>
      </c>
      <c r="K45" s="263">
        <f t="shared" si="20"/>
        <v>0</v>
      </c>
      <c r="L45" s="263">
        <f t="shared" si="20"/>
        <v>0</v>
      </c>
      <c r="M45" s="263">
        <f t="shared" si="20"/>
        <v>0</v>
      </c>
      <c r="N45" s="263">
        <f t="shared" si="20"/>
        <v>0</v>
      </c>
      <c r="O45" s="263">
        <f t="shared" si="20"/>
        <v>0</v>
      </c>
      <c r="P45" s="264">
        <f t="shared" si="6"/>
        <v>17050</v>
      </c>
      <c r="Q45" s="264">
        <f t="shared" si="7"/>
        <v>1500</v>
      </c>
      <c r="R45" s="264">
        <f t="shared" si="8"/>
        <v>0</v>
      </c>
      <c r="S45" s="370">
        <f>SUM(P45:R45)</f>
        <v>18550</v>
      </c>
      <c r="T45" s="370">
        <f>F45-S45</f>
        <v>0</v>
      </c>
    </row>
    <row r="46" spans="2:20" ht="12.6" customHeight="1">
      <c r="B46" s="189" t="s">
        <v>131</v>
      </c>
      <c r="C46" s="286">
        <v>1</v>
      </c>
      <c r="D46" s="190" t="s">
        <v>132</v>
      </c>
      <c r="E46" s="339">
        <v>1500</v>
      </c>
      <c r="F46" s="241">
        <f t="shared" ref="F46:F50" si="21">C46*E46</f>
        <v>1500</v>
      </c>
      <c r="G46" s="356">
        <v>0</v>
      </c>
      <c r="H46" s="357">
        <v>1500</v>
      </c>
      <c r="I46" s="357">
        <v>0</v>
      </c>
      <c r="J46" s="356">
        <v>0</v>
      </c>
      <c r="K46" s="357">
        <v>0</v>
      </c>
      <c r="L46" s="357">
        <v>0</v>
      </c>
      <c r="M46" s="356">
        <v>0</v>
      </c>
      <c r="N46" s="357">
        <v>0</v>
      </c>
      <c r="O46" s="357">
        <v>0</v>
      </c>
      <c r="P46" s="266">
        <f t="shared" ref="P46:P50" si="22">G46+J46+M46</f>
        <v>0</v>
      </c>
      <c r="Q46" s="266">
        <f t="shared" ref="Q46:Q50" si="23">H46+K46+N46</f>
        <v>1500</v>
      </c>
      <c r="R46" s="266">
        <f t="shared" ref="R46:R50" si="24">I46+L46+O46</f>
        <v>0</v>
      </c>
    </row>
    <row r="47" spans="2:20" ht="12.6" customHeight="1">
      <c r="B47" s="189" t="s">
        <v>147</v>
      </c>
      <c r="C47" s="286">
        <v>250</v>
      </c>
      <c r="D47" s="190" t="s">
        <v>148</v>
      </c>
      <c r="E47" s="339">
        <v>25</v>
      </c>
      <c r="F47" s="241">
        <f t="shared" si="21"/>
        <v>6250</v>
      </c>
      <c r="G47" s="356">
        <v>6250</v>
      </c>
      <c r="H47" s="357">
        <v>0</v>
      </c>
      <c r="I47" s="357">
        <v>0</v>
      </c>
      <c r="J47" s="356">
        <v>0</v>
      </c>
      <c r="K47" s="357">
        <v>0</v>
      </c>
      <c r="L47" s="357">
        <v>0</v>
      </c>
      <c r="M47" s="356">
        <v>0</v>
      </c>
      <c r="N47" s="357">
        <v>0</v>
      </c>
      <c r="O47" s="357">
        <v>0</v>
      </c>
      <c r="P47" s="266">
        <f t="shared" si="22"/>
        <v>6250</v>
      </c>
      <c r="Q47" s="266">
        <f t="shared" si="23"/>
        <v>0</v>
      </c>
      <c r="R47" s="266">
        <f t="shared" si="24"/>
        <v>0</v>
      </c>
    </row>
    <row r="48" spans="2:20" ht="12.6" customHeight="1">
      <c r="B48" s="189" t="s">
        <v>265</v>
      </c>
      <c r="C48" s="286">
        <v>22</v>
      </c>
      <c r="D48" s="190" t="s">
        <v>134</v>
      </c>
      <c r="E48" s="339">
        <v>400</v>
      </c>
      <c r="F48" s="241">
        <f t="shared" si="21"/>
        <v>8800</v>
      </c>
      <c r="G48" s="356">
        <v>8800</v>
      </c>
      <c r="H48" s="357">
        <v>0</v>
      </c>
      <c r="I48" s="357">
        <v>0</v>
      </c>
      <c r="J48" s="356">
        <v>0</v>
      </c>
      <c r="K48" s="357">
        <v>0</v>
      </c>
      <c r="L48" s="357">
        <v>0</v>
      </c>
      <c r="M48" s="356">
        <v>0</v>
      </c>
      <c r="N48" s="357">
        <v>0</v>
      </c>
      <c r="O48" s="357">
        <v>0</v>
      </c>
      <c r="P48" s="266">
        <f t="shared" si="22"/>
        <v>8800</v>
      </c>
      <c r="Q48" s="266">
        <f t="shared" si="23"/>
        <v>0</v>
      </c>
      <c r="R48" s="266">
        <f t="shared" si="24"/>
        <v>0</v>
      </c>
    </row>
    <row r="49" spans="2:20" ht="12.6" customHeight="1">
      <c r="B49" s="189" t="s">
        <v>137</v>
      </c>
      <c r="C49" s="286">
        <v>1</v>
      </c>
      <c r="D49" s="190" t="s">
        <v>92</v>
      </c>
      <c r="E49" s="339">
        <v>1000</v>
      </c>
      <c r="F49" s="241">
        <f t="shared" si="21"/>
        <v>1000</v>
      </c>
      <c r="G49" s="356">
        <v>1000</v>
      </c>
      <c r="H49" s="357">
        <v>0</v>
      </c>
      <c r="I49" s="357">
        <v>0</v>
      </c>
      <c r="J49" s="356">
        <v>0</v>
      </c>
      <c r="K49" s="357">
        <v>0</v>
      </c>
      <c r="L49" s="357">
        <v>0</v>
      </c>
      <c r="M49" s="356">
        <v>0</v>
      </c>
      <c r="N49" s="357">
        <v>0</v>
      </c>
      <c r="O49" s="357">
        <v>0</v>
      </c>
      <c r="P49" s="266">
        <f t="shared" si="22"/>
        <v>1000</v>
      </c>
      <c r="Q49" s="266">
        <f t="shared" si="23"/>
        <v>0</v>
      </c>
      <c r="R49" s="266">
        <f t="shared" si="24"/>
        <v>0</v>
      </c>
    </row>
    <row r="50" spans="2:20" ht="12.6" customHeight="1">
      <c r="B50" s="189" t="s">
        <v>145</v>
      </c>
      <c r="C50" s="286">
        <v>1</v>
      </c>
      <c r="D50" s="190" t="s">
        <v>92</v>
      </c>
      <c r="E50" s="339">
        <v>1000</v>
      </c>
      <c r="F50" s="241">
        <f t="shared" si="21"/>
        <v>1000</v>
      </c>
      <c r="G50" s="356">
        <v>1000</v>
      </c>
      <c r="H50" s="357">
        <v>0</v>
      </c>
      <c r="I50" s="357">
        <v>0</v>
      </c>
      <c r="J50" s="356">
        <v>0</v>
      </c>
      <c r="K50" s="357">
        <v>0</v>
      </c>
      <c r="L50" s="357">
        <v>0</v>
      </c>
      <c r="M50" s="356">
        <v>0</v>
      </c>
      <c r="N50" s="357">
        <v>0</v>
      </c>
      <c r="O50" s="357">
        <v>0</v>
      </c>
      <c r="P50" s="266">
        <f t="shared" si="22"/>
        <v>1000</v>
      </c>
      <c r="Q50" s="266">
        <f t="shared" si="23"/>
        <v>0</v>
      </c>
      <c r="R50" s="266">
        <f t="shared" si="24"/>
        <v>0</v>
      </c>
    </row>
    <row r="51" spans="2:20" s="265" customFormat="1" ht="15" customHeight="1">
      <c r="B51" s="230" t="s">
        <v>329</v>
      </c>
      <c r="C51" s="260"/>
      <c r="D51" s="261"/>
      <c r="E51" s="262"/>
      <c r="F51" s="263">
        <f>SUM(F52:F59)</f>
        <v>236500</v>
      </c>
      <c r="G51" s="263">
        <f t="shared" ref="G51:I51" si="25">SUM(G52:G59)</f>
        <v>124700</v>
      </c>
      <c r="H51" s="263">
        <f t="shared" si="25"/>
        <v>0</v>
      </c>
      <c r="I51" s="263">
        <f t="shared" si="25"/>
        <v>0</v>
      </c>
      <c r="J51" s="263">
        <f t="shared" ref="J51" si="26">SUM(J52:J59)</f>
        <v>70700</v>
      </c>
      <c r="K51" s="263">
        <f t="shared" ref="K51" si="27">SUM(K52:K59)</f>
        <v>0</v>
      </c>
      <c r="L51" s="263">
        <f t="shared" ref="L51" si="28">SUM(L52:L59)</f>
        <v>0</v>
      </c>
      <c r="M51" s="263">
        <f t="shared" ref="M51" si="29">SUM(M52:M59)</f>
        <v>41100</v>
      </c>
      <c r="N51" s="263">
        <f t="shared" ref="N51" si="30">SUM(N52:N59)</f>
        <v>0</v>
      </c>
      <c r="O51" s="263">
        <f t="shared" ref="O51" si="31">SUM(O52:O59)</f>
        <v>0</v>
      </c>
      <c r="P51" s="264">
        <f t="shared" si="6"/>
        <v>236500</v>
      </c>
      <c r="Q51" s="264">
        <f t="shared" si="7"/>
        <v>0</v>
      </c>
      <c r="R51" s="264">
        <f t="shared" si="8"/>
        <v>0</v>
      </c>
      <c r="S51" s="370">
        <f>SUM(P51:R51)</f>
        <v>236500</v>
      </c>
      <c r="T51" s="370">
        <f>F51-S51</f>
        <v>0</v>
      </c>
    </row>
    <row r="52" spans="2:20" ht="12.6" customHeight="1">
      <c r="B52" s="191" t="s">
        <v>174</v>
      </c>
      <c r="C52" s="284">
        <v>150</v>
      </c>
      <c r="D52" s="187" t="s">
        <v>175</v>
      </c>
      <c r="E52" s="340">
        <v>800</v>
      </c>
      <c r="F52" s="241">
        <f t="shared" ref="F52:F59" si="32">C52*E52</f>
        <v>120000</v>
      </c>
      <c r="G52" s="356">
        <v>67200</v>
      </c>
      <c r="H52" s="357">
        <v>0</v>
      </c>
      <c r="I52" s="357">
        <v>0</v>
      </c>
      <c r="J52" s="356">
        <v>35200</v>
      </c>
      <c r="K52" s="357">
        <v>0</v>
      </c>
      <c r="L52" s="357">
        <v>0</v>
      </c>
      <c r="M52" s="356">
        <v>17600</v>
      </c>
      <c r="N52" s="357">
        <v>0</v>
      </c>
      <c r="O52" s="357">
        <v>0</v>
      </c>
      <c r="P52" s="266">
        <f t="shared" si="6"/>
        <v>120000</v>
      </c>
      <c r="Q52" s="266">
        <f t="shared" si="7"/>
        <v>0</v>
      </c>
      <c r="R52" s="266">
        <f t="shared" si="8"/>
        <v>0</v>
      </c>
    </row>
    <row r="53" spans="2:20" ht="12.6" customHeight="1">
      <c r="B53" s="191" t="s">
        <v>176</v>
      </c>
      <c r="C53" s="284">
        <v>1200</v>
      </c>
      <c r="D53" s="187" t="s">
        <v>177</v>
      </c>
      <c r="E53" s="340">
        <v>25</v>
      </c>
      <c r="F53" s="241">
        <f t="shared" si="32"/>
        <v>30000</v>
      </c>
      <c r="G53" s="356">
        <v>10000</v>
      </c>
      <c r="H53" s="357">
        <v>0</v>
      </c>
      <c r="I53" s="357">
        <v>0</v>
      </c>
      <c r="J53" s="356">
        <v>10000</v>
      </c>
      <c r="K53" s="357">
        <v>0</v>
      </c>
      <c r="L53" s="357">
        <v>0</v>
      </c>
      <c r="M53" s="356">
        <v>10000</v>
      </c>
      <c r="N53" s="357">
        <v>0</v>
      </c>
      <c r="O53" s="357">
        <v>0</v>
      </c>
      <c r="P53" s="266">
        <f t="shared" ref="P53:P59" si="33">G53+J53+M53</f>
        <v>30000</v>
      </c>
      <c r="Q53" s="266">
        <f t="shared" ref="Q53:Q59" si="34">H53+K53+N53</f>
        <v>0</v>
      </c>
      <c r="R53" s="266">
        <f t="shared" ref="R53:R59" si="35">I53+L53+O53</f>
        <v>0</v>
      </c>
    </row>
    <row r="54" spans="2:20" ht="12.6" customHeight="1">
      <c r="B54" s="289" t="s">
        <v>218</v>
      </c>
      <c r="C54" s="284">
        <v>30</v>
      </c>
      <c r="D54" s="187" t="s">
        <v>155</v>
      </c>
      <c r="E54" s="340">
        <v>150</v>
      </c>
      <c r="F54" s="241">
        <f t="shared" si="32"/>
        <v>4500</v>
      </c>
      <c r="G54" s="356">
        <v>1500</v>
      </c>
      <c r="H54" s="357">
        <v>0</v>
      </c>
      <c r="I54" s="357">
        <v>0</v>
      </c>
      <c r="J54" s="356">
        <v>1500</v>
      </c>
      <c r="K54" s="357">
        <v>0</v>
      </c>
      <c r="L54" s="357">
        <v>0</v>
      </c>
      <c r="M54" s="356">
        <v>1500</v>
      </c>
      <c r="N54" s="357">
        <v>0</v>
      </c>
      <c r="O54" s="357">
        <v>0</v>
      </c>
      <c r="P54" s="266">
        <f t="shared" si="33"/>
        <v>4500</v>
      </c>
      <c r="Q54" s="266">
        <f t="shared" si="34"/>
        <v>0</v>
      </c>
      <c r="R54" s="266">
        <f t="shared" si="35"/>
        <v>0</v>
      </c>
    </row>
    <row r="55" spans="2:20" ht="12.6" customHeight="1">
      <c r="B55" s="191" t="s">
        <v>168</v>
      </c>
      <c r="C55" s="284">
        <v>3</v>
      </c>
      <c r="D55" s="187" t="s">
        <v>169</v>
      </c>
      <c r="E55" s="340">
        <v>3000</v>
      </c>
      <c r="F55" s="241">
        <f t="shared" si="32"/>
        <v>9000</v>
      </c>
      <c r="G55" s="356">
        <v>3000</v>
      </c>
      <c r="H55" s="357">
        <v>0</v>
      </c>
      <c r="I55" s="357">
        <v>0</v>
      </c>
      <c r="J55" s="356">
        <v>3000</v>
      </c>
      <c r="K55" s="357">
        <v>0</v>
      </c>
      <c r="L55" s="357">
        <v>0</v>
      </c>
      <c r="M55" s="356">
        <v>3000</v>
      </c>
      <c r="N55" s="357">
        <v>0</v>
      </c>
      <c r="O55" s="357">
        <v>0</v>
      </c>
      <c r="P55" s="266">
        <f t="shared" si="33"/>
        <v>9000</v>
      </c>
      <c r="Q55" s="266">
        <f t="shared" si="34"/>
        <v>0</v>
      </c>
      <c r="R55" s="266">
        <f t="shared" si="35"/>
        <v>0</v>
      </c>
    </row>
    <row r="56" spans="2:20" ht="12.6" customHeight="1">
      <c r="B56" s="191" t="s">
        <v>178</v>
      </c>
      <c r="C56" s="284">
        <v>90</v>
      </c>
      <c r="D56" s="187" t="s">
        <v>170</v>
      </c>
      <c r="E56" s="340">
        <v>400</v>
      </c>
      <c r="F56" s="241">
        <f t="shared" si="32"/>
        <v>36000</v>
      </c>
      <c r="G56" s="356">
        <v>24000</v>
      </c>
      <c r="H56" s="357">
        <v>0</v>
      </c>
      <c r="I56" s="357">
        <v>0</v>
      </c>
      <c r="J56" s="356">
        <v>12000</v>
      </c>
      <c r="K56" s="357">
        <v>0</v>
      </c>
      <c r="L56" s="357">
        <v>0</v>
      </c>
      <c r="M56" s="356">
        <v>0</v>
      </c>
      <c r="N56" s="357">
        <v>0</v>
      </c>
      <c r="O56" s="357">
        <v>0</v>
      </c>
      <c r="P56" s="266">
        <f t="shared" si="33"/>
        <v>36000</v>
      </c>
      <c r="Q56" s="266">
        <f t="shared" si="34"/>
        <v>0</v>
      </c>
      <c r="R56" s="266">
        <f t="shared" si="35"/>
        <v>0</v>
      </c>
    </row>
    <row r="57" spans="2:20" ht="12.6" customHeight="1">
      <c r="B57" s="191" t="s">
        <v>179</v>
      </c>
      <c r="C57" s="284">
        <v>3</v>
      </c>
      <c r="D57" s="187" t="s">
        <v>92</v>
      </c>
      <c r="E57" s="340">
        <v>6000</v>
      </c>
      <c r="F57" s="241">
        <f t="shared" si="32"/>
        <v>18000</v>
      </c>
      <c r="G57" s="356">
        <v>6000</v>
      </c>
      <c r="H57" s="357">
        <v>0</v>
      </c>
      <c r="I57" s="357">
        <v>0</v>
      </c>
      <c r="J57" s="356">
        <v>6000</v>
      </c>
      <c r="K57" s="357">
        <v>0</v>
      </c>
      <c r="L57" s="357">
        <v>0</v>
      </c>
      <c r="M57" s="356">
        <v>6000</v>
      </c>
      <c r="N57" s="357">
        <v>0</v>
      </c>
      <c r="O57" s="357">
        <v>0</v>
      </c>
      <c r="P57" s="266">
        <f t="shared" si="33"/>
        <v>18000</v>
      </c>
      <c r="Q57" s="266">
        <f t="shared" si="34"/>
        <v>0</v>
      </c>
      <c r="R57" s="266">
        <f t="shared" si="35"/>
        <v>0</v>
      </c>
    </row>
    <row r="58" spans="2:20" ht="12.6" customHeight="1">
      <c r="B58" s="191" t="s">
        <v>266</v>
      </c>
      <c r="C58" s="284">
        <v>3</v>
      </c>
      <c r="D58" s="187" t="s">
        <v>92</v>
      </c>
      <c r="E58" s="340">
        <v>3000</v>
      </c>
      <c r="F58" s="241">
        <f t="shared" si="32"/>
        <v>9000</v>
      </c>
      <c r="G58" s="356">
        <v>3000</v>
      </c>
      <c r="H58" s="357">
        <v>0</v>
      </c>
      <c r="I58" s="357">
        <v>0</v>
      </c>
      <c r="J58" s="356">
        <v>3000</v>
      </c>
      <c r="K58" s="357">
        <v>0</v>
      </c>
      <c r="L58" s="357">
        <v>0</v>
      </c>
      <c r="M58" s="356">
        <v>3000</v>
      </c>
      <c r="N58" s="357">
        <v>0</v>
      </c>
      <c r="O58" s="357">
        <v>0</v>
      </c>
      <c r="P58" s="266">
        <f t="shared" si="33"/>
        <v>9000</v>
      </c>
      <c r="Q58" s="266">
        <f t="shared" si="34"/>
        <v>0</v>
      </c>
      <c r="R58" s="266">
        <f t="shared" si="35"/>
        <v>0</v>
      </c>
    </row>
    <row r="59" spans="2:20" ht="12.6" customHeight="1">
      <c r="B59" s="191" t="s">
        <v>180</v>
      </c>
      <c r="C59" s="284">
        <v>1</v>
      </c>
      <c r="D59" s="187" t="s">
        <v>76</v>
      </c>
      <c r="E59" s="340">
        <v>10000</v>
      </c>
      <c r="F59" s="241">
        <f t="shared" si="32"/>
        <v>10000</v>
      </c>
      <c r="G59" s="356">
        <v>10000</v>
      </c>
      <c r="H59" s="357">
        <v>0</v>
      </c>
      <c r="I59" s="357">
        <v>0</v>
      </c>
      <c r="J59" s="356">
        <v>0</v>
      </c>
      <c r="K59" s="357">
        <v>0</v>
      </c>
      <c r="L59" s="357">
        <v>0</v>
      </c>
      <c r="M59" s="356">
        <v>0</v>
      </c>
      <c r="N59" s="357">
        <v>0</v>
      </c>
      <c r="O59" s="357">
        <v>0</v>
      </c>
      <c r="P59" s="266">
        <f t="shared" si="33"/>
        <v>10000</v>
      </c>
      <c r="Q59" s="266">
        <f t="shared" si="34"/>
        <v>0</v>
      </c>
      <c r="R59" s="266">
        <f t="shared" si="35"/>
        <v>0</v>
      </c>
    </row>
    <row r="60" spans="2:20" s="265" customFormat="1" ht="22.5" customHeight="1">
      <c r="B60" s="230" t="s">
        <v>330</v>
      </c>
      <c r="C60" s="260"/>
      <c r="D60" s="261"/>
      <c r="E60" s="262"/>
      <c r="F60" s="263">
        <f t="shared" ref="F60:O60" si="36">SUM(F61:F64)</f>
        <v>30600</v>
      </c>
      <c r="G60" s="263">
        <f t="shared" si="36"/>
        <v>10200</v>
      </c>
      <c r="H60" s="263">
        <f t="shared" si="36"/>
        <v>0</v>
      </c>
      <c r="I60" s="263">
        <f t="shared" si="36"/>
        <v>0</v>
      </c>
      <c r="J60" s="263">
        <f t="shared" si="36"/>
        <v>10200</v>
      </c>
      <c r="K60" s="263">
        <f t="shared" si="36"/>
        <v>0</v>
      </c>
      <c r="L60" s="263">
        <f t="shared" si="36"/>
        <v>0</v>
      </c>
      <c r="M60" s="263">
        <f t="shared" si="36"/>
        <v>10200</v>
      </c>
      <c r="N60" s="263">
        <f t="shared" si="36"/>
        <v>0</v>
      </c>
      <c r="O60" s="263">
        <f t="shared" si="36"/>
        <v>0</v>
      </c>
      <c r="P60" s="264">
        <f t="shared" si="6"/>
        <v>30600</v>
      </c>
      <c r="Q60" s="264">
        <f t="shared" si="7"/>
        <v>0</v>
      </c>
      <c r="R60" s="264">
        <f t="shared" si="8"/>
        <v>0</v>
      </c>
      <c r="S60" s="370">
        <f>SUM(P60:R60)</f>
        <v>30600</v>
      </c>
      <c r="T60" s="370">
        <f>F60-S60</f>
        <v>0</v>
      </c>
    </row>
    <row r="61" spans="2:20" ht="12.6" customHeight="1">
      <c r="B61" s="189" t="s">
        <v>267</v>
      </c>
      <c r="C61" s="286">
        <v>3</v>
      </c>
      <c r="D61" s="190" t="s">
        <v>79</v>
      </c>
      <c r="E61" s="339">
        <v>5000</v>
      </c>
      <c r="F61" s="241">
        <f t="shared" ref="F61:F64" si="37">C61*E61</f>
        <v>15000</v>
      </c>
      <c r="G61" s="356">
        <v>5000</v>
      </c>
      <c r="H61" s="357">
        <v>0</v>
      </c>
      <c r="I61" s="357">
        <v>0</v>
      </c>
      <c r="J61" s="356">
        <v>5000</v>
      </c>
      <c r="K61" s="357">
        <v>0</v>
      </c>
      <c r="L61" s="357">
        <v>0</v>
      </c>
      <c r="M61" s="356">
        <v>5000</v>
      </c>
      <c r="N61" s="357">
        <v>0</v>
      </c>
      <c r="O61" s="357">
        <v>0</v>
      </c>
      <c r="P61" s="266">
        <f t="shared" si="6"/>
        <v>15000</v>
      </c>
      <c r="Q61" s="266">
        <f t="shared" si="7"/>
        <v>0</v>
      </c>
      <c r="R61" s="266">
        <f t="shared" si="8"/>
        <v>0</v>
      </c>
    </row>
    <row r="62" spans="2:20" ht="12.6" customHeight="1">
      <c r="B62" s="189" t="s">
        <v>240</v>
      </c>
      <c r="C62" s="286">
        <v>75</v>
      </c>
      <c r="D62" s="190" t="s">
        <v>144</v>
      </c>
      <c r="E62" s="339">
        <v>120</v>
      </c>
      <c r="F62" s="241">
        <f t="shared" si="37"/>
        <v>9000</v>
      </c>
      <c r="G62" s="356">
        <v>3000</v>
      </c>
      <c r="H62" s="357">
        <v>0</v>
      </c>
      <c r="I62" s="357">
        <v>0</v>
      </c>
      <c r="J62" s="356">
        <v>3000</v>
      </c>
      <c r="K62" s="357">
        <v>0</v>
      </c>
      <c r="L62" s="357">
        <v>0</v>
      </c>
      <c r="M62" s="356">
        <v>3000</v>
      </c>
      <c r="N62" s="357">
        <v>0</v>
      </c>
      <c r="O62" s="357">
        <v>0</v>
      </c>
      <c r="P62" s="266">
        <f t="shared" ref="P62:P64" si="38">G62+J62+M62</f>
        <v>9000</v>
      </c>
      <c r="Q62" s="266">
        <f t="shared" ref="Q62:Q64" si="39">H62+K62+N62</f>
        <v>0</v>
      </c>
      <c r="R62" s="266">
        <f t="shared" ref="R62:R64" si="40">I62+L62+O62</f>
        <v>0</v>
      </c>
    </row>
    <row r="63" spans="2:20" ht="12.6" customHeight="1">
      <c r="B63" s="189" t="s">
        <v>268</v>
      </c>
      <c r="C63" s="286">
        <v>75</v>
      </c>
      <c r="D63" s="190" t="s">
        <v>144</v>
      </c>
      <c r="E63" s="339">
        <v>80</v>
      </c>
      <c r="F63" s="241">
        <f t="shared" si="37"/>
        <v>6000</v>
      </c>
      <c r="G63" s="356">
        <v>2000</v>
      </c>
      <c r="H63" s="357">
        <v>0</v>
      </c>
      <c r="I63" s="357">
        <v>0</v>
      </c>
      <c r="J63" s="356">
        <v>2000</v>
      </c>
      <c r="K63" s="357">
        <v>0</v>
      </c>
      <c r="L63" s="357">
        <v>0</v>
      </c>
      <c r="M63" s="356">
        <v>2000</v>
      </c>
      <c r="N63" s="357">
        <v>0</v>
      </c>
      <c r="O63" s="357">
        <v>0</v>
      </c>
      <c r="P63" s="266">
        <f t="shared" si="38"/>
        <v>6000</v>
      </c>
      <c r="Q63" s="266">
        <f t="shared" si="39"/>
        <v>0</v>
      </c>
      <c r="R63" s="266">
        <f t="shared" si="40"/>
        <v>0</v>
      </c>
    </row>
    <row r="64" spans="2:20" ht="12.6" customHeight="1">
      <c r="B64" s="189" t="s">
        <v>185</v>
      </c>
      <c r="C64" s="286">
        <v>3</v>
      </c>
      <c r="D64" s="190" t="s">
        <v>186</v>
      </c>
      <c r="E64" s="339">
        <v>200</v>
      </c>
      <c r="F64" s="241">
        <f t="shared" si="37"/>
        <v>600</v>
      </c>
      <c r="G64" s="356">
        <v>200</v>
      </c>
      <c r="H64" s="357">
        <v>0</v>
      </c>
      <c r="I64" s="357">
        <v>0</v>
      </c>
      <c r="J64" s="356">
        <v>200</v>
      </c>
      <c r="K64" s="357">
        <v>0</v>
      </c>
      <c r="L64" s="357">
        <v>0</v>
      </c>
      <c r="M64" s="356">
        <v>200</v>
      </c>
      <c r="N64" s="357">
        <v>0</v>
      </c>
      <c r="O64" s="357">
        <v>0</v>
      </c>
      <c r="P64" s="266">
        <f t="shared" si="38"/>
        <v>600</v>
      </c>
      <c r="Q64" s="266">
        <f t="shared" si="39"/>
        <v>0</v>
      </c>
      <c r="R64" s="266">
        <f t="shared" si="40"/>
        <v>0</v>
      </c>
    </row>
    <row r="65" spans="1:20" s="87" customFormat="1" ht="12.6" customHeight="1">
      <c r="B65" s="82" t="s">
        <v>22</v>
      </c>
      <c r="C65" s="242"/>
      <c r="D65" s="84"/>
      <c r="E65" s="243"/>
      <c r="F65" s="86">
        <f>F17+F19+F22+F28+F45+F51+F60</f>
        <v>1057474</v>
      </c>
      <c r="G65" s="86">
        <f t="shared" ref="G65:R65" si="41">G17+G19+G22+G28+G45+G51+G60</f>
        <v>411018</v>
      </c>
      <c r="H65" s="86">
        <f t="shared" si="41"/>
        <v>4500</v>
      </c>
      <c r="I65" s="86">
        <f t="shared" si="41"/>
        <v>47800</v>
      </c>
      <c r="J65" s="86">
        <f t="shared" si="41"/>
        <v>280078</v>
      </c>
      <c r="K65" s="86">
        <f t="shared" si="41"/>
        <v>0</v>
      </c>
      <c r="L65" s="86">
        <f t="shared" si="41"/>
        <v>53800</v>
      </c>
      <c r="M65" s="86">
        <f t="shared" si="41"/>
        <v>206478</v>
      </c>
      <c r="N65" s="86">
        <f t="shared" si="41"/>
        <v>0</v>
      </c>
      <c r="O65" s="86">
        <f t="shared" si="41"/>
        <v>53800</v>
      </c>
      <c r="P65" s="86">
        <f t="shared" si="41"/>
        <v>897574</v>
      </c>
      <c r="Q65" s="86">
        <f t="shared" si="41"/>
        <v>4500</v>
      </c>
      <c r="R65" s="86">
        <f t="shared" si="41"/>
        <v>155400</v>
      </c>
      <c r="S65" s="370">
        <f>SUM(P65:R65)</f>
        <v>1057474</v>
      </c>
      <c r="T65" s="370">
        <f>F65-S65</f>
        <v>0</v>
      </c>
    </row>
    <row r="66" spans="1:20">
      <c r="B66" s="88"/>
      <c r="C66" s="244"/>
      <c r="D66" s="90"/>
      <c r="E66" s="245"/>
      <c r="F66" s="246"/>
      <c r="G66" s="92"/>
      <c r="H66" s="92"/>
      <c r="I66" s="92"/>
    </row>
    <row r="67" spans="1:20">
      <c r="B67" s="118" t="s">
        <v>65</v>
      </c>
      <c r="C67" s="244"/>
      <c r="D67" s="90"/>
      <c r="E67" s="245"/>
      <c r="F67" s="246"/>
      <c r="G67" s="92"/>
      <c r="H67" s="92"/>
      <c r="I67" s="92"/>
    </row>
    <row r="68" spans="1:20" ht="13.5" thickBot="1">
      <c r="B68" s="88"/>
      <c r="C68" s="244"/>
      <c r="D68" s="90"/>
      <c r="E68" s="245"/>
      <c r="F68" s="246"/>
      <c r="G68" s="92"/>
      <c r="H68" s="92"/>
      <c r="I68" s="92"/>
    </row>
    <row r="69" spans="1:20" ht="83.25" customHeight="1" thickTop="1" thickBot="1">
      <c r="B69" s="564" t="s">
        <v>367</v>
      </c>
      <c r="C69" s="561"/>
      <c r="D69" s="561"/>
      <c r="E69" s="561"/>
      <c r="F69" s="561"/>
      <c r="G69" s="561"/>
      <c r="H69" s="561"/>
      <c r="I69" s="561"/>
      <c r="J69" s="561"/>
      <c r="K69" s="561"/>
      <c r="L69" s="561"/>
      <c r="M69" s="561"/>
      <c r="N69" s="561"/>
      <c r="O69" s="561"/>
      <c r="P69" s="561"/>
      <c r="Q69" s="561"/>
      <c r="R69" s="562"/>
    </row>
    <row r="70" spans="1:20" ht="78" customHeight="1" thickTop="1" thickBot="1">
      <c r="B70" s="565" t="s">
        <v>300</v>
      </c>
      <c r="C70" s="566"/>
      <c r="D70" s="566"/>
      <c r="E70" s="566"/>
      <c r="F70" s="566"/>
      <c r="G70" s="566"/>
      <c r="H70" s="566"/>
      <c r="I70" s="566"/>
      <c r="J70" s="566"/>
      <c r="K70" s="566"/>
      <c r="L70" s="566"/>
      <c r="M70" s="566"/>
      <c r="N70" s="566"/>
      <c r="O70" s="566"/>
      <c r="P70" s="566"/>
      <c r="Q70" s="566"/>
      <c r="R70" s="567"/>
    </row>
    <row r="71" spans="1:20" ht="96.75" customHeight="1" thickTop="1" thickBot="1">
      <c r="B71" s="565" t="s">
        <v>301</v>
      </c>
      <c r="C71" s="566"/>
      <c r="D71" s="566"/>
      <c r="E71" s="566"/>
      <c r="F71" s="566"/>
      <c r="G71" s="566"/>
      <c r="H71" s="566"/>
      <c r="I71" s="566"/>
      <c r="J71" s="566"/>
      <c r="K71" s="566"/>
      <c r="L71" s="566"/>
      <c r="M71" s="566"/>
      <c r="N71" s="566"/>
      <c r="O71" s="566"/>
      <c r="P71" s="566"/>
      <c r="Q71" s="566"/>
      <c r="R71" s="567"/>
    </row>
    <row r="72" spans="1:20" ht="67.5" customHeight="1" thickTop="1" thickBot="1">
      <c r="B72" s="565" t="s">
        <v>302</v>
      </c>
      <c r="C72" s="566"/>
      <c r="D72" s="566"/>
      <c r="E72" s="566"/>
      <c r="F72" s="566"/>
      <c r="G72" s="566"/>
      <c r="H72" s="566"/>
      <c r="I72" s="566"/>
      <c r="J72" s="566"/>
      <c r="K72" s="566"/>
      <c r="L72" s="566"/>
      <c r="M72" s="566"/>
      <c r="N72" s="566"/>
      <c r="O72" s="566"/>
      <c r="P72" s="566"/>
      <c r="Q72" s="566"/>
      <c r="R72" s="567"/>
    </row>
    <row r="73" spans="1:20" ht="78" customHeight="1" thickTop="1" thickBot="1">
      <c r="B73" s="565" t="s">
        <v>303</v>
      </c>
      <c r="C73" s="566"/>
      <c r="D73" s="566"/>
      <c r="E73" s="566"/>
      <c r="F73" s="566"/>
      <c r="G73" s="566"/>
      <c r="H73" s="566"/>
      <c r="I73" s="566"/>
      <c r="J73" s="566"/>
      <c r="K73" s="566"/>
      <c r="L73" s="566"/>
      <c r="M73" s="566"/>
      <c r="N73" s="566"/>
      <c r="O73" s="566"/>
      <c r="P73" s="566"/>
      <c r="Q73" s="566"/>
      <c r="R73" s="567"/>
    </row>
    <row r="74" spans="1:20" ht="91.5" customHeight="1" thickTop="1" thickBot="1">
      <c r="B74" s="565" t="s">
        <v>304</v>
      </c>
      <c r="C74" s="566"/>
      <c r="D74" s="566"/>
      <c r="E74" s="566"/>
      <c r="F74" s="566"/>
      <c r="G74" s="566"/>
      <c r="H74" s="566"/>
      <c r="I74" s="566"/>
      <c r="J74" s="566"/>
      <c r="K74" s="566"/>
      <c r="L74" s="566"/>
      <c r="M74" s="566"/>
      <c r="N74" s="566"/>
      <c r="O74" s="566"/>
      <c r="P74" s="566"/>
      <c r="Q74" s="566"/>
      <c r="R74" s="567"/>
    </row>
    <row r="75" spans="1:20" ht="52.5" customHeight="1" thickTop="1" thickBot="1">
      <c r="B75" s="565" t="s">
        <v>305</v>
      </c>
      <c r="C75" s="566"/>
      <c r="D75" s="566"/>
      <c r="E75" s="566"/>
      <c r="F75" s="566"/>
      <c r="G75" s="566"/>
      <c r="H75" s="566"/>
      <c r="I75" s="566"/>
      <c r="J75" s="566"/>
      <c r="K75" s="566"/>
      <c r="L75" s="566"/>
      <c r="M75" s="566"/>
      <c r="N75" s="566"/>
      <c r="O75" s="566"/>
      <c r="P75" s="566"/>
      <c r="Q75" s="566"/>
      <c r="R75" s="567"/>
    </row>
    <row r="76" spans="1:20" ht="15.75" customHeight="1" thickTop="1">
      <c r="B76" s="568"/>
      <c r="C76" s="568"/>
      <c r="D76" s="568"/>
      <c r="E76" s="568"/>
      <c r="F76" s="568"/>
      <c r="G76" s="92"/>
      <c r="H76" s="92"/>
      <c r="I76" s="92"/>
    </row>
    <row r="77" spans="1:20" ht="12.6" customHeight="1">
      <c r="B77" s="563"/>
      <c r="C77" s="563"/>
      <c r="D77" s="563"/>
      <c r="E77" s="236"/>
      <c r="F77" s="236"/>
      <c r="G77" s="556" t="s">
        <v>103</v>
      </c>
      <c r="H77" s="549"/>
      <c r="I77" s="549"/>
      <c r="J77" s="557" t="s">
        <v>104</v>
      </c>
      <c r="K77" s="551"/>
      <c r="L77" s="551"/>
      <c r="M77" s="556" t="s">
        <v>105</v>
      </c>
      <c r="N77" s="549"/>
      <c r="O77" s="549"/>
      <c r="P77" s="556" t="s">
        <v>107</v>
      </c>
      <c r="Q77" s="549"/>
      <c r="R77" s="549"/>
    </row>
    <row r="78" spans="1:20" ht="38.25" customHeight="1">
      <c r="B78" s="75" t="s">
        <v>1</v>
      </c>
      <c r="C78" s="76" t="s">
        <v>2</v>
      </c>
      <c r="D78" s="77" t="s">
        <v>3</v>
      </c>
      <c r="E78" s="77" t="s">
        <v>0</v>
      </c>
      <c r="F78" s="77" t="s">
        <v>6</v>
      </c>
      <c r="G78" s="20" t="s">
        <v>20</v>
      </c>
      <c r="H78" s="21" t="s">
        <v>58</v>
      </c>
      <c r="I78" s="22" t="s">
        <v>63</v>
      </c>
      <c r="J78" s="20" t="s">
        <v>20</v>
      </c>
      <c r="K78" s="21" t="s">
        <v>58</v>
      </c>
      <c r="L78" s="22" t="s">
        <v>63</v>
      </c>
      <c r="M78" s="20" t="s">
        <v>20</v>
      </c>
      <c r="N78" s="21" t="s">
        <v>58</v>
      </c>
      <c r="O78" s="22" t="s">
        <v>63</v>
      </c>
      <c r="P78" s="20" t="s">
        <v>20</v>
      </c>
      <c r="Q78" s="21" t="s">
        <v>58</v>
      </c>
      <c r="R78" s="22" t="s">
        <v>63</v>
      </c>
    </row>
    <row r="79" spans="1:20">
      <c r="B79" s="78"/>
      <c r="C79" s="239"/>
      <c r="D79" s="26"/>
      <c r="E79" s="236"/>
      <c r="F79" s="240"/>
      <c r="G79" s="26"/>
      <c r="H79" s="26"/>
      <c r="I79" s="26"/>
    </row>
    <row r="80" spans="1:20" s="265" customFormat="1" ht="38.25">
      <c r="A80" s="267"/>
      <c r="B80" s="231" t="s">
        <v>363</v>
      </c>
      <c r="C80" s="260"/>
      <c r="D80" s="268"/>
      <c r="E80" s="262"/>
      <c r="F80" s="263">
        <f t="shared" ref="F80:R80" si="42">SUM(F81:F85)</f>
        <v>35100</v>
      </c>
      <c r="G80" s="263">
        <f t="shared" si="42"/>
        <v>32100</v>
      </c>
      <c r="H80" s="263">
        <f t="shared" si="42"/>
        <v>3000</v>
      </c>
      <c r="I80" s="263">
        <f t="shared" si="42"/>
        <v>0</v>
      </c>
      <c r="J80" s="263">
        <f t="shared" si="42"/>
        <v>0</v>
      </c>
      <c r="K80" s="263">
        <f t="shared" si="42"/>
        <v>0</v>
      </c>
      <c r="L80" s="263">
        <f t="shared" si="42"/>
        <v>0</v>
      </c>
      <c r="M80" s="263">
        <f t="shared" si="42"/>
        <v>0</v>
      </c>
      <c r="N80" s="263">
        <f t="shared" si="42"/>
        <v>0</v>
      </c>
      <c r="O80" s="263">
        <f t="shared" si="42"/>
        <v>0</v>
      </c>
      <c r="P80" s="263">
        <f t="shared" si="42"/>
        <v>32100</v>
      </c>
      <c r="Q80" s="263">
        <f t="shared" si="42"/>
        <v>3000</v>
      </c>
      <c r="R80" s="263">
        <f t="shared" si="42"/>
        <v>0</v>
      </c>
      <c r="S80" s="370">
        <f>SUM(P80:R80)</f>
        <v>35100</v>
      </c>
      <c r="T80" s="370">
        <f>F80-S80</f>
        <v>0</v>
      </c>
    </row>
    <row r="81" spans="1:20" s="265" customFormat="1">
      <c r="A81" s="267"/>
      <c r="B81" s="189" t="s">
        <v>131</v>
      </c>
      <c r="C81" s="286">
        <v>1500</v>
      </c>
      <c r="D81" s="190" t="s">
        <v>132</v>
      </c>
      <c r="E81" s="339">
        <v>2</v>
      </c>
      <c r="F81" s="241">
        <f t="shared" ref="F81:F85" si="43">C81*E81</f>
        <v>3000</v>
      </c>
      <c r="G81" s="356">
        <v>0</v>
      </c>
      <c r="H81" s="357">
        <v>3000</v>
      </c>
      <c r="I81" s="357">
        <v>0</v>
      </c>
      <c r="J81" s="356">
        <v>0</v>
      </c>
      <c r="K81" s="357">
        <v>0</v>
      </c>
      <c r="L81" s="357">
        <v>0</v>
      </c>
      <c r="M81" s="356">
        <v>0</v>
      </c>
      <c r="N81" s="357">
        <v>0</v>
      </c>
      <c r="O81" s="357">
        <v>0</v>
      </c>
      <c r="P81" s="80">
        <f t="shared" ref="P81:P85" si="44">G81+J81+M81</f>
        <v>0</v>
      </c>
      <c r="Q81" s="80">
        <f t="shared" ref="Q81:Q85" si="45">H81+K81+N81</f>
        <v>3000</v>
      </c>
      <c r="R81" s="80">
        <f t="shared" ref="R81:R85" si="46">I81+L81+O81</f>
        <v>0</v>
      </c>
    </row>
    <row r="82" spans="1:20" s="265" customFormat="1">
      <c r="A82" s="267"/>
      <c r="B82" s="189" t="s">
        <v>147</v>
      </c>
      <c r="C82" s="286">
        <v>500</v>
      </c>
      <c r="D82" s="190" t="s">
        <v>148</v>
      </c>
      <c r="E82" s="339">
        <v>25</v>
      </c>
      <c r="F82" s="241">
        <f t="shared" si="43"/>
        <v>12500</v>
      </c>
      <c r="G82" s="356">
        <v>12500</v>
      </c>
      <c r="H82" s="357">
        <v>0</v>
      </c>
      <c r="I82" s="357">
        <v>0</v>
      </c>
      <c r="J82" s="356">
        <v>0</v>
      </c>
      <c r="K82" s="357">
        <v>0</v>
      </c>
      <c r="L82" s="357">
        <v>0</v>
      </c>
      <c r="M82" s="356">
        <v>0</v>
      </c>
      <c r="N82" s="357">
        <v>0</v>
      </c>
      <c r="O82" s="357">
        <v>0</v>
      </c>
      <c r="P82" s="80">
        <f t="shared" si="44"/>
        <v>12500</v>
      </c>
      <c r="Q82" s="80">
        <f t="shared" si="45"/>
        <v>0</v>
      </c>
      <c r="R82" s="80">
        <f t="shared" si="46"/>
        <v>0</v>
      </c>
    </row>
    <row r="83" spans="1:20" s="265" customFormat="1">
      <c r="A83" s="267"/>
      <c r="B83" s="189" t="s">
        <v>261</v>
      </c>
      <c r="C83" s="286">
        <v>44</v>
      </c>
      <c r="D83" s="190" t="s">
        <v>134</v>
      </c>
      <c r="E83" s="339">
        <v>400</v>
      </c>
      <c r="F83" s="241">
        <f t="shared" si="43"/>
        <v>17600</v>
      </c>
      <c r="G83" s="356">
        <v>17600</v>
      </c>
      <c r="H83" s="357">
        <v>0</v>
      </c>
      <c r="I83" s="357">
        <v>0</v>
      </c>
      <c r="J83" s="356">
        <v>0</v>
      </c>
      <c r="K83" s="357">
        <v>0</v>
      </c>
      <c r="L83" s="357">
        <v>0</v>
      </c>
      <c r="M83" s="356">
        <v>0</v>
      </c>
      <c r="N83" s="357">
        <v>0</v>
      </c>
      <c r="O83" s="357">
        <v>0</v>
      </c>
      <c r="P83" s="80">
        <f t="shared" si="44"/>
        <v>17600</v>
      </c>
      <c r="Q83" s="80">
        <f t="shared" si="45"/>
        <v>0</v>
      </c>
      <c r="R83" s="80">
        <f t="shared" si="46"/>
        <v>0</v>
      </c>
    </row>
    <row r="84" spans="1:20" s="265" customFormat="1">
      <c r="A84" s="267"/>
      <c r="B84" s="189" t="s">
        <v>137</v>
      </c>
      <c r="C84" s="286">
        <v>1</v>
      </c>
      <c r="D84" s="190" t="s">
        <v>92</v>
      </c>
      <c r="E84" s="339">
        <v>1000</v>
      </c>
      <c r="F84" s="241">
        <f t="shared" si="43"/>
        <v>1000</v>
      </c>
      <c r="G84" s="356">
        <v>1000</v>
      </c>
      <c r="H84" s="357">
        <v>0</v>
      </c>
      <c r="I84" s="357">
        <v>0</v>
      </c>
      <c r="J84" s="356">
        <v>0</v>
      </c>
      <c r="K84" s="357">
        <v>0</v>
      </c>
      <c r="L84" s="357">
        <v>0</v>
      </c>
      <c r="M84" s="356">
        <v>0</v>
      </c>
      <c r="N84" s="357">
        <v>0</v>
      </c>
      <c r="O84" s="357">
        <v>0</v>
      </c>
      <c r="P84" s="80">
        <f t="shared" si="44"/>
        <v>1000</v>
      </c>
      <c r="Q84" s="80">
        <f t="shared" si="45"/>
        <v>0</v>
      </c>
      <c r="R84" s="80">
        <f t="shared" si="46"/>
        <v>0</v>
      </c>
    </row>
    <row r="85" spans="1:20" s="265" customFormat="1">
      <c r="A85" s="267"/>
      <c r="B85" s="189" t="s">
        <v>145</v>
      </c>
      <c r="C85" s="286">
        <v>1</v>
      </c>
      <c r="D85" s="190" t="s">
        <v>92</v>
      </c>
      <c r="E85" s="339">
        <v>1000</v>
      </c>
      <c r="F85" s="241">
        <f t="shared" si="43"/>
        <v>1000</v>
      </c>
      <c r="G85" s="356">
        <v>1000</v>
      </c>
      <c r="H85" s="357">
        <v>0</v>
      </c>
      <c r="I85" s="357">
        <v>0</v>
      </c>
      <c r="J85" s="356">
        <v>0</v>
      </c>
      <c r="K85" s="357">
        <v>0</v>
      </c>
      <c r="L85" s="357">
        <v>0</v>
      </c>
      <c r="M85" s="356">
        <v>0</v>
      </c>
      <c r="N85" s="357">
        <v>0</v>
      </c>
      <c r="O85" s="357">
        <v>0</v>
      </c>
      <c r="P85" s="80">
        <f t="shared" si="44"/>
        <v>1000</v>
      </c>
      <c r="Q85" s="80">
        <f t="shared" si="45"/>
        <v>0</v>
      </c>
      <c r="R85" s="80">
        <f t="shared" si="46"/>
        <v>0</v>
      </c>
    </row>
    <row r="86" spans="1:20" s="265" customFormat="1" ht="38.25">
      <c r="A86" s="267"/>
      <c r="B86" s="231" t="s">
        <v>120</v>
      </c>
      <c r="C86" s="260"/>
      <c r="D86" s="268"/>
      <c r="E86" s="262"/>
      <c r="F86" s="263">
        <f t="shared" ref="F86:R86" si="47">SUM(F87:F89)</f>
        <v>222000</v>
      </c>
      <c r="G86" s="263">
        <f t="shared" si="47"/>
        <v>44400</v>
      </c>
      <c r="H86" s="263">
        <f t="shared" si="47"/>
        <v>0</v>
      </c>
      <c r="I86" s="263">
        <f t="shared" si="47"/>
        <v>47200</v>
      </c>
      <c r="J86" s="263">
        <f t="shared" si="47"/>
        <v>18000</v>
      </c>
      <c r="K86" s="263">
        <f t="shared" si="47"/>
        <v>0</v>
      </c>
      <c r="L86" s="263">
        <f t="shared" si="47"/>
        <v>47200</v>
      </c>
      <c r="M86" s="263">
        <f t="shared" si="47"/>
        <v>18000</v>
      </c>
      <c r="N86" s="263">
        <f t="shared" si="47"/>
        <v>0</v>
      </c>
      <c r="O86" s="263">
        <f t="shared" si="47"/>
        <v>47200</v>
      </c>
      <c r="P86" s="263">
        <f t="shared" si="47"/>
        <v>80400</v>
      </c>
      <c r="Q86" s="263">
        <f t="shared" si="47"/>
        <v>0</v>
      </c>
      <c r="R86" s="263">
        <f t="shared" si="47"/>
        <v>141600</v>
      </c>
      <c r="S86" s="370">
        <f>SUM(P86:R86)</f>
        <v>222000</v>
      </c>
      <c r="T86" s="370">
        <f>F86-S86</f>
        <v>0</v>
      </c>
    </row>
    <row r="87" spans="1:20" s="265" customFormat="1">
      <c r="A87" s="267"/>
      <c r="B87" s="189" t="s">
        <v>162</v>
      </c>
      <c r="C87" s="286">
        <v>22</v>
      </c>
      <c r="D87" s="190" t="s">
        <v>163</v>
      </c>
      <c r="E87" s="339">
        <v>1200</v>
      </c>
      <c r="F87" s="241">
        <f t="shared" ref="F87:F89" si="48">C87*E87</f>
        <v>26400</v>
      </c>
      <c r="G87" s="356">
        <v>26400</v>
      </c>
      <c r="H87" s="357">
        <v>0</v>
      </c>
      <c r="I87" s="357">
        <v>0</v>
      </c>
      <c r="J87" s="356">
        <v>0</v>
      </c>
      <c r="K87" s="357">
        <v>0</v>
      </c>
      <c r="L87" s="357">
        <v>0</v>
      </c>
      <c r="M87" s="356">
        <v>0</v>
      </c>
      <c r="N87" s="357">
        <v>0</v>
      </c>
      <c r="O87" s="357">
        <v>0</v>
      </c>
      <c r="P87" s="80">
        <f t="shared" ref="P87:P89" si="49">G87+J87+M87</f>
        <v>26400</v>
      </c>
      <c r="Q87" s="80">
        <f t="shared" ref="Q87:Q89" si="50">H87+K87+N87</f>
        <v>0</v>
      </c>
      <c r="R87" s="80">
        <f t="shared" ref="R87:R89" si="51">I87+L87+O87</f>
        <v>0</v>
      </c>
    </row>
    <row r="88" spans="1:20" s="265" customFormat="1">
      <c r="A88" s="267"/>
      <c r="B88" s="189" t="s">
        <v>241</v>
      </c>
      <c r="C88" s="284">
        <v>450</v>
      </c>
      <c r="D88" s="187" t="s">
        <v>170</v>
      </c>
      <c r="E88" s="340">
        <v>200</v>
      </c>
      <c r="F88" s="241">
        <f t="shared" si="48"/>
        <v>90000</v>
      </c>
      <c r="G88" s="356">
        <v>18000</v>
      </c>
      <c r="H88" s="357">
        <v>0</v>
      </c>
      <c r="I88" s="357">
        <v>12000</v>
      </c>
      <c r="J88" s="356">
        <v>18000</v>
      </c>
      <c r="K88" s="357">
        <v>0</v>
      </c>
      <c r="L88" s="357">
        <v>12000</v>
      </c>
      <c r="M88" s="356">
        <v>18000</v>
      </c>
      <c r="N88" s="357">
        <v>0</v>
      </c>
      <c r="O88" s="357">
        <v>12000</v>
      </c>
      <c r="P88" s="80">
        <f t="shared" si="49"/>
        <v>54000</v>
      </c>
      <c r="Q88" s="80">
        <f t="shared" si="50"/>
        <v>0</v>
      </c>
      <c r="R88" s="80">
        <f t="shared" si="51"/>
        <v>36000</v>
      </c>
    </row>
    <row r="89" spans="1:20" s="265" customFormat="1">
      <c r="A89" s="267"/>
      <c r="B89" s="191" t="s">
        <v>263</v>
      </c>
      <c r="C89" s="284">
        <v>66</v>
      </c>
      <c r="D89" s="187" t="s">
        <v>173</v>
      </c>
      <c r="E89" s="340">
        <v>1600</v>
      </c>
      <c r="F89" s="241">
        <f t="shared" si="48"/>
        <v>105600</v>
      </c>
      <c r="G89" s="356">
        <v>0</v>
      </c>
      <c r="H89" s="357">
        <v>0</v>
      </c>
      <c r="I89" s="357">
        <v>35200</v>
      </c>
      <c r="J89" s="356">
        <v>0</v>
      </c>
      <c r="K89" s="357">
        <v>0</v>
      </c>
      <c r="L89" s="357">
        <v>35200</v>
      </c>
      <c r="M89" s="356">
        <v>0</v>
      </c>
      <c r="N89" s="357">
        <v>0</v>
      </c>
      <c r="O89" s="357">
        <v>35200</v>
      </c>
      <c r="P89" s="80">
        <f t="shared" si="49"/>
        <v>0</v>
      </c>
      <c r="Q89" s="80">
        <f t="shared" si="50"/>
        <v>0</v>
      </c>
      <c r="R89" s="80">
        <f t="shared" si="51"/>
        <v>105600</v>
      </c>
    </row>
    <row r="90" spans="1:20" s="265" customFormat="1" ht="51">
      <c r="A90" s="267"/>
      <c r="B90" s="231" t="s">
        <v>121</v>
      </c>
      <c r="C90" s="260"/>
      <c r="D90" s="268"/>
      <c r="E90" s="262"/>
      <c r="F90" s="263">
        <f t="shared" ref="F90:R90" si="52">SUM(F91:F97)</f>
        <v>81000</v>
      </c>
      <c r="G90" s="263">
        <f t="shared" si="52"/>
        <v>35000</v>
      </c>
      <c r="H90" s="263">
        <f t="shared" si="52"/>
        <v>0</v>
      </c>
      <c r="I90" s="263">
        <f t="shared" si="52"/>
        <v>0</v>
      </c>
      <c r="J90" s="263">
        <f t="shared" si="52"/>
        <v>23000</v>
      </c>
      <c r="K90" s="263">
        <f t="shared" si="52"/>
        <v>0</v>
      </c>
      <c r="L90" s="263">
        <f t="shared" si="52"/>
        <v>0</v>
      </c>
      <c r="M90" s="263">
        <f t="shared" si="52"/>
        <v>23000</v>
      </c>
      <c r="N90" s="263">
        <f t="shared" si="52"/>
        <v>0</v>
      </c>
      <c r="O90" s="263">
        <f t="shared" si="52"/>
        <v>0</v>
      </c>
      <c r="P90" s="263">
        <f t="shared" si="52"/>
        <v>81000</v>
      </c>
      <c r="Q90" s="263">
        <f t="shared" si="52"/>
        <v>0</v>
      </c>
      <c r="R90" s="263">
        <f t="shared" si="52"/>
        <v>0</v>
      </c>
      <c r="S90" s="370">
        <f>SUM(P90:R90)</f>
        <v>81000</v>
      </c>
      <c r="T90" s="370">
        <f>F90-S90</f>
        <v>0</v>
      </c>
    </row>
    <row r="91" spans="1:20" s="265" customFormat="1">
      <c r="A91" s="267"/>
      <c r="B91" s="189" t="s">
        <v>164</v>
      </c>
      <c r="C91" s="286">
        <v>15</v>
      </c>
      <c r="D91" s="190" t="s">
        <v>172</v>
      </c>
      <c r="E91" s="339">
        <v>980</v>
      </c>
      <c r="F91" s="241">
        <f t="shared" ref="F91:F97" si="53">C91*E91</f>
        <v>14700</v>
      </c>
      <c r="G91" s="356">
        <v>4900</v>
      </c>
      <c r="H91" s="357">
        <v>0</v>
      </c>
      <c r="I91" s="357">
        <v>0</v>
      </c>
      <c r="J91" s="356">
        <v>4900</v>
      </c>
      <c r="K91" s="357">
        <v>0</v>
      </c>
      <c r="L91" s="357">
        <v>0</v>
      </c>
      <c r="M91" s="356">
        <v>4900</v>
      </c>
      <c r="N91" s="357">
        <v>0</v>
      </c>
      <c r="O91" s="357">
        <v>0</v>
      </c>
      <c r="P91" s="80">
        <f t="shared" ref="P91:P97" si="54">G91+J91+M91</f>
        <v>14700</v>
      </c>
      <c r="Q91" s="80">
        <f t="shared" ref="Q91:Q97" si="55">H91+K91+N91</f>
        <v>0</v>
      </c>
      <c r="R91" s="80">
        <f t="shared" ref="R91:R97" si="56">I91+L91+O91</f>
        <v>0</v>
      </c>
    </row>
    <row r="92" spans="1:20" s="265" customFormat="1">
      <c r="A92" s="267"/>
      <c r="B92" s="189" t="s">
        <v>165</v>
      </c>
      <c r="C92" s="286">
        <v>4500</v>
      </c>
      <c r="D92" s="190" t="s">
        <v>80</v>
      </c>
      <c r="E92" s="339">
        <v>8</v>
      </c>
      <c r="F92" s="241">
        <f t="shared" si="53"/>
        <v>36000</v>
      </c>
      <c r="G92" s="356">
        <v>12000</v>
      </c>
      <c r="H92" s="357">
        <v>0</v>
      </c>
      <c r="I92" s="357">
        <v>0</v>
      </c>
      <c r="J92" s="356">
        <v>12000</v>
      </c>
      <c r="K92" s="357">
        <v>0</v>
      </c>
      <c r="L92" s="357">
        <v>0</v>
      </c>
      <c r="M92" s="356">
        <v>12000</v>
      </c>
      <c r="N92" s="357">
        <v>0</v>
      </c>
      <c r="O92" s="357">
        <v>0</v>
      </c>
      <c r="P92" s="80">
        <f t="shared" si="54"/>
        <v>36000</v>
      </c>
      <c r="Q92" s="80">
        <f t="shared" si="55"/>
        <v>0</v>
      </c>
      <c r="R92" s="80">
        <f t="shared" si="56"/>
        <v>0</v>
      </c>
    </row>
    <row r="93" spans="1:20" s="265" customFormat="1">
      <c r="A93" s="267"/>
      <c r="B93" s="189" t="s">
        <v>242</v>
      </c>
      <c r="C93" s="286">
        <v>45</v>
      </c>
      <c r="D93" s="190" t="s">
        <v>172</v>
      </c>
      <c r="E93" s="339">
        <v>40</v>
      </c>
      <c r="F93" s="241">
        <f t="shared" si="53"/>
        <v>1800</v>
      </c>
      <c r="G93" s="356">
        <v>600</v>
      </c>
      <c r="H93" s="357">
        <v>0</v>
      </c>
      <c r="I93" s="357">
        <v>0</v>
      </c>
      <c r="J93" s="356">
        <v>600</v>
      </c>
      <c r="K93" s="357">
        <v>0</v>
      </c>
      <c r="L93" s="357">
        <v>0</v>
      </c>
      <c r="M93" s="356">
        <v>600</v>
      </c>
      <c r="N93" s="357">
        <v>0</v>
      </c>
      <c r="O93" s="357">
        <v>0</v>
      </c>
      <c r="P93" s="80">
        <f t="shared" si="54"/>
        <v>1800</v>
      </c>
      <c r="Q93" s="80">
        <f t="shared" si="55"/>
        <v>0</v>
      </c>
      <c r="R93" s="80">
        <f t="shared" si="56"/>
        <v>0</v>
      </c>
    </row>
    <row r="94" spans="1:20" s="265" customFormat="1">
      <c r="A94" s="267"/>
      <c r="B94" s="189" t="s">
        <v>269</v>
      </c>
      <c r="C94" s="286">
        <v>4</v>
      </c>
      <c r="D94" s="190" t="s">
        <v>155</v>
      </c>
      <c r="E94" s="339">
        <v>3000</v>
      </c>
      <c r="F94" s="241">
        <f t="shared" si="53"/>
        <v>12000</v>
      </c>
      <c r="G94" s="356">
        <v>12000</v>
      </c>
      <c r="H94" s="357">
        <v>0</v>
      </c>
      <c r="I94" s="357">
        <v>0</v>
      </c>
      <c r="J94" s="356">
        <v>0</v>
      </c>
      <c r="K94" s="357">
        <v>0</v>
      </c>
      <c r="L94" s="357">
        <v>0</v>
      </c>
      <c r="M94" s="356">
        <v>0</v>
      </c>
      <c r="N94" s="357">
        <v>0</v>
      </c>
      <c r="O94" s="357">
        <v>0</v>
      </c>
      <c r="P94" s="80">
        <f t="shared" si="54"/>
        <v>12000</v>
      </c>
      <c r="Q94" s="80">
        <f t="shared" si="55"/>
        <v>0</v>
      </c>
      <c r="R94" s="80">
        <f t="shared" si="56"/>
        <v>0</v>
      </c>
    </row>
    <row r="95" spans="1:20" s="265" customFormat="1">
      <c r="A95" s="267"/>
      <c r="B95" s="189" t="s">
        <v>166</v>
      </c>
      <c r="C95" s="286">
        <v>3</v>
      </c>
      <c r="D95" s="190" t="s">
        <v>92</v>
      </c>
      <c r="E95" s="339">
        <v>1000</v>
      </c>
      <c r="F95" s="241">
        <f t="shared" si="53"/>
        <v>3000</v>
      </c>
      <c r="G95" s="356">
        <v>1000</v>
      </c>
      <c r="H95" s="357">
        <v>0</v>
      </c>
      <c r="I95" s="357">
        <v>0</v>
      </c>
      <c r="J95" s="356">
        <v>1000</v>
      </c>
      <c r="K95" s="357">
        <v>0</v>
      </c>
      <c r="L95" s="357">
        <v>0</v>
      </c>
      <c r="M95" s="356">
        <v>1000</v>
      </c>
      <c r="N95" s="357">
        <v>0</v>
      </c>
      <c r="O95" s="357">
        <v>0</v>
      </c>
      <c r="P95" s="80">
        <f t="shared" si="54"/>
        <v>3000</v>
      </c>
      <c r="Q95" s="80">
        <f t="shared" si="55"/>
        <v>0</v>
      </c>
      <c r="R95" s="80">
        <f t="shared" si="56"/>
        <v>0</v>
      </c>
    </row>
    <row r="96" spans="1:20" s="265" customFormat="1">
      <c r="A96" s="267"/>
      <c r="B96" s="189" t="s">
        <v>167</v>
      </c>
      <c r="C96" s="286">
        <v>3</v>
      </c>
      <c r="D96" s="190" t="s">
        <v>92</v>
      </c>
      <c r="E96" s="339">
        <v>1500</v>
      </c>
      <c r="F96" s="241">
        <f t="shared" si="53"/>
        <v>4500</v>
      </c>
      <c r="G96" s="356">
        <v>1500</v>
      </c>
      <c r="H96" s="357">
        <v>0</v>
      </c>
      <c r="I96" s="357">
        <v>0</v>
      </c>
      <c r="J96" s="356">
        <v>1500</v>
      </c>
      <c r="K96" s="357">
        <v>0</v>
      </c>
      <c r="L96" s="357">
        <v>0</v>
      </c>
      <c r="M96" s="356">
        <v>1500</v>
      </c>
      <c r="N96" s="357">
        <v>0</v>
      </c>
      <c r="O96" s="357">
        <v>0</v>
      </c>
      <c r="P96" s="80">
        <f t="shared" si="54"/>
        <v>4500</v>
      </c>
      <c r="Q96" s="80">
        <f t="shared" si="55"/>
        <v>0</v>
      </c>
      <c r="R96" s="80">
        <f t="shared" si="56"/>
        <v>0</v>
      </c>
    </row>
    <row r="97" spans="1:20" s="265" customFormat="1">
      <c r="A97" s="267"/>
      <c r="B97" s="189" t="s">
        <v>168</v>
      </c>
      <c r="C97" s="286">
        <v>3</v>
      </c>
      <c r="D97" s="190" t="s">
        <v>169</v>
      </c>
      <c r="E97" s="339">
        <v>3000</v>
      </c>
      <c r="F97" s="241">
        <f t="shared" si="53"/>
        <v>9000</v>
      </c>
      <c r="G97" s="356">
        <v>3000</v>
      </c>
      <c r="H97" s="357">
        <v>0</v>
      </c>
      <c r="I97" s="357">
        <v>0</v>
      </c>
      <c r="J97" s="356">
        <v>3000</v>
      </c>
      <c r="K97" s="357">
        <v>0</v>
      </c>
      <c r="L97" s="357">
        <v>0</v>
      </c>
      <c r="M97" s="356">
        <v>3000</v>
      </c>
      <c r="N97" s="357">
        <v>0</v>
      </c>
      <c r="O97" s="357">
        <v>0</v>
      </c>
      <c r="P97" s="80">
        <f t="shared" si="54"/>
        <v>9000</v>
      </c>
      <c r="Q97" s="80">
        <f t="shared" si="55"/>
        <v>0</v>
      </c>
      <c r="R97" s="80">
        <f t="shared" si="56"/>
        <v>0</v>
      </c>
    </row>
    <row r="98" spans="1:20" s="265" customFormat="1" ht="25.5">
      <c r="A98" s="267"/>
      <c r="B98" s="231" t="s">
        <v>122</v>
      </c>
      <c r="C98" s="260"/>
      <c r="D98" s="268"/>
      <c r="E98" s="262"/>
      <c r="F98" s="263">
        <f t="shared" ref="F98:R98" si="57">SUM(F99:F101)</f>
        <v>377520</v>
      </c>
      <c r="G98" s="263">
        <f t="shared" si="57"/>
        <v>146400</v>
      </c>
      <c r="H98" s="263">
        <f t="shared" si="57"/>
        <v>0</v>
      </c>
      <c r="I98" s="263">
        <f t="shared" si="57"/>
        <v>59520</v>
      </c>
      <c r="J98" s="263">
        <f t="shared" si="57"/>
        <v>121999.99999999999</v>
      </c>
      <c r="K98" s="263">
        <f t="shared" si="57"/>
        <v>0</v>
      </c>
      <c r="L98" s="263">
        <f t="shared" si="57"/>
        <v>49600</v>
      </c>
      <c r="M98" s="263">
        <f t="shared" si="57"/>
        <v>0</v>
      </c>
      <c r="N98" s="263">
        <f t="shared" si="57"/>
        <v>0</v>
      </c>
      <c r="O98" s="263">
        <f t="shared" si="57"/>
        <v>0</v>
      </c>
      <c r="P98" s="263">
        <f t="shared" si="57"/>
        <v>268400</v>
      </c>
      <c r="Q98" s="263">
        <f t="shared" si="57"/>
        <v>0</v>
      </c>
      <c r="R98" s="263">
        <f t="shared" si="57"/>
        <v>109120</v>
      </c>
      <c r="S98" s="370">
        <f>SUM(P98:R98)</f>
        <v>377520</v>
      </c>
      <c r="T98" s="370">
        <f>F98-S98</f>
        <v>0</v>
      </c>
    </row>
    <row r="99" spans="1:20" s="265" customFormat="1">
      <c r="A99" s="267"/>
      <c r="B99" s="189" t="s">
        <v>181</v>
      </c>
      <c r="C99" s="286">
        <v>44</v>
      </c>
      <c r="D99" s="190" t="s">
        <v>182</v>
      </c>
      <c r="E99" s="339">
        <v>8000</v>
      </c>
      <c r="F99" s="241">
        <f t="shared" ref="F99:F101" si="58">C99*E99</f>
        <v>352000</v>
      </c>
      <c r="G99" s="356">
        <v>134400</v>
      </c>
      <c r="H99" s="357">
        <v>0</v>
      </c>
      <c r="I99" s="357">
        <v>57600</v>
      </c>
      <c r="J99" s="356">
        <v>111999.99999999999</v>
      </c>
      <c r="K99" s="357">
        <v>0</v>
      </c>
      <c r="L99" s="357">
        <v>48000</v>
      </c>
      <c r="M99" s="356">
        <v>0</v>
      </c>
      <c r="N99" s="357">
        <v>0</v>
      </c>
      <c r="O99" s="357">
        <v>0</v>
      </c>
      <c r="P99" s="80">
        <f t="shared" ref="P99:P101" si="59">G99+J99+M99</f>
        <v>246400</v>
      </c>
      <c r="Q99" s="80">
        <f t="shared" ref="Q99:Q101" si="60">H99+K99+N99</f>
        <v>0</v>
      </c>
      <c r="R99" s="80">
        <f t="shared" ref="R99:R101" si="61">I99+L99+O99</f>
        <v>105600</v>
      </c>
    </row>
    <row r="100" spans="1:20" s="265" customFormat="1">
      <c r="A100" s="267"/>
      <c r="B100" s="189" t="s">
        <v>183</v>
      </c>
      <c r="C100" s="286">
        <v>44</v>
      </c>
      <c r="D100" s="190" t="s">
        <v>184</v>
      </c>
      <c r="E100" s="339">
        <v>500</v>
      </c>
      <c r="F100" s="241">
        <f t="shared" si="58"/>
        <v>22000</v>
      </c>
      <c r="G100" s="356">
        <v>12000</v>
      </c>
      <c r="H100" s="357">
        <v>0</v>
      </c>
      <c r="I100" s="357">
        <v>0</v>
      </c>
      <c r="J100" s="356">
        <v>10000</v>
      </c>
      <c r="K100" s="357">
        <v>0</v>
      </c>
      <c r="L100" s="357">
        <v>0</v>
      </c>
      <c r="M100" s="356">
        <v>0</v>
      </c>
      <c r="N100" s="357">
        <v>0</v>
      </c>
      <c r="O100" s="357">
        <v>0</v>
      </c>
      <c r="P100" s="80">
        <f t="shared" si="59"/>
        <v>22000</v>
      </c>
      <c r="Q100" s="80">
        <f t="shared" si="60"/>
        <v>0</v>
      </c>
      <c r="R100" s="80">
        <f t="shared" si="61"/>
        <v>0</v>
      </c>
    </row>
    <row r="101" spans="1:20" s="265" customFormat="1">
      <c r="A101" s="267"/>
      <c r="B101" s="189" t="s">
        <v>270</v>
      </c>
      <c r="C101" s="286">
        <v>352</v>
      </c>
      <c r="D101" s="190" t="s">
        <v>80</v>
      </c>
      <c r="E101" s="339">
        <v>10</v>
      </c>
      <c r="F101" s="241">
        <f t="shared" si="58"/>
        <v>3520</v>
      </c>
      <c r="G101" s="356">
        <v>0</v>
      </c>
      <c r="H101" s="357">
        <v>0</v>
      </c>
      <c r="I101" s="357">
        <v>1920</v>
      </c>
      <c r="J101" s="356">
        <v>0</v>
      </c>
      <c r="K101" s="357">
        <v>0</v>
      </c>
      <c r="L101" s="357">
        <v>1600</v>
      </c>
      <c r="M101" s="356">
        <v>0</v>
      </c>
      <c r="N101" s="357">
        <v>0</v>
      </c>
      <c r="O101" s="357">
        <v>0</v>
      </c>
      <c r="P101" s="80">
        <f t="shared" si="59"/>
        <v>0</v>
      </c>
      <c r="Q101" s="80">
        <f t="shared" si="60"/>
        <v>0</v>
      </c>
      <c r="R101" s="80">
        <f t="shared" si="61"/>
        <v>3520</v>
      </c>
    </row>
    <row r="102" spans="1:20" s="265" customFormat="1" ht="25.5">
      <c r="A102" s="267"/>
      <c r="B102" s="231" t="s">
        <v>291</v>
      </c>
      <c r="C102" s="260"/>
      <c r="D102" s="268"/>
      <c r="E102" s="262"/>
      <c r="F102" s="263">
        <f t="shared" ref="F102:R102" si="62">SUM(F103:F104)</f>
        <v>19750</v>
      </c>
      <c r="G102" s="263">
        <f t="shared" si="62"/>
        <v>11000</v>
      </c>
      <c r="H102" s="263">
        <f t="shared" si="62"/>
        <v>0</v>
      </c>
      <c r="I102" s="263">
        <f t="shared" si="62"/>
        <v>0</v>
      </c>
      <c r="J102" s="263">
        <f t="shared" si="62"/>
        <v>8750</v>
      </c>
      <c r="K102" s="263">
        <f t="shared" si="62"/>
        <v>0</v>
      </c>
      <c r="L102" s="263">
        <f t="shared" si="62"/>
        <v>0</v>
      </c>
      <c r="M102" s="263">
        <f t="shared" si="62"/>
        <v>0</v>
      </c>
      <c r="N102" s="263">
        <f t="shared" si="62"/>
        <v>0</v>
      </c>
      <c r="O102" s="263">
        <f t="shared" si="62"/>
        <v>0</v>
      </c>
      <c r="P102" s="263">
        <f t="shared" si="62"/>
        <v>19750</v>
      </c>
      <c r="Q102" s="263">
        <f t="shared" si="62"/>
        <v>0</v>
      </c>
      <c r="R102" s="263">
        <f t="shared" si="62"/>
        <v>0</v>
      </c>
      <c r="S102" s="370">
        <f>SUM(P102:R102)</f>
        <v>19750</v>
      </c>
      <c r="T102" s="370">
        <f>F102-S102</f>
        <v>0</v>
      </c>
    </row>
    <row r="103" spans="1:20" s="265" customFormat="1">
      <c r="A103" s="267"/>
      <c r="B103" s="191" t="s">
        <v>197</v>
      </c>
      <c r="C103" s="182">
        <v>44</v>
      </c>
      <c r="D103" s="190" t="s">
        <v>80</v>
      </c>
      <c r="E103" s="183">
        <v>250</v>
      </c>
      <c r="F103" s="241">
        <f t="shared" ref="F103:F104" si="63">C103*E103</f>
        <v>11000</v>
      </c>
      <c r="G103" s="356">
        <v>6000</v>
      </c>
      <c r="H103" s="357">
        <v>0</v>
      </c>
      <c r="I103" s="357">
        <v>0</v>
      </c>
      <c r="J103" s="356">
        <v>5000</v>
      </c>
      <c r="K103" s="357">
        <v>0</v>
      </c>
      <c r="L103" s="357">
        <v>0</v>
      </c>
      <c r="M103" s="356">
        <v>0</v>
      </c>
      <c r="N103" s="357">
        <v>0</v>
      </c>
      <c r="O103" s="357">
        <v>0</v>
      </c>
      <c r="P103" s="80">
        <f t="shared" ref="P103:P104" si="64">G103+J103+M103</f>
        <v>11000</v>
      </c>
      <c r="Q103" s="80">
        <f t="shared" ref="Q103:Q104" si="65">H103+K103+N103</f>
        <v>0</v>
      </c>
      <c r="R103" s="80">
        <f t="shared" ref="R103:R104" si="66">I103+L103+O103</f>
        <v>0</v>
      </c>
    </row>
    <row r="104" spans="1:20" s="265" customFormat="1">
      <c r="A104" s="267"/>
      <c r="B104" s="303" t="s">
        <v>292</v>
      </c>
      <c r="C104" s="182">
        <v>350</v>
      </c>
      <c r="D104" s="190" t="s">
        <v>80</v>
      </c>
      <c r="E104" s="183">
        <v>25</v>
      </c>
      <c r="F104" s="241">
        <f t="shared" si="63"/>
        <v>8750</v>
      </c>
      <c r="G104" s="356">
        <v>5000</v>
      </c>
      <c r="H104" s="357">
        <v>0</v>
      </c>
      <c r="I104" s="357">
        <v>0</v>
      </c>
      <c r="J104" s="356">
        <v>3750</v>
      </c>
      <c r="K104" s="357">
        <v>0</v>
      </c>
      <c r="L104" s="357">
        <v>0</v>
      </c>
      <c r="M104" s="356">
        <v>0</v>
      </c>
      <c r="N104" s="357">
        <v>0</v>
      </c>
      <c r="O104" s="357">
        <v>0</v>
      </c>
      <c r="P104" s="80">
        <f t="shared" si="64"/>
        <v>8750</v>
      </c>
      <c r="Q104" s="80">
        <f t="shared" si="65"/>
        <v>0</v>
      </c>
      <c r="R104" s="80">
        <f t="shared" si="66"/>
        <v>0</v>
      </c>
    </row>
    <row r="105" spans="1:20" s="265" customFormat="1">
      <c r="A105" s="267"/>
      <c r="B105" s="231" t="s">
        <v>123</v>
      </c>
      <c r="C105" s="260"/>
      <c r="D105" s="268"/>
      <c r="E105" s="262"/>
      <c r="F105" s="263">
        <f t="shared" ref="F105:R105" si="67">SUM(F106:F106)</f>
        <v>176000</v>
      </c>
      <c r="G105" s="263">
        <f t="shared" si="67"/>
        <v>0</v>
      </c>
      <c r="H105" s="263">
        <f t="shared" si="67"/>
        <v>0</v>
      </c>
      <c r="I105" s="263">
        <f t="shared" si="67"/>
        <v>0</v>
      </c>
      <c r="J105" s="263">
        <f t="shared" si="67"/>
        <v>76800</v>
      </c>
      <c r="K105" s="263">
        <f t="shared" si="67"/>
        <v>0</v>
      </c>
      <c r="L105" s="263">
        <f t="shared" si="67"/>
        <v>19200</v>
      </c>
      <c r="M105" s="263">
        <f t="shared" si="67"/>
        <v>64000</v>
      </c>
      <c r="N105" s="263">
        <f t="shared" si="67"/>
        <v>0</v>
      </c>
      <c r="O105" s="263">
        <f t="shared" si="67"/>
        <v>16000</v>
      </c>
      <c r="P105" s="263">
        <f t="shared" si="67"/>
        <v>140800</v>
      </c>
      <c r="Q105" s="263">
        <f t="shared" si="67"/>
        <v>0</v>
      </c>
      <c r="R105" s="263">
        <f t="shared" si="67"/>
        <v>35200</v>
      </c>
      <c r="S105" s="370">
        <f>SUM(P105:R105)</f>
        <v>176000</v>
      </c>
      <c r="T105" s="370">
        <f>F105-S105</f>
        <v>0</v>
      </c>
    </row>
    <row r="106" spans="1:20" s="265" customFormat="1">
      <c r="A106" s="267"/>
      <c r="B106" s="189" t="s">
        <v>189</v>
      </c>
      <c r="C106" s="182">
        <v>44</v>
      </c>
      <c r="D106" s="190" t="s">
        <v>190</v>
      </c>
      <c r="E106" s="339">
        <v>4000</v>
      </c>
      <c r="F106" s="241">
        <f>C106*E106</f>
        <v>176000</v>
      </c>
      <c r="G106" s="356">
        <v>0</v>
      </c>
      <c r="H106" s="357">
        <v>0</v>
      </c>
      <c r="I106" s="357">
        <v>0</v>
      </c>
      <c r="J106" s="356">
        <v>76800</v>
      </c>
      <c r="K106" s="357">
        <v>0</v>
      </c>
      <c r="L106" s="357">
        <v>19200</v>
      </c>
      <c r="M106" s="356">
        <v>64000</v>
      </c>
      <c r="N106" s="357">
        <v>0</v>
      </c>
      <c r="O106" s="357">
        <v>16000</v>
      </c>
      <c r="P106" s="80">
        <f t="shared" ref="P106" si="68">G106+J106+M106</f>
        <v>140800</v>
      </c>
      <c r="Q106" s="80">
        <f t="shared" ref="Q106" si="69">H106+K106+N106</f>
        <v>0</v>
      </c>
      <c r="R106" s="80">
        <f t="shared" ref="R106" si="70">I106+L106+O106</f>
        <v>35200</v>
      </c>
    </row>
    <row r="107" spans="1:20" s="265" customFormat="1" ht="25.5">
      <c r="A107" s="267"/>
      <c r="B107" s="231" t="s">
        <v>124</v>
      </c>
      <c r="C107" s="260"/>
      <c r="D107" s="268"/>
      <c r="E107" s="262"/>
      <c r="F107" s="263">
        <f t="shared" ref="F107:R107" si="71">SUM(F108:F110)</f>
        <v>28800</v>
      </c>
      <c r="G107" s="263">
        <f t="shared" si="71"/>
        <v>9600</v>
      </c>
      <c r="H107" s="263">
        <f t="shared" si="71"/>
        <v>0</v>
      </c>
      <c r="I107" s="263">
        <f t="shared" si="71"/>
        <v>0</v>
      </c>
      <c r="J107" s="263">
        <f t="shared" si="71"/>
        <v>9600</v>
      </c>
      <c r="K107" s="263">
        <f t="shared" si="71"/>
        <v>0</v>
      </c>
      <c r="L107" s="263">
        <f t="shared" si="71"/>
        <v>0</v>
      </c>
      <c r="M107" s="263">
        <f t="shared" si="71"/>
        <v>9600</v>
      </c>
      <c r="N107" s="263">
        <f t="shared" si="71"/>
        <v>0</v>
      </c>
      <c r="O107" s="263">
        <f t="shared" si="71"/>
        <v>0</v>
      </c>
      <c r="P107" s="263">
        <f t="shared" si="71"/>
        <v>28800</v>
      </c>
      <c r="Q107" s="263">
        <f t="shared" si="71"/>
        <v>0</v>
      </c>
      <c r="R107" s="263">
        <f t="shared" si="71"/>
        <v>0</v>
      </c>
      <c r="S107" s="370">
        <f>SUM(P107:R107)</f>
        <v>28800</v>
      </c>
      <c r="T107" s="370">
        <f>F107-S107</f>
        <v>0</v>
      </c>
    </row>
    <row r="108" spans="1:20" s="265" customFormat="1">
      <c r="A108" s="267"/>
      <c r="B108" s="189" t="s">
        <v>273</v>
      </c>
      <c r="C108" s="286">
        <v>9</v>
      </c>
      <c r="D108" s="190" t="s">
        <v>81</v>
      </c>
      <c r="E108" s="339">
        <v>800</v>
      </c>
      <c r="F108" s="241">
        <f t="shared" ref="F108:F110" si="72">C108*E108</f>
        <v>7200</v>
      </c>
      <c r="G108" s="356">
        <v>2400</v>
      </c>
      <c r="H108" s="357">
        <v>0</v>
      </c>
      <c r="I108" s="357">
        <v>0</v>
      </c>
      <c r="J108" s="356">
        <v>2400</v>
      </c>
      <c r="K108" s="357">
        <v>0</v>
      </c>
      <c r="L108" s="357">
        <v>0</v>
      </c>
      <c r="M108" s="356">
        <v>2400</v>
      </c>
      <c r="N108" s="357">
        <v>0</v>
      </c>
      <c r="O108" s="357">
        <v>0</v>
      </c>
      <c r="P108" s="80">
        <f t="shared" ref="P108:P110" si="73">G108+J108+M108</f>
        <v>7200</v>
      </c>
      <c r="Q108" s="80">
        <f t="shared" ref="Q108:Q110" si="74">H108+K108+N108</f>
        <v>0</v>
      </c>
      <c r="R108" s="80">
        <f t="shared" ref="R108:R110" si="75">I108+L108+O108</f>
        <v>0</v>
      </c>
    </row>
    <row r="109" spans="1:20" s="265" customFormat="1">
      <c r="A109" s="267"/>
      <c r="B109" s="189" t="s">
        <v>159</v>
      </c>
      <c r="C109" s="286">
        <v>9</v>
      </c>
      <c r="D109" s="190" t="s">
        <v>81</v>
      </c>
      <c r="E109" s="339">
        <v>400</v>
      </c>
      <c r="F109" s="241">
        <f t="shared" si="72"/>
        <v>3600</v>
      </c>
      <c r="G109" s="356">
        <v>1200</v>
      </c>
      <c r="H109" s="357">
        <v>0</v>
      </c>
      <c r="I109" s="357">
        <v>0</v>
      </c>
      <c r="J109" s="356">
        <v>1200</v>
      </c>
      <c r="K109" s="357">
        <v>0</v>
      </c>
      <c r="L109" s="357">
        <v>0</v>
      </c>
      <c r="M109" s="356">
        <v>1200</v>
      </c>
      <c r="N109" s="357">
        <v>0</v>
      </c>
      <c r="O109" s="357">
        <v>0</v>
      </c>
      <c r="P109" s="80">
        <f t="shared" si="73"/>
        <v>3600</v>
      </c>
      <c r="Q109" s="80">
        <f t="shared" si="74"/>
        <v>0</v>
      </c>
      <c r="R109" s="80">
        <f t="shared" si="75"/>
        <v>0</v>
      </c>
    </row>
    <row r="110" spans="1:20" s="265" customFormat="1">
      <c r="A110" s="267"/>
      <c r="B110" s="189" t="s">
        <v>272</v>
      </c>
      <c r="C110" s="286">
        <v>9</v>
      </c>
      <c r="D110" s="190" t="s">
        <v>81</v>
      </c>
      <c r="E110" s="339">
        <v>2000</v>
      </c>
      <c r="F110" s="241">
        <f t="shared" si="72"/>
        <v>18000</v>
      </c>
      <c r="G110" s="356">
        <v>6000</v>
      </c>
      <c r="H110" s="357">
        <v>0</v>
      </c>
      <c r="I110" s="357">
        <v>0</v>
      </c>
      <c r="J110" s="356">
        <v>6000</v>
      </c>
      <c r="K110" s="357">
        <v>0</v>
      </c>
      <c r="L110" s="357">
        <v>0</v>
      </c>
      <c r="M110" s="356">
        <v>6000</v>
      </c>
      <c r="N110" s="357">
        <v>0</v>
      </c>
      <c r="O110" s="357">
        <v>0</v>
      </c>
      <c r="P110" s="80">
        <f t="shared" si="73"/>
        <v>18000</v>
      </c>
      <c r="Q110" s="80">
        <f t="shared" si="74"/>
        <v>0</v>
      </c>
      <c r="R110" s="80">
        <f t="shared" si="75"/>
        <v>0</v>
      </c>
    </row>
    <row r="111" spans="1:20" s="87" customFormat="1" ht="12.6" customHeight="1">
      <c r="B111" s="82" t="s">
        <v>23</v>
      </c>
      <c r="C111" s="242"/>
      <c r="D111" s="84"/>
      <c r="E111" s="243"/>
      <c r="F111" s="86">
        <f t="shared" ref="F111:R111" si="76">F80+F86+F90+F98+F102+F105+F107</f>
        <v>940170</v>
      </c>
      <c r="G111" s="86">
        <f t="shared" si="76"/>
        <v>278500</v>
      </c>
      <c r="H111" s="86">
        <f t="shared" si="76"/>
        <v>3000</v>
      </c>
      <c r="I111" s="86">
        <f t="shared" si="76"/>
        <v>106720</v>
      </c>
      <c r="J111" s="86">
        <f t="shared" si="76"/>
        <v>258150</v>
      </c>
      <c r="K111" s="86">
        <f t="shared" si="76"/>
        <v>0</v>
      </c>
      <c r="L111" s="86">
        <f t="shared" si="76"/>
        <v>116000</v>
      </c>
      <c r="M111" s="86">
        <f t="shared" si="76"/>
        <v>114600</v>
      </c>
      <c r="N111" s="86">
        <f t="shared" si="76"/>
        <v>0</v>
      </c>
      <c r="O111" s="86">
        <f t="shared" si="76"/>
        <v>63200</v>
      </c>
      <c r="P111" s="86">
        <f t="shared" si="76"/>
        <v>651250</v>
      </c>
      <c r="Q111" s="86">
        <f t="shared" si="76"/>
        <v>3000</v>
      </c>
      <c r="R111" s="86">
        <f t="shared" si="76"/>
        <v>285920</v>
      </c>
      <c r="S111" s="370">
        <f>SUM(P111:R111)</f>
        <v>940170</v>
      </c>
      <c r="T111" s="370">
        <f>F111-S111</f>
        <v>0</v>
      </c>
    </row>
    <row r="112" spans="1:20" ht="12" customHeight="1">
      <c r="B112" s="128"/>
      <c r="C112" s="247"/>
      <c r="D112" s="257"/>
      <c r="E112" s="247"/>
      <c r="F112" s="247"/>
      <c r="G112" s="92"/>
      <c r="H112" s="92"/>
      <c r="I112" s="92"/>
    </row>
    <row r="113" spans="2:20">
      <c r="B113" s="118" t="s">
        <v>66</v>
      </c>
      <c r="C113" s="239"/>
      <c r="D113" s="26"/>
      <c r="E113" s="236"/>
      <c r="F113" s="240"/>
      <c r="G113" s="26"/>
      <c r="H113" s="26"/>
      <c r="I113" s="26"/>
    </row>
    <row r="114" spans="2:20" ht="9.75" customHeight="1" thickBot="1">
      <c r="B114" s="71"/>
      <c r="C114" s="239"/>
      <c r="D114" s="26"/>
      <c r="E114" s="236"/>
      <c r="F114" s="240"/>
      <c r="G114" s="26"/>
      <c r="H114" s="26"/>
      <c r="I114" s="26"/>
    </row>
    <row r="115" spans="2:20" ht="92.25" customHeight="1" thickTop="1" thickBot="1">
      <c r="B115" s="565" t="s">
        <v>306</v>
      </c>
      <c r="C115" s="566"/>
      <c r="D115" s="566"/>
      <c r="E115" s="566"/>
      <c r="F115" s="566"/>
      <c r="G115" s="566"/>
      <c r="H115" s="566"/>
      <c r="I115" s="566"/>
      <c r="J115" s="566"/>
      <c r="K115" s="566"/>
      <c r="L115" s="566"/>
      <c r="M115" s="566"/>
      <c r="N115" s="566"/>
      <c r="O115" s="566"/>
      <c r="P115" s="566"/>
      <c r="Q115" s="566"/>
      <c r="R115" s="567"/>
    </row>
    <row r="116" spans="2:20" ht="165.75" customHeight="1" thickTop="1" thickBot="1">
      <c r="B116" s="565" t="s">
        <v>307</v>
      </c>
      <c r="C116" s="566"/>
      <c r="D116" s="566"/>
      <c r="E116" s="566"/>
      <c r="F116" s="566"/>
      <c r="G116" s="566"/>
      <c r="H116" s="566"/>
      <c r="I116" s="566"/>
      <c r="J116" s="566"/>
      <c r="K116" s="566"/>
      <c r="L116" s="566"/>
      <c r="M116" s="566"/>
      <c r="N116" s="566"/>
      <c r="O116" s="566"/>
      <c r="P116" s="566"/>
      <c r="Q116" s="566"/>
      <c r="R116" s="567"/>
    </row>
    <row r="117" spans="2:20" ht="40.5" customHeight="1" thickTop="1" thickBot="1">
      <c r="B117" s="565" t="s">
        <v>308</v>
      </c>
      <c r="C117" s="566"/>
      <c r="D117" s="566"/>
      <c r="E117" s="566"/>
      <c r="F117" s="566"/>
      <c r="G117" s="566"/>
      <c r="H117" s="566"/>
      <c r="I117" s="566"/>
      <c r="J117" s="566"/>
      <c r="K117" s="566"/>
      <c r="L117" s="566"/>
      <c r="M117" s="566"/>
      <c r="N117" s="566"/>
      <c r="O117" s="566"/>
      <c r="P117" s="566"/>
      <c r="Q117" s="566"/>
      <c r="R117" s="567"/>
    </row>
    <row r="118" spans="2:20" ht="51" customHeight="1" thickTop="1" thickBot="1">
      <c r="B118" s="565" t="s">
        <v>309</v>
      </c>
      <c r="C118" s="566"/>
      <c r="D118" s="566"/>
      <c r="E118" s="566"/>
      <c r="F118" s="566"/>
      <c r="G118" s="566"/>
      <c r="H118" s="566"/>
      <c r="I118" s="566"/>
      <c r="J118" s="566"/>
      <c r="K118" s="566"/>
      <c r="L118" s="566"/>
      <c r="M118" s="566"/>
      <c r="N118" s="566"/>
      <c r="O118" s="566"/>
      <c r="P118" s="566"/>
      <c r="Q118" s="566"/>
      <c r="R118" s="567"/>
    </row>
    <row r="119" spans="2:20" ht="9.75" customHeight="1" thickTop="1">
      <c r="B119" s="71"/>
      <c r="C119" s="239"/>
      <c r="D119" s="26"/>
      <c r="E119" s="236"/>
      <c r="F119" s="240"/>
      <c r="G119" s="26"/>
      <c r="H119" s="26"/>
      <c r="I119" s="26"/>
    </row>
    <row r="120" spans="2:20" ht="12.6" customHeight="1">
      <c r="B120" s="563"/>
      <c r="C120" s="563"/>
      <c r="D120" s="563"/>
      <c r="E120" s="236"/>
      <c r="F120" s="236"/>
      <c r="G120" s="556" t="s">
        <v>103</v>
      </c>
      <c r="H120" s="549"/>
      <c r="I120" s="549"/>
      <c r="J120" s="557" t="s">
        <v>104</v>
      </c>
      <c r="K120" s="551"/>
      <c r="L120" s="551"/>
      <c r="M120" s="556" t="s">
        <v>105</v>
      </c>
      <c r="N120" s="549"/>
      <c r="O120" s="549"/>
      <c r="P120" s="556" t="s">
        <v>107</v>
      </c>
      <c r="Q120" s="549"/>
      <c r="R120" s="549"/>
    </row>
    <row r="121" spans="2:20" ht="38.25" customHeight="1">
      <c r="B121" s="75" t="s">
        <v>1</v>
      </c>
      <c r="C121" s="76" t="s">
        <v>2</v>
      </c>
      <c r="D121" s="77" t="s">
        <v>3</v>
      </c>
      <c r="E121" s="77" t="s">
        <v>0</v>
      </c>
      <c r="F121" s="77" t="s">
        <v>6</v>
      </c>
      <c r="G121" s="20" t="s">
        <v>20</v>
      </c>
      <c r="H121" s="21" t="s">
        <v>58</v>
      </c>
      <c r="I121" s="22" t="s">
        <v>63</v>
      </c>
      <c r="J121" s="20" t="s">
        <v>20</v>
      </c>
      <c r="K121" s="21" t="s">
        <v>58</v>
      </c>
      <c r="L121" s="22" t="s">
        <v>63</v>
      </c>
      <c r="M121" s="20" t="s">
        <v>20</v>
      </c>
      <c r="N121" s="21" t="s">
        <v>58</v>
      </c>
      <c r="O121" s="22" t="s">
        <v>63</v>
      </c>
      <c r="P121" s="20" t="s">
        <v>20</v>
      </c>
      <c r="Q121" s="21" t="s">
        <v>58</v>
      </c>
      <c r="R121" s="22" t="s">
        <v>63</v>
      </c>
    </row>
    <row r="122" spans="2:20">
      <c r="B122" s="78"/>
      <c r="C122" s="239"/>
      <c r="D122" s="26"/>
      <c r="E122" s="236"/>
      <c r="F122" s="236"/>
      <c r="G122" s="74"/>
      <c r="H122" s="74"/>
      <c r="I122" s="74"/>
    </row>
    <row r="123" spans="2:20" s="267" customFormat="1" ht="25.5">
      <c r="B123" s="230" t="s">
        <v>125</v>
      </c>
      <c r="C123" s="260"/>
      <c r="D123" s="261"/>
      <c r="E123" s="262"/>
      <c r="F123" s="263">
        <f t="shared" ref="F123:R123" si="77">SUM(F124:F126)</f>
        <v>20400</v>
      </c>
      <c r="G123" s="263">
        <f t="shared" si="77"/>
        <v>20400</v>
      </c>
      <c r="H123" s="263">
        <f t="shared" si="77"/>
        <v>0</v>
      </c>
      <c r="I123" s="263">
        <f t="shared" si="77"/>
        <v>0</v>
      </c>
      <c r="J123" s="263">
        <f t="shared" si="77"/>
        <v>0</v>
      </c>
      <c r="K123" s="263">
        <f t="shared" si="77"/>
        <v>0</v>
      </c>
      <c r="L123" s="263">
        <f t="shared" si="77"/>
        <v>0</v>
      </c>
      <c r="M123" s="263">
        <f t="shared" si="77"/>
        <v>0</v>
      </c>
      <c r="N123" s="263">
        <f t="shared" si="77"/>
        <v>0</v>
      </c>
      <c r="O123" s="263">
        <f t="shared" si="77"/>
        <v>0</v>
      </c>
      <c r="P123" s="263">
        <f t="shared" si="77"/>
        <v>20400</v>
      </c>
      <c r="Q123" s="263">
        <f t="shared" si="77"/>
        <v>0</v>
      </c>
      <c r="R123" s="263">
        <f t="shared" si="77"/>
        <v>0</v>
      </c>
      <c r="S123" s="370">
        <f>SUM(P123:R123)</f>
        <v>20400</v>
      </c>
      <c r="T123" s="370">
        <f>F123-S123</f>
        <v>0</v>
      </c>
    </row>
    <row r="124" spans="2:20" s="81" customFormat="1">
      <c r="B124" s="304" t="s">
        <v>192</v>
      </c>
      <c r="C124" s="286">
        <v>1</v>
      </c>
      <c r="D124" s="190" t="s">
        <v>76</v>
      </c>
      <c r="E124" s="339">
        <v>17400</v>
      </c>
      <c r="F124" s="241">
        <f t="shared" ref="F124:F126" si="78">C124*E124</f>
        <v>17400</v>
      </c>
      <c r="G124" s="356">
        <v>17400</v>
      </c>
      <c r="H124" s="357">
        <v>0</v>
      </c>
      <c r="I124" s="357">
        <v>0</v>
      </c>
      <c r="J124" s="356">
        <v>0</v>
      </c>
      <c r="K124" s="357">
        <v>0</v>
      </c>
      <c r="L124" s="357">
        <v>0</v>
      </c>
      <c r="M124" s="356">
        <v>0</v>
      </c>
      <c r="N124" s="357">
        <v>0</v>
      </c>
      <c r="O124" s="357">
        <v>0</v>
      </c>
      <c r="P124" s="266">
        <f t="shared" ref="P124" si="79">G124+J124+M124</f>
        <v>17400</v>
      </c>
      <c r="Q124" s="266">
        <f t="shared" ref="Q124" si="80">H124+K124+N124</f>
        <v>0</v>
      </c>
      <c r="R124" s="266">
        <f t="shared" ref="R124" si="81">I124+L124+O124</f>
        <v>0</v>
      </c>
    </row>
    <row r="125" spans="2:20" s="81" customFormat="1">
      <c r="B125" s="304" t="s">
        <v>143</v>
      </c>
      <c r="C125" s="285">
        <v>1</v>
      </c>
      <c r="D125" s="190" t="s">
        <v>76</v>
      </c>
      <c r="E125" s="337">
        <v>1000</v>
      </c>
      <c r="F125" s="241">
        <f t="shared" si="78"/>
        <v>1000</v>
      </c>
      <c r="G125" s="356">
        <v>1000</v>
      </c>
      <c r="H125" s="357">
        <v>0</v>
      </c>
      <c r="I125" s="357">
        <v>0</v>
      </c>
      <c r="J125" s="356">
        <v>0</v>
      </c>
      <c r="K125" s="357">
        <v>0</v>
      </c>
      <c r="L125" s="357">
        <v>0</v>
      </c>
      <c r="M125" s="356">
        <v>0</v>
      </c>
      <c r="N125" s="357">
        <v>0</v>
      </c>
      <c r="O125" s="357">
        <v>0</v>
      </c>
      <c r="P125" s="266">
        <f t="shared" ref="P125:P126" si="82">G125+J125+M125</f>
        <v>1000</v>
      </c>
      <c r="Q125" s="266">
        <f t="shared" ref="Q125:Q126" si="83">H125+K125+N125</f>
        <v>0</v>
      </c>
      <c r="R125" s="266">
        <f t="shared" ref="R125:R126" si="84">I125+L125+O125</f>
        <v>0</v>
      </c>
    </row>
    <row r="126" spans="2:20" s="81" customFormat="1" ht="25.5">
      <c r="B126" s="189" t="s">
        <v>274</v>
      </c>
      <c r="C126" s="286">
        <v>4</v>
      </c>
      <c r="D126" s="190" t="s">
        <v>134</v>
      </c>
      <c r="E126" s="339">
        <v>500</v>
      </c>
      <c r="F126" s="241">
        <f t="shared" si="78"/>
        <v>2000</v>
      </c>
      <c r="G126" s="356">
        <v>2000</v>
      </c>
      <c r="H126" s="357">
        <v>0</v>
      </c>
      <c r="I126" s="357">
        <v>0</v>
      </c>
      <c r="J126" s="356">
        <v>0</v>
      </c>
      <c r="K126" s="357">
        <v>0</v>
      </c>
      <c r="L126" s="357">
        <v>0</v>
      </c>
      <c r="M126" s="356">
        <v>0</v>
      </c>
      <c r="N126" s="357">
        <v>0</v>
      </c>
      <c r="O126" s="357">
        <v>0</v>
      </c>
      <c r="P126" s="266">
        <f t="shared" si="82"/>
        <v>2000</v>
      </c>
      <c r="Q126" s="266">
        <f t="shared" si="83"/>
        <v>0</v>
      </c>
      <c r="R126" s="266">
        <f t="shared" si="84"/>
        <v>0</v>
      </c>
    </row>
    <row r="127" spans="2:20" s="267" customFormat="1" ht="38.25">
      <c r="B127" s="230" t="s">
        <v>126</v>
      </c>
      <c r="C127" s="260"/>
      <c r="D127" s="261"/>
      <c r="E127" s="262"/>
      <c r="F127" s="263">
        <f t="shared" ref="F127:R127" si="85">SUM(F128:F132)</f>
        <v>39200</v>
      </c>
      <c r="G127" s="263">
        <f t="shared" si="85"/>
        <v>15640</v>
      </c>
      <c r="H127" s="263">
        <f t="shared" si="85"/>
        <v>12000</v>
      </c>
      <c r="I127" s="263">
        <f t="shared" si="85"/>
        <v>960.00000000000011</v>
      </c>
      <c r="J127" s="263">
        <f t="shared" si="85"/>
        <v>9640</v>
      </c>
      <c r="K127" s="263">
        <f t="shared" si="85"/>
        <v>0</v>
      </c>
      <c r="L127" s="263">
        <f t="shared" si="85"/>
        <v>960.00000000000011</v>
      </c>
      <c r="M127" s="263">
        <f t="shared" si="85"/>
        <v>0</v>
      </c>
      <c r="N127" s="263">
        <f t="shared" si="85"/>
        <v>0</v>
      </c>
      <c r="O127" s="263">
        <f t="shared" si="85"/>
        <v>0</v>
      </c>
      <c r="P127" s="263">
        <f t="shared" si="85"/>
        <v>25280</v>
      </c>
      <c r="Q127" s="263">
        <f t="shared" si="85"/>
        <v>12000</v>
      </c>
      <c r="R127" s="263">
        <f t="shared" si="85"/>
        <v>1920.0000000000002</v>
      </c>
      <c r="S127" s="370">
        <f>SUM(P127:R127)</f>
        <v>39200</v>
      </c>
      <c r="T127" s="370">
        <f>F127-S127</f>
        <v>0</v>
      </c>
    </row>
    <row r="128" spans="2:20" s="81" customFormat="1">
      <c r="B128" s="189" t="s">
        <v>131</v>
      </c>
      <c r="C128" s="286">
        <v>8</v>
      </c>
      <c r="D128" s="190" t="s">
        <v>132</v>
      </c>
      <c r="E128" s="339">
        <v>1500</v>
      </c>
      <c r="F128" s="241">
        <f t="shared" ref="F128:F132" si="86">C128*E128</f>
        <v>12000</v>
      </c>
      <c r="G128" s="356">
        <v>0</v>
      </c>
      <c r="H128" s="357">
        <v>12000</v>
      </c>
      <c r="I128" s="357">
        <v>0</v>
      </c>
      <c r="J128" s="356">
        <v>0</v>
      </c>
      <c r="K128" s="357">
        <v>0</v>
      </c>
      <c r="L128" s="357">
        <v>0</v>
      </c>
      <c r="M128" s="356">
        <v>0</v>
      </c>
      <c r="N128" s="357">
        <v>0</v>
      </c>
      <c r="O128" s="357">
        <v>0</v>
      </c>
      <c r="P128" s="266">
        <f t="shared" ref="P128:P132" si="87">G128+J128+M128</f>
        <v>0</v>
      </c>
      <c r="Q128" s="266">
        <f t="shared" ref="Q128:Q132" si="88">H128+K128+N128</f>
        <v>12000</v>
      </c>
      <c r="R128" s="266">
        <f t="shared" ref="R128:R132" si="89">I128+L128+O128</f>
        <v>0</v>
      </c>
    </row>
    <row r="129" spans="2:20" s="81" customFormat="1">
      <c r="B129" s="189" t="s">
        <v>147</v>
      </c>
      <c r="C129" s="286">
        <v>200</v>
      </c>
      <c r="D129" s="190" t="s">
        <v>148</v>
      </c>
      <c r="E129" s="339">
        <v>25</v>
      </c>
      <c r="F129" s="241">
        <f t="shared" si="86"/>
        <v>5000</v>
      </c>
      <c r="G129" s="356">
        <v>5000</v>
      </c>
      <c r="H129" s="357">
        <v>0</v>
      </c>
      <c r="I129" s="357">
        <v>0</v>
      </c>
      <c r="J129" s="356">
        <v>0</v>
      </c>
      <c r="K129" s="357">
        <v>0</v>
      </c>
      <c r="L129" s="357">
        <v>0</v>
      </c>
      <c r="M129" s="356">
        <v>0</v>
      </c>
      <c r="N129" s="357">
        <v>0</v>
      </c>
      <c r="O129" s="357">
        <v>0</v>
      </c>
      <c r="P129" s="266">
        <f t="shared" si="87"/>
        <v>5000</v>
      </c>
      <c r="Q129" s="266">
        <f t="shared" si="88"/>
        <v>0</v>
      </c>
      <c r="R129" s="266">
        <f t="shared" si="89"/>
        <v>0</v>
      </c>
    </row>
    <row r="130" spans="2:20" s="81" customFormat="1" ht="25.5">
      <c r="B130" s="189" t="s">
        <v>275</v>
      </c>
      <c r="C130" s="286">
        <v>32</v>
      </c>
      <c r="D130" s="190" t="s">
        <v>134</v>
      </c>
      <c r="E130" s="339">
        <v>600</v>
      </c>
      <c r="F130" s="241">
        <f t="shared" si="86"/>
        <v>19200</v>
      </c>
      <c r="G130" s="356">
        <v>8640</v>
      </c>
      <c r="H130" s="357">
        <v>0</v>
      </c>
      <c r="I130" s="357">
        <v>960.00000000000011</v>
      </c>
      <c r="J130" s="356">
        <v>8640</v>
      </c>
      <c r="K130" s="357">
        <v>0</v>
      </c>
      <c r="L130" s="357">
        <v>960.00000000000011</v>
      </c>
      <c r="M130" s="356">
        <v>0</v>
      </c>
      <c r="N130" s="357">
        <v>0</v>
      </c>
      <c r="O130" s="357">
        <v>0</v>
      </c>
      <c r="P130" s="266">
        <f t="shared" si="87"/>
        <v>17280</v>
      </c>
      <c r="Q130" s="266">
        <f t="shared" si="88"/>
        <v>0</v>
      </c>
      <c r="R130" s="266">
        <f t="shared" si="89"/>
        <v>1920.0000000000002</v>
      </c>
    </row>
    <row r="131" spans="2:20" s="81" customFormat="1">
      <c r="B131" s="189" t="s">
        <v>145</v>
      </c>
      <c r="C131" s="286">
        <v>2</v>
      </c>
      <c r="D131" s="190" t="s">
        <v>92</v>
      </c>
      <c r="E131" s="339">
        <v>1000</v>
      </c>
      <c r="F131" s="241">
        <f t="shared" si="86"/>
        <v>2000</v>
      </c>
      <c r="G131" s="356">
        <v>1000</v>
      </c>
      <c r="H131" s="357">
        <v>0</v>
      </c>
      <c r="I131" s="357">
        <v>0</v>
      </c>
      <c r="J131" s="356">
        <v>1000</v>
      </c>
      <c r="K131" s="357">
        <v>0</v>
      </c>
      <c r="L131" s="357">
        <v>0</v>
      </c>
      <c r="M131" s="356">
        <v>0</v>
      </c>
      <c r="N131" s="357">
        <v>0</v>
      </c>
      <c r="O131" s="357">
        <v>0</v>
      </c>
      <c r="P131" s="266">
        <f t="shared" si="87"/>
        <v>2000</v>
      </c>
      <c r="Q131" s="266">
        <f t="shared" si="88"/>
        <v>0</v>
      </c>
      <c r="R131" s="266">
        <f t="shared" si="89"/>
        <v>0</v>
      </c>
    </row>
    <row r="132" spans="2:20" s="81" customFormat="1">
      <c r="B132" s="189" t="s">
        <v>137</v>
      </c>
      <c r="C132" s="286">
        <v>1</v>
      </c>
      <c r="D132" s="190" t="s">
        <v>92</v>
      </c>
      <c r="E132" s="339">
        <v>1000</v>
      </c>
      <c r="F132" s="241">
        <f t="shared" si="86"/>
        <v>1000</v>
      </c>
      <c r="G132" s="356">
        <v>1000</v>
      </c>
      <c r="H132" s="357">
        <v>0</v>
      </c>
      <c r="I132" s="357">
        <v>0</v>
      </c>
      <c r="J132" s="356">
        <v>0</v>
      </c>
      <c r="K132" s="357">
        <v>0</v>
      </c>
      <c r="L132" s="357">
        <v>0</v>
      </c>
      <c r="M132" s="356">
        <v>0</v>
      </c>
      <c r="N132" s="357">
        <v>0</v>
      </c>
      <c r="O132" s="357">
        <v>0</v>
      </c>
      <c r="P132" s="266">
        <f t="shared" si="87"/>
        <v>1000</v>
      </c>
      <c r="Q132" s="266">
        <f t="shared" si="88"/>
        <v>0</v>
      </c>
      <c r="R132" s="266">
        <f t="shared" si="89"/>
        <v>0</v>
      </c>
    </row>
    <row r="133" spans="2:20" s="267" customFormat="1" ht="25.5">
      <c r="B133" s="230" t="s">
        <v>127</v>
      </c>
      <c r="C133" s="260"/>
      <c r="D133" s="261"/>
      <c r="E133" s="262"/>
      <c r="F133" s="263">
        <f t="shared" ref="F133:R133" si="90">SUM(F134:F134)</f>
        <v>28800</v>
      </c>
      <c r="G133" s="263">
        <f t="shared" si="90"/>
        <v>7680</v>
      </c>
      <c r="H133" s="263">
        <f t="shared" si="90"/>
        <v>0</v>
      </c>
      <c r="I133" s="263">
        <f t="shared" si="90"/>
        <v>1920</v>
      </c>
      <c r="J133" s="263">
        <f t="shared" si="90"/>
        <v>7680</v>
      </c>
      <c r="K133" s="263">
        <f t="shared" si="90"/>
        <v>0</v>
      </c>
      <c r="L133" s="263">
        <f t="shared" si="90"/>
        <v>1920</v>
      </c>
      <c r="M133" s="263">
        <f t="shared" si="90"/>
        <v>7680</v>
      </c>
      <c r="N133" s="263">
        <f t="shared" si="90"/>
        <v>0</v>
      </c>
      <c r="O133" s="263">
        <f t="shared" si="90"/>
        <v>1920</v>
      </c>
      <c r="P133" s="263">
        <f t="shared" si="90"/>
        <v>23040</v>
      </c>
      <c r="Q133" s="263">
        <f t="shared" si="90"/>
        <v>0</v>
      </c>
      <c r="R133" s="263">
        <f t="shared" si="90"/>
        <v>5760</v>
      </c>
      <c r="S133" s="370">
        <f>SUM(P133:R133)</f>
        <v>28800</v>
      </c>
      <c r="T133" s="370">
        <f>F133-S133</f>
        <v>0</v>
      </c>
    </row>
    <row r="134" spans="2:20" s="81" customFormat="1">
      <c r="B134" s="189" t="s">
        <v>187</v>
      </c>
      <c r="C134" s="286">
        <v>96</v>
      </c>
      <c r="D134" s="190" t="s">
        <v>188</v>
      </c>
      <c r="E134" s="339">
        <v>300</v>
      </c>
      <c r="F134" s="241">
        <f>C134*E134</f>
        <v>28800</v>
      </c>
      <c r="G134" s="356">
        <v>7680</v>
      </c>
      <c r="H134" s="357">
        <v>0</v>
      </c>
      <c r="I134" s="357">
        <v>1920</v>
      </c>
      <c r="J134" s="356">
        <v>7680</v>
      </c>
      <c r="K134" s="357">
        <v>0</v>
      </c>
      <c r="L134" s="357">
        <v>1920</v>
      </c>
      <c r="M134" s="356">
        <v>7680</v>
      </c>
      <c r="N134" s="357">
        <v>0</v>
      </c>
      <c r="O134" s="357">
        <v>1920</v>
      </c>
      <c r="P134" s="266">
        <f t="shared" ref="P134" si="91">G134+J134+M134</f>
        <v>23040</v>
      </c>
      <c r="Q134" s="266">
        <f t="shared" ref="Q134" si="92">H134+K134+N134</f>
        <v>0</v>
      </c>
      <c r="R134" s="266">
        <f t="shared" ref="R134" si="93">I134+L134+O134</f>
        <v>5760</v>
      </c>
    </row>
    <row r="135" spans="2:20" s="267" customFormat="1" ht="38.25">
      <c r="B135" s="230" t="s">
        <v>128</v>
      </c>
      <c r="C135" s="260"/>
      <c r="D135" s="261"/>
      <c r="E135" s="262"/>
      <c r="F135" s="263">
        <f t="shared" ref="F135:R135" si="94">SUM(F136:F139)</f>
        <v>46832.085599999999</v>
      </c>
      <c r="G135" s="263">
        <f t="shared" si="94"/>
        <v>15036.031200000001</v>
      </c>
      <c r="H135" s="263">
        <f t="shared" si="94"/>
        <v>0</v>
      </c>
      <c r="I135" s="263">
        <f t="shared" si="94"/>
        <v>0</v>
      </c>
      <c r="J135" s="263">
        <f t="shared" si="94"/>
        <v>15406.024799999999</v>
      </c>
      <c r="K135" s="263">
        <f t="shared" si="94"/>
        <v>0</v>
      </c>
      <c r="L135" s="263">
        <f t="shared" si="94"/>
        <v>0</v>
      </c>
      <c r="M135" s="263">
        <f t="shared" si="94"/>
        <v>16390.029599999998</v>
      </c>
      <c r="N135" s="263">
        <f t="shared" si="94"/>
        <v>0</v>
      </c>
      <c r="O135" s="263">
        <f t="shared" si="94"/>
        <v>0</v>
      </c>
      <c r="P135" s="263">
        <f t="shared" si="94"/>
        <v>46832.085599999999</v>
      </c>
      <c r="Q135" s="263">
        <f t="shared" si="94"/>
        <v>0</v>
      </c>
      <c r="R135" s="263">
        <f t="shared" si="94"/>
        <v>0</v>
      </c>
      <c r="S135" s="370">
        <f>SUM(P135:R135)</f>
        <v>46832.085599999999</v>
      </c>
      <c r="T135" s="370">
        <f>F135-S135</f>
        <v>0</v>
      </c>
    </row>
    <row r="136" spans="2:20" s="81" customFormat="1">
      <c r="B136" s="189" t="s">
        <v>243</v>
      </c>
      <c r="C136" s="190">
        <v>12</v>
      </c>
      <c r="D136" s="190" t="s">
        <v>81</v>
      </c>
      <c r="E136" s="339">
        <v>800</v>
      </c>
      <c r="F136" s="241">
        <f t="shared" ref="F136:F139" si="95">C136*E136</f>
        <v>9600</v>
      </c>
      <c r="G136" s="356">
        <v>3200</v>
      </c>
      <c r="H136" s="357">
        <v>0</v>
      </c>
      <c r="I136" s="357">
        <v>0</v>
      </c>
      <c r="J136" s="356">
        <v>3200</v>
      </c>
      <c r="K136" s="357">
        <v>0</v>
      </c>
      <c r="L136" s="357">
        <v>0</v>
      </c>
      <c r="M136" s="356">
        <v>3200</v>
      </c>
      <c r="N136" s="357">
        <v>0</v>
      </c>
      <c r="O136" s="357">
        <v>0</v>
      </c>
      <c r="P136" s="266">
        <f t="shared" ref="P136:P139" si="96">G136+J136+M136</f>
        <v>9600</v>
      </c>
      <c r="Q136" s="266">
        <f t="shared" ref="Q136:Q139" si="97">H136+K136+N136</f>
        <v>0</v>
      </c>
      <c r="R136" s="266">
        <f t="shared" ref="R136:R139" si="98">I136+L136+O136</f>
        <v>0</v>
      </c>
      <c r="S136" s="370"/>
      <c r="T136" s="370"/>
    </row>
    <row r="137" spans="2:20" s="81" customFormat="1">
      <c r="B137" s="189" t="s">
        <v>159</v>
      </c>
      <c r="C137" s="190">
        <v>12</v>
      </c>
      <c r="D137" s="190" t="s">
        <v>81</v>
      </c>
      <c r="E137" s="339">
        <v>400</v>
      </c>
      <c r="F137" s="241">
        <f t="shared" si="95"/>
        <v>4800</v>
      </c>
      <c r="G137" s="356">
        <v>1600</v>
      </c>
      <c r="H137" s="357">
        <v>0</v>
      </c>
      <c r="I137" s="357">
        <v>0</v>
      </c>
      <c r="J137" s="356">
        <v>1600</v>
      </c>
      <c r="K137" s="357">
        <v>0</v>
      </c>
      <c r="L137" s="357">
        <v>0</v>
      </c>
      <c r="M137" s="356">
        <v>1600</v>
      </c>
      <c r="N137" s="357">
        <v>0</v>
      </c>
      <c r="O137" s="357">
        <v>0</v>
      </c>
      <c r="P137" s="266">
        <f t="shared" si="96"/>
        <v>4800</v>
      </c>
      <c r="Q137" s="266">
        <f t="shared" si="97"/>
        <v>0</v>
      </c>
      <c r="R137" s="266">
        <f t="shared" si="98"/>
        <v>0</v>
      </c>
      <c r="S137" s="370"/>
      <c r="T137" s="370"/>
    </row>
    <row r="138" spans="2:20" s="81" customFormat="1">
      <c r="B138" s="189" t="s">
        <v>276</v>
      </c>
      <c r="C138" s="190">
        <v>12</v>
      </c>
      <c r="D138" s="190" t="s">
        <v>81</v>
      </c>
      <c r="E138" s="339">
        <f>5108.0214/3</f>
        <v>1702.6737999999998</v>
      </c>
      <c r="F138" s="241">
        <f t="shared" si="95"/>
        <v>20432.085599999999</v>
      </c>
      <c r="G138" s="356">
        <v>6236.0312000000004</v>
      </c>
      <c r="H138" s="357">
        <v>0</v>
      </c>
      <c r="I138" s="357">
        <v>0</v>
      </c>
      <c r="J138" s="356">
        <v>6606.0248000000001</v>
      </c>
      <c r="K138" s="357">
        <v>0</v>
      </c>
      <c r="L138" s="357">
        <v>0</v>
      </c>
      <c r="M138" s="356">
        <v>7590.0295999999989</v>
      </c>
      <c r="N138" s="357">
        <v>0</v>
      </c>
      <c r="O138" s="357">
        <v>0</v>
      </c>
      <c r="P138" s="266">
        <f t="shared" si="96"/>
        <v>20432.085599999999</v>
      </c>
      <c r="Q138" s="266">
        <f t="shared" si="97"/>
        <v>0</v>
      </c>
      <c r="R138" s="266">
        <f t="shared" si="98"/>
        <v>0</v>
      </c>
      <c r="S138" s="370"/>
      <c r="T138" s="370"/>
    </row>
    <row r="139" spans="2:20" s="81" customFormat="1">
      <c r="B139" s="189" t="s">
        <v>191</v>
      </c>
      <c r="C139" s="190">
        <v>12</v>
      </c>
      <c r="D139" s="190" t="s">
        <v>81</v>
      </c>
      <c r="E139" s="339">
        <v>1000</v>
      </c>
      <c r="F139" s="241">
        <f t="shared" si="95"/>
        <v>12000</v>
      </c>
      <c r="G139" s="356">
        <v>4000</v>
      </c>
      <c r="H139" s="357">
        <v>0</v>
      </c>
      <c r="I139" s="357">
        <v>0</v>
      </c>
      <c r="J139" s="356">
        <v>4000</v>
      </c>
      <c r="K139" s="357">
        <v>0</v>
      </c>
      <c r="L139" s="357">
        <v>0</v>
      </c>
      <c r="M139" s="356">
        <v>4000</v>
      </c>
      <c r="N139" s="357">
        <v>0</v>
      </c>
      <c r="O139" s="357">
        <v>0</v>
      </c>
      <c r="P139" s="266">
        <f t="shared" si="96"/>
        <v>12000</v>
      </c>
      <c r="Q139" s="266">
        <f t="shared" si="97"/>
        <v>0</v>
      </c>
      <c r="R139" s="266">
        <f t="shared" si="98"/>
        <v>0</v>
      </c>
      <c r="S139" s="370"/>
      <c r="T139" s="370"/>
    </row>
    <row r="140" spans="2:20" s="87" customFormat="1" ht="12.6" customHeight="1">
      <c r="B140" s="82" t="s">
        <v>23</v>
      </c>
      <c r="C140" s="242"/>
      <c r="D140" s="84"/>
      <c r="E140" s="243"/>
      <c r="F140" s="86">
        <f t="shared" ref="F140:R140" si="99">F123+F127+F133+F135</f>
        <v>135232.08559999999</v>
      </c>
      <c r="G140" s="86">
        <f t="shared" si="99"/>
        <v>58756.031199999998</v>
      </c>
      <c r="H140" s="86">
        <f t="shared" si="99"/>
        <v>12000</v>
      </c>
      <c r="I140" s="86">
        <f t="shared" si="99"/>
        <v>2880</v>
      </c>
      <c r="J140" s="86">
        <f t="shared" si="99"/>
        <v>32726.024799999999</v>
      </c>
      <c r="K140" s="86">
        <f t="shared" si="99"/>
        <v>0</v>
      </c>
      <c r="L140" s="86">
        <f t="shared" si="99"/>
        <v>2880</v>
      </c>
      <c r="M140" s="86">
        <f t="shared" si="99"/>
        <v>24070.029599999998</v>
      </c>
      <c r="N140" s="86">
        <f t="shared" si="99"/>
        <v>0</v>
      </c>
      <c r="O140" s="86">
        <f t="shared" si="99"/>
        <v>1920</v>
      </c>
      <c r="P140" s="86">
        <f t="shared" si="99"/>
        <v>115552.08559999999</v>
      </c>
      <c r="Q140" s="86">
        <f t="shared" si="99"/>
        <v>12000</v>
      </c>
      <c r="R140" s="86">
        <f t="shared" si="99"/>
        <v>7680</v>
      </c>
      <c r="S140" s="370">
        <f>SUM(P140:R140)</f>
        <v>135232.08559999999</v>
      </c>
      <c r="T140" s="370">
        <f>F140-S140</f>
        <v>0</v>
      </c>
    </row>
    <row r="141" spans="2:20" ht="12.6" customHeight="1">
      <c r="B141" s="93"/>
      <c r="C141" s="248"/>
      <c r="D141" s="258"/>
      <c r="E141" s="248"/>
      <c r="F141" s="248"/>
      <c r="G141" s="93"/>
      <c r="H141" s="93"/>
      <c r="I141" s="93"/>
    </row>
    <row r="142" spans="2:20" ht="12.6" customHeight="1">
      <c r="B142" s="93"/>
      <c r="C142" s="248"/>
      <c r="D142" s="258"/>
      <c r="E142" s="248"/>
      <c r="F142" s="372"/>
      <c r="G142" s="93"/>
      <c r="H142" s="93"/>
      <c r="I142" s="93"/>
    </row>
    <row r="143" spans="2:20" ht="12.6" customHeight="1">
      <c r="B143" s="118" t="s">
        <v>67</v>
      </c>
      <c r="C143" s="234"/>
      <c r="D143" s="255"/>
      <c r="E143" s="234"/>
      <c r="F143" s="234"/>
      <c r="G143" s="72"/>
      <c r="H143" s="72"/>
      <c r="I143" s="72"/>
    </row>
    <row r="144" spans="2:20" ht="12.6" customHeight="1" thickBot="1">
      <c r="B144" s="71"/>
      <c r="C144" s="234"/>
      <c r="D144" s="255"/>
      <c r="E144" s="234"/>
      <c r="F144" s="234"/>
      <c r="G144" s="72"/>
      <c r="H144" s="72"/>
      <c r="I144" s="72"/>
    </row>
    <row r="145" spans="2:20" ht="133.5" customHeight="1" thickTop="1" thickBot="1">
      <c r="B145" s="565" t="s">
        <v>368</v>
      </c>
      <c r="C145" s="566"/>
      <c r="D145" s="566"/>
      <c r="E145" s="566"/>
      <c r="F145" s="566"/>
      <c r="G145" s="566"/>
      <c r="H145" s="566"/>
      <c r="I145" s="566"/>
      <c r="J145" s="566"/>
      <c r="K145" s="566"/>
      <c r="L145" s="566"/>
      <c r="M145" s="566"/>
      <c r="N145" s="566"/>
      <c r="O145" s="566"/>
      <c r="P145" s="566"/>
      <c r="Q145" s="566"/>
      <c r="R145" s="567"/>
    </row>
    <row r="146" spans="2:20" ht="123" customHeight="1" thickTop="1" thickBot="1">
      <c r="B146" s="565" t="s">
        <v>310</v>
      </c>
      <c r="C146" s="566"/>
      <c r="D146" s="566"/>
      <c r="E146" s="566"/>
      <c r="F146" s="566"/>
      <c r="G146" s="566"/>
      <c r="H146" s="566"/>
      <c r="I146" s="566"/>
      <c r="J146" s="566"/>
      <c r="K146" s="566"/>
      <c r="L146" s="566"/>
      <c r="M146" s="566"/>
      <c r="N146" s="566"/>
      <c r="O146" s="566"/>
      <c r="P146" s="566"/>
      <c r="Q146" s="566"/>
      <c r="R146" s="567"/>
    </row>
    <row r="147" spans="2:20" ht="125.25" customHeight="1" thickTop="1" thickBot="1">
      <c r="B147" s="564" t="s">
        <v>311</v>
      </c>
      <c r="C147" s="561"/>
      <c r="D147" s="561"/>
      <c r="E147" s="561"/>
      <c r="F147" s="561"/>
      <c r="G147" s="561"/>
      <c r="H147" s="561"/>
      <c r="I147" s="561"/>
      <c r="J147" s="561"/>
      <c r="K147" s="561"/>
      <c r="L147" s="561"/>
      <c r="M147" s="561"/>
      <c r="N147" s="561"/>
      <c r="O147" s="561"/>
      <c r="P147" s="561"/>
      <c r="Q147" s="561"/>
      <c r="R147" s="562"/>
    </row>
    <row r="148" spans="2:20" ht="12.6" customHeight="1" thickTop="1">
      <c r="B148" s="73"/>
      <c r="C148" s="235"/>
      <c r="D148" s="256"/>
      <c r="E148" s="235"/>
      <c r="F148" s="235"/>
      <c r="G148" s="72"/>
      <c r="H148" s="72"/>
      <c r="I148" s="72"/>
    </row>
    <row r="149" spans="2:20" ht="12.6" customHeight="1">
      <c r="B149" s="563"/>
      <c r="C149" s="563"/>
      <c r="D149" s="563"/>
      <c r="E149" s="236"/>
      <c r="F149" s="236"/>
      <c r="G149" s="556" t="s">
        <v>103</v>
      </c>
      <c r="H149" s="549"/>
      <c r="I149" s="549"/>
      <c r="J149" s="557" t="s">
        <v>104</v>
      </c>
      <c r="K149" s="551"/>
      <c r="L149" s="551"/>
      <c r="M149" s="556" t="s">
        <v>105</v>
      </c>
      <c r="N149" s="549"/>
      <c r="O149" s="549"/>
      <c r="P149" s="556" t="s">
        <v>107</v>
      </c>
      <c r="Q149" s="549"/>
      <c r="R149" s="549"/>
    </row>
    <row r="150" spans="2:20" ht="38.25" customHeight="1">
      <c r="B150" s="75" t="s">
        <v>1</v>
      </c>
      <c r="C150" s="237" t="s">
        <v>2</v>
      </c>
      <c r="D150" s="77" t="s">
        <v>3</v>
      </c>
      <c r="E150" s="238" t="s">
        <v>0</v>
      </c>
      <c r="F150" s="238" t="s">
        <v>6</v>
      </c>
      <c r="G150" s="20" t="s">
        <v>20</v>
      </c>
      <c r="H150" s="21" t="s">
        <v>58</v>
      </c>
      <c r="I150" s="22" t="s">
        <v>63</v>
      </c>
      <c r="J150" s="20" t="s">
        <v>20</v>
      </c>
      <c r="K150" s="21" t="s">
        <v>58</v>
      </c>
      <c r="L150" s="22" t="s">
        <v>63</v>
      </c>
      <c r="M150" s="20" t="s">
        <v>20</v>
      </c>
      <c r="N150" s="21" t="s">
        <v>58</v>
      </c>
      <c r="O150" s="22" t="s">
        <v>63</v>
      </c>
      <c r="P150" s="20" t="s">
        <v>20</v>
      </c>
      <c r="Q150" s="21" t="s">
        <v>58</v>
      </c>
      <c r="R150" s="22" t="s">
        <v>63</v>
      </c>
    </row>
    <row r="151" spans="2:20">
      <c r="B151" s="78"/>
      <c r="C151" s="239"/>
      <c r="D151" s="26"/>
      <c r="E151" s="236"/>
      <c r="F151" s="240"/>
      <c r="G151" s="26"/>
      <c r="H151" s="26"/>
      <c r="I151" s="26"/>
    </row>
    <row r="152" spans="2:20" s="265" customFormat="1" ht="25.5">
      <c r="B152" s="231" t="s">
        <v>369</v>
      </c>
      <c r="C152" s="260"/>
      <c r="D152" s="261"/>
      <c r="E152" s="262"/>
      <c r="F152" s="263">
        <f t="shared" ref="F152:R152" si="100">SUM(F153:F155)</f>
        <v>9500</v>
      </c>
      <c r="G152" s="263">
        <f t="shared" si="100"/>
        <v>6500</v>
      </c>
      <c r="H152" s="263">
        <f t="shared" si="100"/>
        <v>0</v>
      </c>
      <c r="I152" s="263">
        <f t="shared" si="100"/>
        <v>0</v>
      </c>
      <c r="J152" s="263">
        <f t="shared" si="100"/>
        <v>1500</v>
      </c>
      <c r="K152" s="263">
        <f t="shared" si="100"/>
        <v>0</v>
      </c>
      <c r="L152" s="263">
        <f t="shared" si="100"/>
        <v>0</v>
      </c>
      <c r="M152" s="263">
        <f t="shared" si="100"/>
        <v>1500</v>
      </c>
      <c r="N152" s="263">
        <f t="shared" si="100"/>
        <v>0</v>
      </c>
      <c r="O152" s="263">
        <f t="shared" si="100"/>
        <v>0</v>
      </c>
      <c r="P152" s="263">
        <f t="shared" si="100"/>
        <v>9500</v>
      </c>
      <c r="Q152" s="263">
        <f t="shared" si="100"/>
        <v>0</v>
      </c>
      <c r="R152" s="263">
        <f t="shared" si="100"/>
        <v>0</v>
      </c>
      <c r="S152" s="370">
        <f>SUM(P152:R152)</f>
        <v>9500</v>
      </c>
      <c r="T152" s="370">
        <f>F152-S152</f>
        <v>0</v>
      </c>
    </row>
    <row r="153" spans="2:20" ht="12.6" customHeight="1">
      <c r="B153" s="191" t="s">
        <v>136</v>
      </c>
      <c r="C153" s="284">
        <v>3</v>
      </c>
      <c r="D153" s="187" t="s">
        <v>92</v>
      </c>
      <c r="E153" s="340">
        <v>1500</v>
      </c>
      <c r="F153" s="241">
        <f t="shared" ref="F153:F155" si="101">C153*E153</f>
        <v>4500</v>
      </c>
      <c r="G153" s="356">
        <v>1500</v>
      </c>
      <c r="H153" s="357">
        <v>0</v>
      </c>
      <c r="I153" s="357">
        <v>0</v>
      </c>
      <c r="J153" s="356">
        <v>1500</v>
      </c>
      <c r="K153" s="357">
        <v>0</v>
      </c>
      <c r="L153" s="357">
        <v>0</v>
      </c>
      <c r="M153" s="356">
        <v>1500</v>
      </c>
      <c r="N153" s="357">
        <v>0</v>
      </c>
      <c r="O153" s="357">
        <v>0</v>
      </c>
      <c r="P153" s="266">
        <f t="shared" ref="P153" si="102">G153+J153+M153</f>
        <v>4500</v>
      </c>
      <c r="Q153" s="266">
        <f t="shared" ref="Q153" si="103">H153+K153+N153</f>
        <v>0</v>
      </c>
      <c r="R153" s="266">
        <f t="shared" ref="R153" si="104">I153+L153+O153</f>
        <v>0</v>
      </c>
    </row>
    <row r="154" spans="2:20" ht="12.6" customHeight="1">
      <c r="B154" s="191" t="s">
        <v>245</v>
      </c>
      <c r="C154" s="285">
        <v>5</v>
      </c>
      <c r="D154" s="192" t="s">
        <v>80</v>
      </c>
      <c r="E154" s="337">
        <v>400</v>
      </c>
      <c r="F154" s="241">
        <f t="shared" si="101"/>
        <v>2000</v>
      </c>
      <c r="G154" s="356">
        <v>2000</v>
      </c>
      <c r="H154" s="357">
        <v>0</v>
      </c>
      <c r="I154" s="357">
        <v>0</v>
      </c>
      <c r="J154" s="356">
        <v>0</v>
      </c>
      <c r="K154" s="357">
        <v>0</v>
      </c>
      <c r="L154" s="357">
        <v>0</v>
      </c>
      <c r="M154" s="356">
        <v>0</v>
      </c>
      <c r="N154" s="357">
        <v>0</v>
      </c>
      <c r="O154" s="357">
        <v>0</v>
      </c>
      <c r="P154" s="266">
        <f t="shared" ref="P154:P155" si="105">G154+J154+M154</f>
        <v>2000</v>
      </c>
      <c r="Q154" s="266">
        <f t="shared" ref="Q154:Q155" si="106">H154+K154+N154</f>
        <v>0</v>
      </c>
      <c r="R154" s="266">
        <f t="shared" ref="R154:R155" si="107">I154+L154+O154</f>
        <v>0</v>
      </c>
    </row>
    <row r="155" spans="2:20" ht="12.6" customHeight="1">
      <c r="B155" s="189" t="s">
        <v>152</v>
      </c>
      <c r="C155" s="285">
        <v>30</v>
      </c>
      <c r="D155" s="192" t="s">
        <v>80</v>
      </c>
      <c r="E155" s="183">
        <v>100</v>
      </c>
      <c r="F155" s="241">
        <f t="shared" si="101"/>
        <v>3000</v>
      </c>
      <c r="G155" s="356">
        <v>3000</v>
      </c>
      <c r="H155" s="357">
        <v>0</v>
      </c>
      <c r="I155" s="357">
        <v>0</v>
      </c>
      <c r="J155" s="356">
        <v>0</v>
      </c>
      <c r="K155" s="357">
        <v>0</v>
      </c>
      <c r="L155" s="357">
        <v>0</v>
      </c>
      <c r="M155" s="356">
        <v>0</v>
      </c>
      <c r="N155" s="357">
        <v>0</v>
      </c>
      <c r="O155" s="357">
        <v>0</v>
      </c>
      <c r="P155" s="266">
        <f t="shared" si="105"/>
        <v>3000</v>
      </c>
      <c r="Q155" s="266">
        <f t="shared" si="106"/>
        <v>0</v>
      </c>
      <c r="R155" s="266">
        <f t="shared" si="107"/>
        <v>0</v>
      </c>
    </row>
    <row r="156" spans="2:20" s="265" customFormat="1" ht="25.5">
      <c r="B156" s="231" t="s">
        <v>129</v>
      </c>
      <c r="C156" s="260"/>
      <c r="D156" s="261"/>
      <c r="E156" s="262"/>
      <c r="F156" s="263">
        <f t="shared" ref="F156:R156" si="108">SUM(F157:F163)</f>
        <v>53760</v>
      </c>
      <c r="G156" s="263">
        <f t="shared" si="108"/>
        <v>20880</v>
      </c>
      <c r="H156" s="263">
        <f t="shared" si="108"/>
        <v>12000</v>
      </c>
      <c r="I156" s="263">
        <f t="shared" si="108"/>
        <v>0</v>
      </c>
      <c r="J156" s="263">
        <f t="shared" si="108"/>
        <v>20880</v>
      </c>
      <c r="K156" s="263">
        <f t="shared" si="108"/>
        <v>0</v>
      </c>
      <c r="L156" s="263">
        <f t="shared" si="108"/>
        <v>0</v>
      </c>
      <c r="M156" s="263">
        <f t="shared" si="108"/>
        <v>0</v>
      </c>
      <c r="N156" s="263">
        <f t="shared" si="108"/>
        <v>0</v>
      </c>
      <c r="O156" s="263">
        <f t="shared" si="108"/>
        <v>0</v>
      </c>
      <c r="P156" s="263">
        <f t="shared" si="108"/>
        <v>41760</v>
      </c>
      <c r="Q156" s="263">
        <f t="shared" si="108"/>
        <v>12000</v>
      </c>
      <c r="R156" s="263">
        <f t="shared" si="108"/>
        <v>0</v>
      </c>
      <c r="S156" s="370">
        <f>SUM(P156:R156)</f>
        <v>53760</v>
      </c>
      <c r="T156" s="370">
        <f>F156-S156</f>
        <v>0</v>
      </c>
    </row>
    <row r="157" spans="2:20" ht="12.6" customHeight="1">
      <c r="B157" s="189" t="s">
        <v>131</v>
      </c>
      <c r="C157" s="286">
        <v>8</v>
      </c>
      <c r="D157" s="190" t="s">
        <v>132</v>
      </c>
      <c r="E157" s="339">
        <v>1500</v>
      </c>
      <c r="F157" s="241">
        <f t="shared" ref="F157:F163" si="109">C157*E157</f>
        <v>12000</v>
      </c>
      <c r="G157" s="356">
        <v>0</v>
      </c>
      <c r="H157" s="357">
        <v>12000</v>
      </c>
      <c r="I157" s="357">
        <v>0</v>
      </c>
      <c r="J157" s="356">
        <v>0</v>
      </c>
      <c r="K157" s="357">
        <v>0</v>
      </c>
      <c r="L157" s="357">
        <v>0</v>
      </c>
      <c r="M157" s="356">
        <v>0</v>
      </c>
      <c r="N157" s="357">
        <v>0</v>
      </c>
      <c r="O157" s="357">
        <v>0</v>
      </c>
      <c r="P157" s="266">
        <f t="shared" ref="P157" si="110">G157+J157+M157</f>
        <v>0</v>
      </c>
      <c r="Q157" s="266">
        <f t="shared" ref="Q157" si="111">H157+K157+N157</f>
        <v>12000</v>
      </c>
      <c r="R157" s="266">
        <f t="shared" ref="R157" si="112">I157+L157+O157</f>
        <v>0</v>
      </c>
    </row>
    <row r="158" spans="2:20" ht="12.6" customHeight="1">
      <c r="B158" s="191" t="s">
        <v>277</v>
      </c>
      <c r="C158" s="284">
        <v>16</v>
      </c>
      <c r="D158" s="187" t="s">
        <v>134</v>
      </c>
      <c r="E158" s="340">
        <v>1320</v>
      </c>
      <c r="F158" s="241">
        <f t="shared" si="109"/>
        <v>21120</v>
      </c>
      <c r="G158" s="356">
        <v>10560</v>
      </c>
      <c r="H158" s="357">
        <v>0</v>
      </c>
      <c r="I158" s="357">
        <v>0</v>
      </c>
      <c r="J158" s="356">
        <v>10560</v>
      </c>
      <c r="K158" s="357">
        <v>0</v>
      </c>
      <c r="L158" s="357">
        <v>0</v>
      </c>
      <c r="M158" s="356">
        <v>0</v>
      </c>
      <c r="N158" s="357">
        <v>0</v>
      </c>
      <c r="O158" s="357">
        <v>0</v>
      </c>
      <c r="P158" s="266">
        <f t="shared" ref="P158:P163" si="113">G158+J158+M158</f>
        <v>21120</v>
      </c>
      <c r="Q158" s="266">
        <f t="shared" ref="Q158:Q163" si="114">H158+K158+N158</f>
        <v>0</v>
      </c>
      <c r="R158" s="266">
        <f t="shared" ref="R158:R163" si="115">I158+L158+O158</f>
        <v>0</v>
      </c>
    </row>
    <row r="159" spans="2:20" ht="12.6" customHeight="1">
      <c r="B159" s="191" t="s">
        <v>135</v>
      </c>
      <c r="C159" s="284">
        <v>16</v>
      </c>
      <c r="D159" s="187" t="s">
        <v>134</v>
      </c>
      <c r="E159" s="340">
        <v>400</v>
      </c>
      <c r="F159" s="241">
        <f t="shared" si="109"/>
        <v>6400</v>
      </c>
      <c r="G159" s="356">
        <v>3200</v>
      </c>
      <c r="H159" s="357">
        <v>0</v>
      </c>
      <c r="I159" s="357">
        <v>0</v>
      </c>
      <c r="J159" s="356">
        <v>3200</v>
      </c>
      <c r="K159" s="357">
        <v>0</v>
      </c>
      <c r="L159" s="357">
        <v>0</v>
      </c>
      <c r="M159" s="356">
        <v>0</v>
      </c>
      <c r="N159" s="357">
        <v>0</v>
      </c>
      <c r="O159" s="357">
        <v>0</v>
      </c>
      <c r="P159" s="266">
        <f t="shared" si="113"/>
        <v>6400</v>
      </c>
      <c r="Q159" s="266">
        <f t="shared" si="114"/>
        <v>0</v>
      </c>
      <c r="R159" s="266">
        <f t="shared" si="115"/>
        <v>0</v>
      </c>
    </row>
    <row r="160" spans="2:20" ht="12.6" customHeight="1">
      <c r="B160" s="191" t="s">
        <v>136</v>
      </c>
      <c r="C160" s="284">
        <v>2</v>
      </c>
      <c r="D160" s="187" t="s">
        <v>92</v>
      </c>
      <c r="E160" s="340">
        <v>1500</v>
      </c>
      <c r="F160" s="241">
        <f t="shared" si="109"/>
        <v>3000</v>
      </c>
      <c r="G160" s="356">
        <v>1500</v>
      </c>
      <c r="H160" s="357">
        <v>0</v>
      </c>
      <c r="I160" s="357">
        <v>0</v>
      </c>
      <c r="J160" s="356">
        <v>1500</v>
      </c>
      <c r="K160" s="357">
        <v>0</v>
      </c>
      <c r="L160" s="357">
        <v>0</v>
      </c>
      <c r="M160" s="356">
        <v>0</v>
      </c>
      <c r="N160" s="357">
        <v>0</v>
      </c>
      <c r="O160" s="357">
        <v>0</v>
      </c>
      <c r="P160" s="266">
        <f t="shared" si="113"/>
        <v>3000</v>
      </c>
      <c r="Q160" s="266">
        <f t="shared" si="114"/>
        <v>0</v>
      </c>
      <c r="R160" s="266">
        <f t="shared" si="115"/>
        <v>0</v>
      </c>
    </row>
    <row r="161" spans="2:20" ht="12.6" customHeight="1">
      <c r="B161" s="191" t="s">
        <v>137</v>
      </c>
      <c r="C161" s="284">
        <v>2</v>
      </c>
      <c r="D161" s="187" t="s">
        <v>92</v>
      </c>
      <c r="E161" s="340">
        <v>1000</v>
      </c>
      <c r="F161" s="241">
        <f t="shared" si="109"/>
        <v>2000</v>
      </c>
      <c r="G161" s="356">
        <v>1000</v>
      </c>
      <c r="H161" s="357">
        <v>0</v>
      </c>
      <c r="I161" s="357">
        <v>0</v>
      </c>
      <c r="J161" s="356">
        <v>1000</v>
      </c>
      <c r="K161" s="357">
        <v>0</v>
      </c>
      <c r="L161" s="357">
        <v>0</v>
      </c>
      <c r="M161" s="356">
        <v>0</v>
      </c>
      <c r="N161" s="357">
        <v>0</v>
      </c>
      <c r="O161" s="357">
        <v>0</v>
      </c>
      <c r="P161" s="266">
        <f t="shared" si="113"/>
        <v>2000</v>
      </c>
      <c r="Q161" s="266">
        <f t="shared" si="114"/>
        <v>0</v>
      </c>
      <c r="R161" s="266">
        <f t="shared" si="115"/>
        <v>0</v>
      </c>
    </row>
    <row r="162" spans="2:20" ht="12.6" customHeight="1">
      <c r="B162" s="305" t="s">
        <v>138</v>
      </c>
      <c r="C162" s="306">
        <v>44</v>
      </c>
      <c r="D162" s="187" t="s">
        <v>139</v>
      </c>
      <c r="E162" s="338">
        <v>90</v>
      </c>
      <c r="F162" s="241">
        <f t="shared" si="109"/>
        <v>3960</v>
      </c>
      <c r="G162" s="356">
        <v>1980</v>
      </c>
      <c r="H162" s="357">
        <v>0</v>
      </c>
      <c r="I162" s="357">
        <v>0</v>
      </c>
      <c r="J162" s="356">
        <v>1980</v>
      </c>
      <c r="K162" s="357">
        <v>0</v>
      </c>
      <c r="L162" s="357">
        <v>0</v>
      </c>
      <c r="M162" s="356">
        <v>0</v>
      </c>
      <c r="N162" s="357">
        <v>0</v>
      </c>
      <c r="O162" s="357">
        <v>0</v>
      </c>
      <c r="P162" s="266">
        <f t="shared" si="113"/>
        <v>3960</v>
      </c>
      <c r="Q162" s="266">
        <f t="shared" si="114"/>
        <v>0</v>
      </c>
      <c r="R162" s="266">
        <f t="shared" si="115"/>
        <v>0</v>
      </c>
    </row>
    <row r="163" spans="2:20" ht="12.6" customHeight="1">
      <c r="B163" s="189" t="s">
        <v>289</v>
      </c>
      <c r="C163" s="182">
        <v>44</v>
      </c>
      <c r="D163" s="190" t="s">
        <v>80</v>
      </c>
      <c r="E163" s="183">
        <v>120</v>
      </c>
      <c r="F163" s="241">
        <f t="shared" si="109"/>
        <v>5280</v>
      </c>
      <c r="G163" s="356">
        <v>2640</v>
      </c>
      <c r="H163" s="357">
        <v>0</v>
      </c>
      <c r="I163" s="357">
        <v>0</v>
      </c>
      <c r="J163" s="356">
        <v>2640</v>
      </c>
      <c r="K163" s="357">
        <v>0</v>
      </c>
      <c r="L163" s="357">
        <v>0</v>
      </c>
      <c r="M163" s="356">
        <v>0</v>
      </c>
      <c r="N163" s="357">
        <v>0</v>
      </c>
      <c r="O163" s="357">
        <v>0</v>
      </c>
      <c r="P163" s="266">
        <f t="shared" si="113"/>
        <v>5280</v>
      </c>
      <c r="Q163" s="266">
        <f t="shared" si="114"/>
        <v>0</v>
      </c>
      <c r="R163" s="266">
        <f t="shared" si="115"/>
        <v>0</v>
      </c>
    </row>
    <row r="164" spans="2:20" s="265" customFormat="1" ht="25.5">
      <c r="B164" s="231" t="s">
        <v>130</v>
      </c>
      <c r="C164" s="260"/>
      <c r="D164" s="261"/>
      <c r="E164" s="262"/>
      <c r="F164" s="263">
        <f t="shared" ref="F164:R164" si="116">SUM(F165:F165)</f>
        <v>500</v>
      </c>
      <c r="G164" s="263">
        <f t="shared" si="116"/>
        <v>0</v>
      </c>
      <c r="H164" s="263">
        <f t="shared" si="116"/>
        <v>0</v>
      </c>
      <c r="I164" s="263">
        <f t="shared" si="116"/>
        <v>0</v>
      </c>
      <c r="J164" s="263">
        <f t="shared" si="116"/>
        <v>250</v>
      </c>
      <c r="K164" s="263">
        <f t="shared" si="116"/>
        <v>0</v>
      </c>
      <c r="L164" s="263">
        <f t="shared" si="116"/>
        <v>0</v>
      </c>
      <c r="M164" s="263">
        <f t="shared" si="116"/>
        <v>250</v>
      </c>
      <c r="N164" s="263">
        <f t="shared" si="116"/>
        <v>0</v>
      </c>
      <c r="O164" s="263">
        <f t="shared" si="116"/>
        <v>0</v>
      </c>
      <c r="P164" s="263">
        <f t="shared" si="116"/>
        <v>500</v>
      </c>
      <c r="Q164" s="263">
        <f t="shared" si="116"/>
        <v>0</v>
      </c>
      <c r="R164" s="263">
        <f t="shared" si="116"/>
        <v>0</v>
      </c>
      <c r="S164" s="370">
        <f>SUM(P164:R164)</f>
        <v>500</v>
      </c>
      <c r="T164" s="370">
        <f>F164-S164</f>
        <v>0</v>
      </c>
    </row>
    <row r="165" spans="2:20" ht="12.6" customHeight="1">
      <c r="B165" s="191" t="s">
        <v>133</v>
      </c>
      <c r="C165" s="284">
        <v>2</v>
      </c>
      <c r="D165" s="187" t="s">
        <v>92</v>
      </c>
      <c r="E165" s="340">
        <v>250</v>
      </c>
      <c r="F165" s="241">
        <f>C165*E165</f>
        <v>500</v>
      </c>
      <c r="G165" s="356">
        <v>0</v>
      </c>
      <c r="H165" s="357">
        <v>0</v>
      </c>
      <c r="I165" s="357">
        <v>0</v>
      </c>
      <c r="J165" s="356">
        <v>250</v>
      </c>
      <c r="K165" s="357">
        <v>0</v>
      </c>
      <c r="L165" s="357">
        <v>0</v>
      </c>
      <c r="M165" s="356">
        <v>250</v>
      </c>
      <c r="N165" s="357">
        <v>0</v>
      </c>
      <c r="O165" s="357">
        <v>0</v>
      </c>
      <c r="P165" s="266">
        <f t="shared" ref="P165" si="117">G165+J165+M165</f>
        <v>500</v>
      </c>
      <c r="Q165" s="266">
        <f t="shared" ref="Q165" si="118">H165+K165+N165</f>
        <v>0</v>
      </c>
      <c r="R165" s="266">
        <f t="shared" ref="R165" si="119">I165+L165+O165</f>
        <v>0</v>
      </c>
    </row>
    <row r="166" spans="2:20" s="87" customFormat="1" ht="12.6" customHeight="1">
      <c r="B166" s="82" t="s">
        <v>22</v>
      </c>
      <c r="C166" s="242"/>
      <c r="D166" s="84"/>
      <c r="E166" s="243"/>
      <c r="F166" s="86">
        <f t="shared" ref="F166:R166" si="120">F152+F156+F164</f>
        <v>63760</v>
      </c>
      <c r="G166" s="86">
        <f t="shared" si="120"/>
        <v>27380</v>
      </c>
      <c r="H166" s="86">
        <f t="shared" si="120"/>
        <v>12000</v>
      </c>
      <c r="I166" s="86">
        <f t="shared" si="120"/>
        <v>0</v>
      </c>
      <c r="J166" s="86">
        <f t="shared" si="120"/>
        <v>22630</v>
      </c>
      <c r="K166" s="86">
        <f t="shared" si="120"/>
        <v>0</v>
      </c>
      <c r="L166" s="86">
        <f t="shared" si="120"/>
        <v>0</v>
      </c>
      <c r="M166" s="86">
        <f t="shared" si="120"/>
        <v>1750</v>
      </c>
      <c r="N166" s="86">
        <f t="shared" si="120"/>
        <v>0</v>
      </c>
      <c r="O166" s="86">
        <f t="shared" si="120"/>
        <v>0</v>
      </c>
      <c r="P166" s="86">
        <f t="shared" si="120"/>
        <v>51760</v>
      </c>
      <c r="Q166" s="86">
        <f t="shared" si="120"/>
        <v>12000</v>
      </c>
      <c r="R166" s="86">
        <f t="shared" si="120"/>
        <v>0</v>
      </c>
      <c r="S166" s="370">
        <f>SUM(P166:R166)</f>
        <v>63760</v>
      </c>
      <c r="T166" s="370">
        <f>F166-S166</f>
        <v>0</v>
      </c>
    </row>
    <row r="167" spans="2:20" ht="12.6" customHeight="1">
      <c r="B167" s="93"/>
      <c r="C167" s="248"/>
      <c r="D167" s="258"/>
      <c r="E167" s="248"/>
      <c r="F167" s="248"/>
      <c r="G167" s="93"/>
      <c r="H167" s="93"/>
      <c r="I167" s="93"/>
    </row>
    <row r="168" spans="2:20" ht="12.6" customHeight="1">
      <c r="B168" s="118" t="s">
        <v>68</v>
      </c>
      <c r="C168" s="234"/>
      <c r="D168" s="255"/>
      <c r="E168" s="234"/>
      <c r="F168" s="234"/>
      <c r="G168" s="72"/>
      <c r="H168" s="72"/>
      <c r="I168" s="72"/>
    </row>
    <row r="169" spans="2:20" ht="12.6" customHeight="1" thickBot="1">
      <c r="B169" s="71"/>
      <c r="C169" s="234"/>
      <c r="D169" s="255"/>
      <c r="E169" s="234"/>
      <c r="F169" s="234"/>
      <c r="G169" s="72"/>
      <c r="H169" s="72"/>
      <c r="I169" s="72"/>
    </row>
    <row r="170" spans="2:20" ht="90.75" customHeight="1" thickTop="1" thickBot="1">
      <c r="B170" s="565" t="s">
        <v>370</v>
      </c>
      <c r="C170" s="566"/>
      <c r="D170" s="566"/>
      <c r="E170" s="566"/>
      <c r="F170" s="566"/>
      <c r="G170" s="566"/>
      <c r="H170" s="566"/>
      <c r="I170" s="566"/>
      <c r="J170" s="566"/>
      <c r="K170" s="566"/>
      <c r="L170" s="566"/>
      <c r="M170" s="566"/>
      <c r="N170" s="566"/>
      <c r="O170" s="566"/>
      <c r="P170" s="566"/>
      <c r="Q170" s="566"/>
      <c r="R170" s="567"/>
    </row>
    <row r="171" spans="2:20" ht="56.25" customHeight="1" thickTop="1" thickBot="1">
      <c r="B171" s="565" t="s">
        <v>312</v>
      </c>
      <c r="C171" s="566"/>
      <c r="D171" s="566"/>
      <c r="E171" s="566"/>
      <c r="F171" s="566"/>
      <c r="G171" s="566"/>
      <c r="H171" s="566"/>
      <c r="I171" s="566"/>
      <c r="J171" s="566"/>
      <c r="K171" s="566"/>
      <c r="L171" s="566"/>
      <c r="M171" s="566"/>
      <c r="N171" s="566"/>
      <c r="O171" s="566"/>
      <c r="P171" s="566"/>
      <c r="Q171" s="566"/>
      <c r="R171" s="567"/>
    </row>
    <row r="172" spans="2:20" ht="116.25" customHeight="1" thickTop="1" thickBot="1">
      <c r="B172" s="565" t="s">
        <v>313</v>
      </c>
      <c r="C172" s="566"/>
      <c r="D172" s="566"/>
      <c r="E172" s="566"/>
      <c r="F172" s="566"/>
      <c r="G172" s="566"/>
      <c r="H172" s="566"/>
      <c r="I172" s="566"/>
      <c r="J172" s="566"/>
      <c r="K172" s="566"/>
      <c r="L172" s="566"/>
      <c r="M172" s="566"/>
      <c r="N172" s="566"/>
      <c r="O172" s="566"/>
      <c r="P172" s="566"/>
      <c r="Q172" s="566"/>
      <c r="R172" s="567"/>
    </row>
    <row r="173" spans="2:20" ht="56.25" customHeight="1" thickTop="1" thickBot="1">
      <c r="B173" s="565" t="s">
        <v>314</v>
      </c>
      <c r="C173" s="566"/>
      <c r="D173" s="566"/>
      <c r="E173" s="566"/>
      <c r="F173" s="566"/>
      <c r="G173" s="566"/>
      <c r="H173" s="566"/>
      <c r="I173" s="566"/>
      <c r="J173" s="566"/>
      <c r="K173" s="566"/>
      <c r="L173" s="566"/>
      <c r="M173" s="566"/>
      <c r="N173" s="566"/>
      <c r="O173" s="566"/>
      <c r="P173" s="566"/>
      <c r="Q173" s="566"/>
      <c r="R173" s="567"/>
    </row>
    <row r="174" spans="2:20" ht="78" customHeight="1" thickTop="1" thickBot="1">
      <c r="B174" s="565" t="s">
        <v>315</v>
      </c>
      <c r="C174" s="566"/>
      <c r="D174" s="566"/>
      <c r="E174" s="566"/>
      <c r="F174" s="566"/>
      <c r="G174" s="566"/>
      <c r="H174" s="566"/>
      <c r="I174" s="566"/>
      <c r="J174" s="566"/>
      <c r="K174" s="566"/>
      <c r="L174" s="566"/>
      <c r="M174" s="566"/>
      <c r="N174" s="566"/>
      <c r="O174" s="566"/>
      <c r="P174" s="566"/>
      <c r="Q174" s="566"/>
      <c r="R174" s="567"/>
    </row>
    <row r="175" spans="2:20" ht="12.6" customHeight="1" thickTop="1">
      <c r="B175" s="73"/>
      <c r="C175" s="235"/>
      <c r="D175" s="256"/>
      <c r="E175" s="235"/>
      <c r="F175" s="235"/>
      <c r="G175" s="72"/>
      <c r="H175" s="72"/>
      <c r="I175" s="72"/>
    </row>
    <row r="176" spans="2:20" ht="12.6" customHeight="1">
      <c r="B176" s="563"/>
      <c r="C176" s="563"/>
      <c r="D176" s="563"/>
      <c r="E176" s="236"/>
      <c r="F176" s="236"/>
      <c r="G176" s="556" t="s">
        <v>103</v>
      </c>
      <c r="H176" s="549"/>
      <c r="I176" s="549"/>
      <c r="J176" s="557" t="s">
        <v>104</v>
      </c>
      <c r="K176" s="551"/>
      <c r="L176" s="551"/>
      <c r="M176" s="556" t="s">
        <v>105</v>
      </c>
      <c r="N176" s="549"/>
      <c r="O176" s="549"/>
      <c r="P176" s="556" t="s">
        <v>107</v>
      </c>
      <c r="Q176" s="549"/>
      <c r="R176" s="549"/>
    </row>
    <row r="177" spans="2:20" ht="38.25" customHeight="1">
      <c r="B177" s="75" t="s">
        <v>1</v>
      </c>
      <c r="C177" s="76" t="s">
        <v>2</v>
      </c>
      <c r="D177" s="77" t="s">
        <v>3</v>
      </c>
      <c r="E177" s="77" t="s">
        <v>0</v>
      </c>
      <c r="F177" s="77" t="s">
        <v>6</v>
      </c>
      <c r="G177" s="20" t="s">
        <v>20</v>
      </c>
      <c r="H177" s="21" t="s">
        <v>58</v>
      </c>
      <c r="I177" s="22" t="s">
        <v>63</v>
      </c>
      <c r="J177" s="20" t="s">
        <v>20</v>
      </c>
      <c r="K177" s="21" t="s">
        <v>58</v>
      </c>
      <c r="L177" s="22" t="s">
        <v>63</v>
      </c>
      <c r="M177" s="20" t="s">
        <v>20</v>
      </c>
      <c r="N177" s="21" t="s">
        <v>58</v>
      </c>
      <c r="O177" s="22" t="s">
        <v>63</v>
      </c>
      <c r="P177" s="20" t="s">
        <v>20</v>
      </c>
      <c r="Q177" s="21" t="s">
        <v>58</v>
      </c>
      <c r="R177" s="22" t="s">
        <v>63</v>
      </c>
    </row>
    <row r="178" spans="2:20">
      <c r="B178" s="78"/>
      <c r="C178" s="239"/>
      <c r="D178" s="26"/>
      <c r="E178" s="236"/>
      <c r="F178" s="240"/>
      <c r="G178" s="26"/>
      <c r="H178" s="26"/>
      <c r="I178" s="26"/>
    </row>
    <row r="179" spans="2:20" s="265" customFormat="1" ht="45" customHeight="1">
      <c r="B179" s="231" t="s">
        <v>366</v>
      </c>
      <c r="C179" s="260"/>
      <c r="D179" s="261"/>
      <c r="E179" s="262"/>
      <c r="F179" s="264">
        <f t="shared" ref="F179:R179" si="121">SUM(F180:F184)</f>
        <v>19950</v>
      </c>
      <c r="G179" s="264">
        <f t="shared" si="121"/>
        <v>19950</v>
      </c>
      <c r="H179" s="264">
        <f t="shared" si="121"/>
        <v>0</v>
      </c>
      <c r="I179" s="264">
        <f t="shared" si="121"/>
        <v>0</v>
      </c>
      <c r="J179" s="264">
        <f t="shared" si="121"/>
        <v>0</v>
      </c>
      <c r="K179" s="264">
        <f t="shared" si="121"/>
        <v>0</v>
      </c>
      <c r="L179" s="264">
        <f t="shared" si="121"/>
        <v>0</v>
      </c>
      <c r="M179" s="264">
        <f t="shared" si="121"/>
        <v>0</v>
      </c>
      <c r="N179" s="264">
        <f t="shared" si="121"/>
        <v>0</v>
      </c>
      <c r="O179" s="264">
        <f t="shared" si="121"/>
        <v>0</v>
      </c>
      <c r="P179" s="264">
        <f t="shared" si="121"/>
        <v>19950</v>
      </c>
      <c r="Q179" s="264">
        <f t="shared" si="121"/>
        <v>0</v>
      </c>
      <c r="R179" s="264">
        <f t="shared" si="121"/>
        <v>0</v>
      </c>
      <c r="S179" s="370">
        <f>SUM(P179:R179)</f>
        <v>19950</v>
      </c>
      <c r="T179" s="370">
        <f>F179-S179</f>
        <v>0</v>
      </c>
    </row>
    <row r="180" spans="2:20" ht="12.6" customHeight="1">
      <c r="B180" s="191" t="s">
        <v>250</v>
      </c>
      <c r="C180" s="307">
        <v>4</v>
      </c>
      <c r="D180" s="308" t="s">
        <v>220</v>
      </c>
      <c r="E180" s="341">
        <v>500</v>
      </c>
      <c r="F180" s="241">
        <f t="shared" ref="F180:F184" si="122">C180*E180</f>
        <v>2000</v>
      </c>
      <c r="G180" s="356">
        <v>2000</v>
      </c>
      <c r="H180" s="357">
        <v>0</v>
      </c>
      <c r="I180" s="357">
        <v>0</v>
      </c>
      <c r="J180" s="356">
        <v>0</v>
      </c>
      <c r="K180" s="357">
        <v>0</v>
      </c>
      <c r="L180" s="357">
        <v>0</v>
      </c>
      <c r="M180" s="356">
        <v>0</v>
      </c>
      <c r="N180" s="357">
        <v>0</v>
      </c>
      <c r="O180" s="357">
        <v>0</v>
      </c>
      <c r="P180" s="266">
        <f t="shared" ref="P180" si="123">G180+J180+M180</f>
        <v>2000</v>
      </c>
      <c r="Q180" s="266">
        <f t="shared" ref="Q180" si="124">H180+K180+N180</f>
        <v>0</v>
      </c>
      <c r="R180" s="266">
        <f t="shared" ref="R180" si="125">I180+L180+O180</f>
        <v>0</v>
      </c>
    </row>
    <row r="181" spans="2:20" ht="12.6" customHeight="1">
      <c r="B181" s="191" t="s">
        <v>286</v>
      </c>
      <c r="C181" s="307">
        <v>4</v>
      </c>
      <c r="D181" s="308" t="s">
        <v>220</v>
      </c>
      <c r="E181" s="341">
        <v>4000</v>
      </c>
      <c r="F181" s="241">
        <f t="shared" si="122"/>
        <v>16000</v>
      </c>
      <c r="G181" s="356">
        <v>16000</v>
      </c>
      <c r="H181" s="357">
        <v>0</v>
      </c>
      <c r="I181" s="357">
        <v>0</v>
      </c>
      <c r="J181" s="356">
        <v>0</v>
      </c>
      <c r="K181" s="357">
        <v>0</v>
      </c>
      <c r="L181" s="357">
        <v>0</v>
      </c>
      <c r="M181" s="356">
        <v>0</v>
      </c>
      <c r="N181" s="357">
        <v>0</v>
      </c>
      <c r="O181" s="357">
        <v>0</v>
      </c>
      <c r="P181" s="266">
        <f t="shared" ref="P181:P184" si="126">G181+J181+M181</f>
        <v>16000</v>
      </c>
      <c r="Q181" s="266">
        <f t="shared" ref="Q181:Q184" si="127">H181+K181+N181</f>
        <v>0</v>
      </c>
      <c r="R181" s="266">
        <f t="shared" ref="R181:R184" si="128">I181+L181+O181</f>
        <v>0</v>
      </c>
    </row>
    <row r="182" spans="2:20" ht="12.6" customHeight="1">
      <c r="B182" s="191" t="s">
        <v>278</v>
      </c>
      <c r="C182" s="309">
        <v>6</v>
      </c>
      <c r="D182" s="308" t="s">
        <v>79</v>
      </c>
      <c r="E182" s="341">
        <v>150</v>
      </c>
      <c r="F182" s="241">
        <f t="shared" si="122"/>
        <v>900</v>
      </c>
      <c r="G182" s="356">
        <v>900.00000000000011</v>
      </c>
      <c r="H182" s="357">
        <v>0</v>
      </c>
      <c r="I182" s="357">
        <v>0</v>
      </c>
      <c r="J182" s="356">
        <v>0</v>
      </c>
      <c r="K182" s="357">
        <v>0</v>
      </c>
      <c r="L182" s="357">
        <v>0</v>
      </c>
      <c r="M182" s="356">
        <v>0</v>
      </c>
      <c r="N182" s="357">
        <v>0</v>
      </c>
      <c r="O182" s="357">
        <v>0</v>
      </c>
      <c r="P182" s="266">
        <f t="shared" si="126"/>
        <v>900.00000000000011</v>
      </c>
      <c r="Q182" s="266">
        <f t="shared" si="127"/>
        <v>0</v>
      </c>
      <c r="R182" s="266">
        <f t="shared" si="128"/>
        <v>0</v>
      </c>
    </row>
    <row r="183" spans="2:20" ht="12.6" customHeight="1">
      <c r="B183" s="191" t="s">
        <v>279</v>
      </c>
      <c r="C183" s="309">
        <v>3</v>
      </c>
      <c r="D183" s="308" t="s">
        <v>146</v>
      </c>
      <c r="E183" s="341">
        <v>50</v>
      </c>
      <c r="F183" s="241">
        <f t="shared" si="122"/>
        <v>150</v>
      </c>
      <c r="G183" s="356">
        <v>150</v>
      </c>
      <c r="H183" s="357">
        <v>0</v>
      </c>
      <c r="I183" s="357">
        <v>0</v>
      </c>
      <c r="J183" s="356">
        <v>0</v>
      </c>
      <c r="K183" s="357">
        <v>0</v>
      </c>
      <c r="L183" s="357">
        <v>0</v>
      </c>
      <c r="M183" s="356">
        <v>0</v>
      </c>
      <c r="N183" s="357">
        <v>0</v>
      </c>
      <c r="O183" s="357">
        <v>0</v>
      </c>
      <c r="P183" s="266">
        <f t="shared" si="126"/>
        <v>150</v>
      </c>
      <c r="Q183" s="266">
        <f t="shared" si="127"/>
        <v>0</v>
      </c>
      <c r="R183" s="266">
        <f t="shared" si="128"/>
        <v>0</v>
      </c>
    </row>
    <row r="184" spans="2:20" ht="12.6" customHeight="1">
      <c r="B184" s="189" t="s">
        <v>280</v>
      </c>
      <c r="C184" s="182">
        <v>9</v>
      </c>
      <c r="D184" s="190" t="s">
        <v>146</v>
      </c>
      <c r="E184" s="183">
        <v>100</v>
      </c>
      <c r="F184" s="241">
        <f t="shared" si="122"/>
        <v>900</v>
      </c>
      <c r="G184" s="356">
        <v>900.00000000000011</v>
      </c>
      <c r="H184" s="357">
        <v>0</v>
      </c>
      <c r="I184" s="357">
        <v>0</v>
      </c>
      <c r="J184" s="356">
        <v>0</v>
      </c>
      <c r="K184" s="357">
        <v>0</v>
      </c>
      <c r="L184" s="357">
        <v>0</v>
      </c>
      <c r="M184" s="356">
        <v>0</v>
      </c>
      <c r="N184" s="357">
        <v>0</v>
      </c>
      <c r="O184" s="357">
        <v>0</v>
      </c>
      <c r="P184" s="266">
        <f t="shared" si="126"/>
        <v>900.00000000000011</v>
      </c>
      <c r="Q184" s="266">
        <f t="shared" si="127"/>
        <v>0</v>
      </c>
      <c r="R184" s="266">
        <f t="shared" si="128"/>
        <v>0</v>
      </c>
    </row>
    <row r="185" spans="2:20" s="265" customFormat="1" ht="45" customHeight="1">
      <c r="B185" s="231" t="s">
        <v>299</v>
      </c>
      <c r="C185" s="260"/>
      <c r="D185" s="261"/>
      <c r="E185" s="262"/>
      <c r="F185" s="264">
        <f t="shared" ref="F185:R185" si="129">SUM(F186:F187)</f>
        <v>25800</v>
      </c>
      <c r="G185" s="264">
        <f t="shared" si="129"/>
        <v>25800</v>
      </c>
      <c r="H185" s="264">
        <f t="shared" si="129"/>
        <v>0</v>
      </c>
      <c r="I185" s="264">
        <f t="shared" si="129"/>
        <v>0</v>
      </c>
      <c r="J185" s="264">
        <f t="shared" si="129"/>
        <v>0</v>
      </c>
      <c r="K185" s="264">
        <f t="shared" si="129"/>
        <v>0</v>
      </c>
      <c r="L185" s="264">
        <f t="shared" si="129"/>
        <v>0</v>
      </c>
      <c r="M185" s="264">
        <f t="shared" si="129"/>
        <v>0</v>
      </c>
      <c r="N185" s="264">
        <f t="shared" si="129"/>
        <v>0</v>
      </c>
      <c r="O185" s="264">
        <f t="shared" si="129"/>
        <v>0</v>
      </c>
      <c r="P185" s="264">
        <f t="shared" si="129"/>
        <v>25800</v>
      </c>
      <c r="Q185" s="264">
        <f t="shared" si="129"/>
        <v>0</v>
      </c>
      <c r="R185" s="264">
        <f t="shared" si="129"/>
        <v>0</v>
      </c>
      <c r="S185" s="370">
        <f>SUM(P185:R185)</f>
        <v>25800</v>
      </c>
      <c r="T185" s="370">
        <f>F185-S185</f>
        <v>0</v>
      </c>
    </row>
    <row r="186" spans="2:20" ht="12.6" customHeight="1">
      <c r="B186" s="189" t="s">
        <v>246</v>
      </c>
      <c r="C186" s="286">
        <v>4</v>
      </c>
      <c r="D186" s="190" t="s">
        <v>248</v>
      </c>
      <c r="E186" s="339">
        <v>6000</v>
      </c>
      <c r="F186" s="241">
        <f t="shared" ref="F186:F187" si="130">C186*E186</f>
        <v>24000</v>
      </c>
      <c r="G186" s="356">
        <v>24000</v>
      </c>
      <c r="H186" s="357">
        <v>0</v>
      </c>
      <c r="I186" s="357">
        <v>0</v>
      </c>
      <c r="J186" s="356">
        <v>0</v>
      </c>
      <c r="K186" s="357">
        <v>0</v>
      </c>
      <c r="L186" s="357">
        <v>0</v>
      </c>
      <c r="M186" s="356">
        <v>0</v>
      </c>
      <c r="N186" s="357">
        <v>0</v>
      </c>
      <c r="O186" s="357">
        <v>0</v>
      </c>
      <c r="P186" s="266">
        <f t="shared" ref="P186" si="131">G186+J186+M186</f>
        <v>24000</v>
      </c>
      <c r="Q186" s="266">
        <f t="shared" ref="Q186" si="132">H186+K186+N186</f>
        <v>0</v>
      </c>
      <c r="R186" s="266">
        <f t="shared" ref="R186" si="133">I186+L186+O186</f>
        <v>0</v>
      </c>
    </row>
    <row r="187" spans="2:20" ht="12.6" customHeight="1">
      <c r="B187" s="312" t="s">
        <v>290</v>
      </c>
      <c r="C187" s="286">
        <v>12</v>
      </c>
      <c r="D187" s="190" t="s">
        <v>249</v>
      </c>
      <c r="E187" s="339">
        <v>150</v>
      </c>
      <c r="F187" s="241">
        <f t="shared" si="130"/>
        <v>1800</v>
      </c>
      <c r="G187" s="356">
        <v>1800.0000000000002</v>
      </c>
      <c r="H187" s="357">
        <v>0</v>
      </c>
      <c r="I187" s="357">
        <v>0</v>
      </c>
      <c r="J187" s="356">
        <v>0</v>
      </c>
      <c r="K187" s="357">
        <v>0</v>
      </c>
      <c r="L187" s="357">
        <v>0</v>
      </c>
      <c r="M187" s="356">
        <v>0</v>
      </c>
      <c r="N187" s="357">
        <v>0</v>
      </c>
      <c r="O187" s="357">
        <v>0</v>
      </c>
      <c r="P187" s="266">
        <f t="shared" ref="P187" si="134">G187+J187+M187</f>
        <v>1800.0000000000002</v>
      </c>
      <c r="Q187" s="266">
        <f t="shared" ref="Q187" si="135">H187+K187+N187</f>
        <v>0</v>
      </c>
      <c r="R187" s="266">
        <f t="shared" ref="R187" si="136">I187+L187+O187</f>
        <v>0</v>
      </c>
    </row>
    <row r="188" spans="2:20" s="265" customFormat="1" ht="45" customHeight="1">
      <c r="B188" s="231" t="s">
        <v>224</v>
      </c>
      <c r="C188" s="260"/>
      <c r="D188" s="261"/>
      <c r="E188" s="262"/>
      <c r="F188" s="264">
        <f t="shared" ref="F188:R188" si="137">SUM(F189:F197)</f>
        <v>66800</v>
      </c>
      <c r="G188" s="264">
        <f t="shared" si="137"/>
        <v>34200</v>
      </c>
      <c r="H188" s="264">
        <f t="shared" si="137"/>
        <v>0</v>
      </c>
      <c r="I188" s="264">
        <f t="shared" si="137"/>
        <v>0</v>
      </c>
      <c r="J188" s="264">
        <f t="shared" si="137"/>
        <v>32600</v>
      </c>
      <c r="K188" s="264">
        <f t="shared" si="137"/>
        <v>0</v>
      </c>
      <c r="L188" s="264">
        <f t="shared" si="137"/>
        <v>0</v>
      </c>
      <c r="M188" s="264">
        <f t="shared" si="137"/>
        <v>0</v>
      </c>
      <c r="N188" s="264">
        <f t="shared" si="137"/>
        <v>0</v>
      </c>
      <c r="O188" s="264">
        <f t="shared" si="137"/>
        <v>0</v>
      </c>
      <c r="P188" s="264">
        <f t="shared" si="137"/>
        <v>66800</v>
      </c>
      <c r="Q188" s="264">
        <f t="shared" si="137"/>
        <v>0</v>
      </c>
      <c r="R188" s="264">
        <f t="shared" si="137"/>
        <v>0</v>
      </c>
      <c r="S188" s="370">
        <f>SUM(P188:R188)</f>
        <v>66800</v>
      </c>
      <c r="T188" s="370">
        <f>F188-S188</f>
        <v>0</v>
      </c>
    </row>
    <row r="189" spans="2:20" ht="12.6" customHeight="1">
      <c r="B189" s="189" t="s">
        <v>149</v>
      </c>
      <c r="C189" s="286">
        <v>2</v>
      </c>
      <c r="D189" s="190" t="s">
        <v>150</v>
      </c>
      <c r="E189" s="339">
        <v>5000</v>
      </c>
      <c r="F189" s="241">
        <f t="shared" ref="F189:F197" si="138">C189*E189</f>
        <v>10000</v>
      </c>
      <c r="G189" s="356">
        <v>5000</v>
      </c>
      <c r="H189" s="357">
        <v>0</v>
      </c>
      <c r="I189" s="357">
        <v>0</v>
      </c>
      <c r="J189" s="356">
        <v>5000</v>
      </c>
      <c r="K189" s="357">
        <v>0</v>
      </c>
      <c r="L189" s="357">
        <v>0</v>
      </c>
      <c r="M189" s="356">
        <v>0</v>
      </c>
      <c r="N189" s="357">
        <v>0</v>
      </c>
      <c r="O189" s="357">
        <v>0</v>
      </c>
      <c r="P189" s="266">
        <f t="shared" ref="P189" si="139">G189+J189+M189</f>
        <v>10000</v>
      </c>
      <c r="Q189" s="266">
        <f t="shared" ref="Q189" si="140">H189+K189+N189</f>
        <v>0</v>
      </c>
      <c r="R189" s="266">
        <f t="shared" ref="R189" si="141">I189+L189+O189</f>
        <v>0</v>
      </c>
    </row>
    <row r="190" spans="2:20" ht="12.6" customHeight="1">
      <c r="B190" s="189" t="s">
        <v>282</v>
      </c>
      <c r="C190" s="286">
        <v>40</v>
      </c>
      <c r="D190" s="190" t="s">
        <v>134</v>
      </c>
      <c r="E190" s="339">
        <v>300</v>
      </c>
      <c r="F190" s="241">
        <f t="shared" si="138"/>
        <v>12000</v>
      </c>
      <c r="G190" s="356">
        <v>6000</v>
      </c>
      <c r="H190" s="357">
        <v>0</v>
      </c>
      <c r="I190" s="357">
        <v>0</v>
      </c>
      <c r="J190" s="356">
        <v>6000</v>
      </c>
      <c r="K190" s="357">
        <v>0</v>
      </c>
      <c r="L190" s="357">
        <v>0</v>
      </c>
      <c r="M190" s="356">
        <v>0</v>
      </c>
      <c r="N190" s="357">
        <v>0</v>
      </c>
      <c r="O190" s="357">
        <v>0</v>
      </c>
      <c r="P190" s="266">
        <f t="shared" ref="P190:P194" si="142">G190+J190+M190</f>
        <v>12000</v>
      </c>
      <c r="Q190" s="266">
        <f t="shared" ref="Q190:Q194" si="143">H190+K190+N190</f>
        <v>0</v>
      </c>
      <c r="R190" s="266">
        <f t="shared" ref="R190:R194" si="144">I190+L190+O190</f>
        <v>0</v>
      </c>
    </row>
    <row r="191" spans="2:20" ht="12.6" customHeight="1">
      <c r="B191" s="189" t="s">
        <v>251</v>
      </c>
      <c r="C191" s="286">
        <v>40</v>
      </c>
      <c r="D191" s="190" t="s">
        <v>148</v>
      </c>
      <c r="E191" s="339">
        <v>20</v>
      </c>
      <c r="F191" s="241">
        <f t="shared" si="138"/>
        <v>800</v>
      </c>
      <c r="G191" s="356">
        <v>800</v>
      </c>
      <c r="H191" s="357">
        <v>0</v>
      </c>
      <c r="I191" s="357">
        <v>0</v>
      </c>
      <c r="J191" s="356">
        <v>0</v>
      </c>
      <c r="K191" s="357">
        <v>0</v>
      </c>
      <c r="L191" s="357">
        <v>0</v>
      </c>
      <c r="M191" s="356">
        <v>0</v>
      </c>
      <c r="N191" s="357">
        <v>0</v>
      </c>
      <c r="O191" s="357">
        <v>0</v>
      </c>
      <c r="P191" s="266">
        <f t="shared" si="142"/>
        <v>800</v>
      </c>
      <c r="Q191" s="266">
        <f t="shared" si="143"/>
        <v>0</v>
      </c>
      <c r="R191" s="266">
        <f t="shared" si="144"/>
        <v>0</v>
      </c>
    </row>
    <row r="192" spans="2:20" ht="12.6" customHeight="1">
      <c r="B192" s="194" t="s">
        <v>281</v>
      </c>
      <c r="C192" s="286">
        <v>40</v>
      </c>
      <c r="D192" s="195" t="s">
        <v>140</v>
      </c>
      <c r="E192" s="361">
        <v>500</v>
      </c>
      <c r="F192" s="241">
        <f t="shared" si="138"/>
        <v>20000</v>
      </c>
      <c r="G192" s="356">
        <v>10000</v>
      </c>
      <c r="H192" s="357">
        <v>0</v>
      </c>
      <c r="I192" s="357">
        <v>0</v>
      </c>
      <c r="J192" s="356">
        <v>10000</v>
      </c>
      <c r="K192" s="357">
        <v>0</v>
      </c>
      <c r="L192" s="357">
        <v>0</v>
      </c>
      <c r="M192" s="356">
        <v>0</v>
      </c>
      <c r="N192" s="357">
        <v>0</v>
      </c>
      <c r="O192" s="357">
        <v>0</v>
      </c>
      <c r="P192" s="266">
        <f t="shared" si="142"/>
        <v>20000</v>
      </c>
      <c r="Q192" s="266">
        <f t="shared" si="143"/>
        <v>0</v>
      </c>
      <c r="R192" s="266">
        <f t="shared" si="144"/>
        <v>0</v>
      </c>
    </row>
    <row r="193" spans="2:20" ht="12.6" customHeight="1">
      <c r="B193" s="189" t="s">
        <v>283</v>
      </c>
      <c r="C193" s="286">
        <v>24</v>
      </c>
      <c r="D193" s="190" t="s">
        <v>134</v>
      </c>
      <c r="E193" s="339">
        <v>300</v>
      </c>
      <c r="F193" s="241">
        <f t="shared" si="138"/>
        <v>7200</v>
      </c>
      <c r="G193" s="356">
        <v>3600.0000000000005</v>
      </c>
      <c r="H193" s="357">
        <v>0</v>
      </c>
      <c r="I193" s="357">
        <v>0</v>
      </c>
      <c r="J193" s="356">
        <v>3600.0000000000005</v>
      </c>
      <c r="K193" s="357">
        <v>0</v>
      </c>
      <c r="L193" s="357">
        <v>0</v>
      </c>
      <c r="M193" s="356">
        <v>0</v>
      </c>
      <c r="N193" s="357">
        <v>0</v>
      </c>
      <c r="O193" s="357">
        <v>0</v>
      </c>
      <c r="P193" s="266">
        <f t="shared" si="142"/>
        <v>7200.0000000000009</v>
      </c>
      <c r="Q193" s="266">
        <f t="shared" si="143"/>
        <v>0</v>
      </c>
      <c r="R193" s="266">
        <f t="shared" si="144"/>
        <v>0</v>
      </c>
    </row>
    <row r="194" spans="2:20" ht="12.6" customHeight="1">
      <c r="B194" s="189" t="s">
        <v>252</v>
      </c>
      <c r="C194" s="286">
        <v>40</v>
      </c>
      <c r="D194" s="190" t="s">
        <v>148</v>
      </c>
      <c r="E194" s="339">
        <v>20</v>
      </c>
      <c r="F194" s="241">
        <f t="shared" si="138"/>
        <v>800</v>
      </c>
      <c r="G194" s="356">
        <v>800</v>
      </c>
      <c r="H194" s="357">
        <v>0</v>
      </c>
      <c r="I194" s="357">
        <v>0</v>
      </c>
      <c r="J194" s="356">
        <v>0</v>
      </c>
      <c r="K194" s="357">
        <v>0</v>
      </c>
      <c r="L194" s="357">
        <v>0</v>
      </c>
      <c r="M194" s="356">
        <v>0</v>
      </c>
      <c r="N194" s="357">
        <v>0</v>
      </c>
      <c r="O194" s="357">
        <v>0</v>
      </c>
      <c r="P194" s="266">
        <f t="shared" si="142"/>
        <v>800</v>
      </c>
      <c r="Q194" s="266">
        <f t="shared" si="143"/>
        <v>0</v>
      </c>
      <c r="R194" s="266">
        <f t="shared" si="144"/>
        <v>0</v>
      </c>
    </row>
    <row r="195" spans="2:20" ht="15" customHeight="1">
      <c r="B195" s="194" t="s">
        <v>284</v>
      </c>
      <c r="C195" s="286">
        <v>24</v>
      </c>
      <c r="D195" s="195" t="s">
        <v>140</v>
      </c>
      <c r="E195" s="361">
        <v>500</v>
      </c>
      <c r="F195" s="241">
        <f t="shared" si="138"/>
        <v>12000</v>
      </c>
      <c r="G195" s="356">
        <v>6000</v>
      </c>
      <c r="H195" s="357">
        <v>0</v>
      </c>
      <c r="I195" s="357">
        <v>0</v>
      </c>
      <c r="J195" s="356">
        <v>6000</v>
      </c>
      <c r="K195" s="357">
        <v>0</v>
      </c>
      <c r="L195" s="357">
        <v>0</v>
      </c>
      <c r="M195" s="356">
        <v>0</v>
      </c>
      <c r="N195" s="357">
        <v>0</v>
      </c>
      <c r="O195" s="357">
        <v>0</v>
      </c>
      <c r="P195" s="266">
        <f t="shared" ref="P195:P197" si="145">G195+J195+M195</f>
        <v>12000</v>
      </c>
      <c r="Q195" s="266">
        <f t="shared" ref="Q195:Q197" si="146">H195+K195+N195</f>
        <v>0</v>
      </c>
      <c r="R195" s="266">
        <f t="shared" ref="R195:R197" si="147">I195+L195+O195</f>
        <v>0</v>
      </c>
    </row>
    <row r="196" spans="2:20" ht="12.6" customHeight="1">
      <c r="B196" s="189" t="s">
        <v>151</v>
      </c>
      <c r="C196" s="286">
        <v>2</v>
      </c>
      <c r="D196" s="190" t="s">
        <v>92</v>
      </c>
      <c r="E196" s="339">
        <v>1000</v>
      </c>
      <c r="F196" s="241">
        <f t="shared" si="138"/>
        <v>2000</v>
      </c>
      <c r="G196" s="356">
        <v>1000</v>
      </c>
      <c r="H196" s="357">
        <v>0</v>
      </c>
      <c r="I196" s="357">
        <v>0</v>
      </c>
      <c r="J196" s="356">
        <v>1000</v>
      </c>
      <c r="K196" s="357">
        <v>0</v>
      </c>
      <c r="L196" s="357">
        <v>0</v>
      </c>
      <c r="M196" s="356">
        <v>0</v>
      </c>
      <c r="N196" s="357">
        <v>0</v>
      </c>
      <c r="O196" s="357">
        <v>0</v>
      </c>
      <c r="P196" s="266">
        <f t="shared" si="145"/>
        <v>2000</v>
      </c>
      <c r="Q196" s="266">
        <f t="shared" si="146"/>
        <v>0</v>
      </c>
      <c r="R196" s="266">
        <f t="shared" si="147"/>
        <v>0</v>
      </c>
    </row>
    <row r="197" spans="2:20" ht="12.6" customHeight="1">
      <c r="B197" s="189" t="s">
        <v>145</v>
      </c>
      <c r="C197" s="286">
        <v>2</v>
      </c>
      <c r="D197" s="190" t="s">
        <v>92</v>
      </c>
      <c r="E197" s="339">
        <v>1000</v>
      </c>
      <c r="F197" s="241">
        <f t="shared" si="138"/>
        <v>2000</v>
      </c>
      <c r="G197" s="356">
        <v>1000</v>
      </c>
      <c r="H197" s="357">
        <v>0</v>
      </c>
      <c r="I197" s="357">
        <v>0</v>
      </c>
      <c r="J197" s="356">
        <v>1000</v>
      </c>
      <c r="K197" s="357">
        <v>0</v>
      </c>
      <c r="L197" s="357">
        <v>0</v>
      </c>
      <c r="M197" s="356">
        <v>0</v>
      </c>
      <c r="N197" s="357">
        <v>0</v>
      </c>
      <c r="O197" s="357">
        <v>0</v>
      </c>
      <c r="P197" s="266">
        <f t="shared" si="145"/>
        <v>2000</v>
      </c>
      <c r="Q197" s="266">
        <f t="shared" si="146"/>
        <v>0</v>
      </c>
      <c r="R197" s="266">
        <f t="shared" si="147"/>
        <v>0</v>
      </c>
    </row>
    <row r="198" spans="2:20" s="265" customFormat="1" ht="45" customHeight="1">
      <c r="B198" s="231" t="s">
        <v>225</v>
      </c>
      <c r="C198" s="260"/>
      <c r="D198" s="261"/>
      <c r="E198" s="262"/>
      <c r="F198" s="264">
        <f t="shared" ref="F198:R198" si="148">SUM(F199:F209)</f>
        <v>86700</v>
      </c>
      <c r="G198" s="264">
        <f t="shared" si="148"/>
        <v>26200</v>
      </c>
      <c r="H198" s="264">
        <f t="shared" si="148"/>
        <v>0</v>
      </c>
      <c r="I198" s="264">
        <f t="shared" si="148"/>
        <v>0</v>
      </c>
      <c r="J198" s="264">
        <f t="shared" si="148"/>
        <v>43800</v>
      </c>
      <c r="K198" s="264">
        <f t="shared" si="148"/>
        <v>0</v>
      </c>
      <c r="L198" s="264">
        <f t="shared" si="148"/>
        <v>0</v>
      </c>
      <c r="M198" s="264">
        <f t="shared" si="148"/>
        <v>16700</v>
      </c>
      <c r="N198" s="264">
        <f t="shared" si="148"/>
        <v>0</v>
      </c>
      <c r="O198" s="264">
        <f t="shared" si="148"/>
        <v>0</v>
      </c>
      <c r="P198" s="264">
        <f t="shared" si="148"/>
        <v>86700</v>
      </c>
      <c r="Q198" s="264">
        <f t="shared" si="148"/>
        <v>0</v>
      </c>
      <c r="R198" s="264">
        <f t="shared" si="148"/>
        <v>0</v>
      </c>
      <c r="S198" s="370">
        <f>SUM(P198:R198)</f>
        <v>86700</v>
      </c>
      <c r="T198" s="370">
        <f>F198-S198</f>
        <v>0</v>
      </c>
    </row>
    <row r="199" spans="2:20" ht="12.6" customHeight="1">
      <c r="B199" s="291" t="s">
        <v>222</v>
      </c>
      <c r="C199" s="182">
        <v>6</v>
      </c>
      <c r="D199" s="190" t="s">
        <v>80</v>
      </c>
      <c r="E199" s="183">
        <v>2500</v>
      </c>
      <c r="F199" s="241">
        <f t="shared" ref="F199:F209" si="149">C199*E199</f>
        <v>15000</v>
      </c>
      <c r="G199" s="356">
        <v>0</v>
      </c>
      <c r="H199" s="357">
        <v>0</v>
      </c>
      <c r="I199" s="357">
        <v>0</v>
      </c>
      <c r="J199" s="356">
        <v>14999.999999999998</v>
      </c>
      <c r="K199" s="357">
        <v>0</v>
      </c>
      <c r="L199" s="357">
        <v>0</v>
      </c>
      <c r="M199" s="356">
        <v>0</v>
      </c>
      <c r="N199" s="357">
        <v>0</v>
      </c>
      <c r="O199" s="357">
        <v>0</v>
      </c>
      <c r="P199" s="266">
        <f t="shared" ref="P199" si="150">G199+J199+M199</f>
        <v>14999.999999999998</v>
      </c>
      <c r="Q199" s="266">
        <f t="shared" ref="Q199" si="151">H199+K199+N199</f>
        <v>0</v>
      </c>
      <c r="R199" s="266">
        <f t="shared" ref="R199" si="152">I199+L199+O199</f>
        <v>0</v>
      </c>
      <c r="S199" s="370">
        <f t="shared" ref="S199:S209" si="153">SUM(P199:R199)</f>
        <v>14999.999999999998</v>
      </c>
      <c r="T199" s="370">
        <f t="shared" ref="T199:T209" si="154">F199-S199</f>
        <v>0</v>
      </c>
    </row>
    <row r="200" spans="2:20" ht="12.6" customHeight="1">
      <c r="B200" s="189" t="s">
        <v>255</v>
      </c>
      <c r="C200" s="286">
        <v>96</v>
      </c>
      <c r="D200" s="190" t="s">
        <v>153</v>
      </c>
      <c r="E200" s="339">
        <v>250</v>
      </c>
      <c r="F200" s="241">
        <f t="shared" si="149"/>
        <v>24000</v>
      </c>
      <c r="G200" s="356">
        <v>8000</v>
      </c>
      <c r="H200" s="357">
        <v>0</v>
      </c>
      <c r="I200" s="357">
        <v>0</v>
      </c>
      <c r="J200" s="356">
        <v>8000</v>
      </c>
      <c r="K200" s="357">
        <v>0</v>
      </c>
      <c r="L200" s="357">
        <v>0</v>
      </c>
      <c r="M200" s="356">
        <v>8000</v>
      </c>
      <c r="N200" s="357">
        <v>0</v>
      </c>
      <c r="O200" s="357">
        <v>0</v>
      </c>
      <c r="P200" s="266">
        <f t="shared" ref="P200:P207" si="155">G200+J200+M200</f>
        <v>24000</v>
      </c>
      <c r="Q200" s="266">
        <f t="shared" ref="Q200:Q207" si="156">H200+K200+N200</f>
        <v>0</v>
      </c>
      <c r="R200" s="266">
        <f t="shared" ref="R200:R207" si="157">I200+L200+O200</f>
        <v>0</v>
      </c>
      <c r="S200" s="370">
        <f t="shared" si="153"/>
        <v>24000</v>
      </c>
      <c r="T200" s="370">
        <f t="shared" si="154"/>
        <v>0</v>
      </c>
    </row>
    <row r="201" spans="2:20" ht="12.6" customHeight="1">
      <c r="B201" s="189" t="s">
        <v>157</v>
      </c>
      <c r="C201" s="286">
        <v>2</v>
      </c>
      <c r="D201" s="190" t="s">
        <v>76</v>
      </c>
      <c r="E201" s="339">
        <v>350</v>
      </c>
      <c r="F201" s="241">
        <f t="shared" si="149"/>
        <v>700</v>
      </c>
      <c r="G201" s="356">
        <v>0</v>
      </c>
      <c r="H201" s="357">
        <v>0</v>
      </c>
      <c r="I201" s="357">
        <v>0</v>
      </c>
      <c r="J201" s="356">
        <v>300</v>
      </c>
      <c r="K201" s="357">
        <v>0</v>
      </c>
      <c r="L201" s="357">
        <v>0</v>
      </c>
      <c r="M201" s="356">
        <v>400</v>
      </c>
      <c r="N201" s="357">
        <v>0</v>
      </c>
      <c r="O201" s="357">
        <v>0</v>
      </c>
      <c r="P201" s="266">
        <f t="shared" si="155"/>
        <v>700</v>
      </c>
      <c r="Q201" s="266">
        <f t="shared" si="156"/>
        <v>0</v>
      </c>
      <c r="R201" s="266">
        <f t="shared" si="157"/>
        <v>0</v>
      </c>
      <c r="S201" s="370">
        <f t="shared" si="153"/>
        <v>700</v>
      </c>
      <c r="T201" s="370">
        <f t="shared" si="154"/>
        <v>0</v>
      </c>
    </row>
    <row r="202" spans="2:20" ht="12.6" customHeight="1">
      <c r="B202" s="189" t="s">
        <v>244</v>
      </c>
      <c r="C202" s="286">
        <v>4</v>
      </c>
      <c r="D202" s="190" t="s">
        <v>78</v>
      </c>
      <c r="E202" s="339">
        <v>700</v>
      </c>
      <c r="F202" s="241">
        <f t="shared" ref="F202:F203" si="158">C202*E202</f>
        <v>2800</v>
      </c>
      <c r="G202" s="356">
        <v>2800</v>
      </c>
      <c r="H202" s="357">
        <v>0</v>
      </c>
      <c r="I202" s="357">
        <v>0</v>
      </c>
      <c r="J202" s="356">
        <v>0</v>
      </c>
      <c r="K202" s="357">
        <v>0</v>
      </c>
      <c r="L202" s="357">
        <v>0</v>
      </c>
      <c r="M202" s="356">
        <v>0</v>
      </c>
      <c r="N202" s="357">
        <v>0</v>
      </c>
      <c r="O202" s="357">
        <v>0</v>
      </c>
      <c r="P202" s="266">
        <f t="shared" ref="P202:P203" si="159">G202+J202+M202</f>
        <v>2800</v>
      </c>
      <c r="Q202" s="266">
        <f t="shared" ref="Q202:Q203" si="160">H202+K202+N202</f>
        <v>0</v>
      </c>
      <c r="R202" s="266">
        <f t="shared" ref="R202:R203" si="161">I202+L202+O202</f>
        <v>0</v>
      </c>
      <c r="S202" s="370">
        <f t="shared" ref="S202:S203" si="162">SUM(P202:R202)</f>
        <v>2800</v>
      </c>
      <c r="T202" s="370">
        <f t="shared" ref="T202:T203" si="163">F202-S202</f>
        <v>0</v>
      </c>
    </row>
    <row r="203" spans="2:20" ht="12.6" customHeight="1">
      <c r="B203" s="189" t="s">
        <v>245</v>
      </c>
      <c r="C203" s="286">
        <v>4</v>
      </c>
      <c r="D203" s="190" t="s">
        <v>78</v>
      </c>
      <c r="E203" s="339">
        <v>400</v>
      </c>
      <c r="F203" s="241">
        <f t="shared" si="158"/>
        <v>1600</v>
      </c>
      <c r="G203" s="356">
        <v>1600</v>
      </c>
      <c r="H203" s="357">
        <v>0</v>
      </c>
      <c r="I203" s="357">
        <v>0</v>
      </c>
      <c r="J203" s="356">
        <v>0</v>
      </c>
      <c r="K203" s="357">
        <v>0</v>
      </c>
      <c r="L203" s="357">
        <v>0</v>
      </c>
      <c r="M203" s="356">
        <v>0</v>
      </c>
      <c r="N203" s="357">
        <v>0</v>
      </c>
      <c r="O203" s="357">
        <v>0</v>
      </c>
      <c r="P203" s="266">
        <f t="shared" si="159"/>
        <v>1600</v>
      </c>
      <c r="Q203" s="266">
        <f t="shared" si="160"/>
        <v>0</v>
      </c>
      <c r="R203" s="266">
        <f t="shared" si="161"/>
        <v>0</v>
      </c>
      <c r="S203" s="370">
        <f t="shared" si="162"/>
        <v>1600</v>
      </c>
      <c r="T203" s="370">
        <f t="shared" si="163"/>
        <v>0</v>
      </c>
    </row>
    <row r="204" spans="2:20" ht="12.6" customHeight="1">
      <c r="B204" s="189" t="s">
        <v>152</v>
      </c>
      <c r="C204" s="286">
        <v>24</v>
      </c>
      <c r="D204" s="190" t="s">
        <v>78</v>
      </c>
      <c r="E204" s="339">
        <v>100</v>
      </c>
      <c r="F204" s="241">
        <f t="shared" ref="F204" si="164">C204*E204</f>
        <v>2400</v>
      </c>
      <c r="G204" s="356">
        <v>2400</v>
      </c>
      <c r="H204" s="357">
        <v>0</v>
      </c>
      <c r="I204" s="357">
        <v>0</v>
      </c>
      <c r="J204" s="356">
        <v>0</v>
      </c>
      <c r="K204" s="357">
        <v>0</v>
      </c>
      <c r="L204" s="357">
        <v>0</v>
      </c>
      <c r="M204" s="356">
        <v>0</v>
      </c>
      <c r="N204" s="357">
        <v>0</v>
      </c>
      <c r="O204" s="357">
        <v>0</v>
      </c>
      <c r="P204" s="266">
        <f t="shared" ref="P204" si="165">G204+J204+M204</f>
        <v>2400</v>
      </c>
      <c r="Q204" s="266">
        <f t="shared" ref="Q204" si="166">H204+K204+N204</f>
        <v>0</v>
      </c>
      <c r="R204" s="266">
        <f t="shared" ref="R204" si="167">I204+L204+O204</f>
        <v>0</v>
      </c>
      <c r="S204" s="370">
        <f t="shared" ref="S204" si="168">SUM(P204:R204)</f>
        <v>2400</v>
      </c>
      <c r="T204" s="370">
        <f t="shared" ref="T204" si="169">F204-S204</f>
        <v>0</v>
      </c>
    </row>
    <row r="205" spans="2:20" ht="12.6" customHeight="1">
      <c r="B205" s="291" t="s">
        <v>221</v>
      </c>
      <c r="C205" s="182">
        <v>8</v>
      </c>
      <c r="D205" s="190" t="s">
        <v>78</v>
      </c>
      <c r="E205" s="183">
        <v>1500</v>
      </c>
      <c r="F205" s="241">
        <f t="shared" si="149"/>
        <v>12000</v>
      </c>
      <c r="G205" s="356">
        <v>0</v>
      </c>
      <c r="H205" s="357">
        <v>0</v>
      </c>
      <c r="I205" s="357">
        <v>0</v>
      </c>
      <c r="J205" s="356">
        <v>12000</v>
      </c>
      <c r="K205" s="357">
        <v>0</v>
      </c>
      <c r="L205" s="357">
        <v>0</v>
      </c>
      <c r="M205" s="356">
        <v>0</v>
      </c>
      <c r="N205" s="357">
        <v>0</v>
      </c>
      <c r="O205" s="357">
        <v>0</v>
      </c>
      <c r="P205" s="266">
        <f t="shared" si="155"/>
        <v>12000</v>
      </c>
      <c r="Q205" s="266">
        <f t="shared" si="156"/>
        <v>0</v>
      </c>
      <c r="R205" s="266">
        <f t="shared" si="157"/>
        <v>0</v>
      </c>
      <c r="S205" s="370">
        <f t="shared" si="153"/>
        <v>12000</v>
      </c>
      <c r="T205" s="370">
        <f t="shared" si="154"/>
        <v>0</v>
      </c>
    </row>
    <row r="206" spans="2:20" ht="12.6" customHeight="1">
      <c r="B206" s="291" t="s">
        <v>223</v>
      </c>
      <c r="C206" s="182">
        <v>4</v>
      </c>
      <c r="D206" s="190" t="s">
        <v>248</v>
      </c>
      <c r="E206" s="183">
        <v>3000</v>
      </c>
      <c r="F206" s="241">
        <f t="shared" si="149"/>
        <v>12000</v>
      </c>
      <c r="G206" s="356">
        <v>4000</v>
      </c>
      <c r="H206" s="357">
        <v>0</v>
      </c>
      <c r="I206" s="357">
        <v>0</v>
      </c>
      <c r="J206" s="356">
        <v>4000</v>
      </c>
      <c r="K206" s="357">
        <v>0</v>
      </c>
      <c r="L206" s="357">
        <v>0</v>
      </c>
      <c r="M206" s="356">
        <v>4000</v>
      </c>
      <c r="N206" s="357">
        <v>0</v>
      </c>
      <c r="O206" s="357">
        <v>0</v>
      </c>
      <c r="P206" s="266">
        <f t="shared" si="155"/>
        <v>12000</v>
      </c>
      <c r="Q206" s="266">
        <f t="shared" si="156"/>
        <v>0</v>
      </c>
      <c r="R206" s="266">
        <f t="shared" si="157"/>
        <v>0</v>
      </c>
      <c r="S206" s="370">
        <f t="shared" si="153"/>
        <v>12000</v>
      </c>
      <c r="T206" s="370">
        <f t="shared" si="154"/>
        <v>0</v>
      </c>
    </row>
    <row r="207" spans="2:20" ht="12.6" customHeight="1">
      <c r="B207" s="189" t="s">
        <v>154</v>
      </c>
      <c r="C207" s="286">
        <v>4</v>
      </c>
      <c r="D207" s="190" t="s">
        <v>155</v>
      </c>
      <c r="E207" s="339">
        <v>3500</v>
      </c>
      <c r="F207" s="241">
        <f t="shared" si="149"/>
        <v>14000</v>
      </c>
      <c r="G207" s="356">
        <v>7000</v>
      </c>
      <c r="H207" s="357">
        <v>0</v>
      </c>
      <c r="I207" s="357">
        <v>0</v>
      </c>
      <c r="J207" s="356">
        <v>3500</v>
      </c>
      <c r="K207" s="357">
        <v>0</v>
      </c>
      <c r="L207" s="357">
        <v>0</v>
      </c>
      <c r="M207" s="356">
        <v>3500</v>
      </c>
      <c r="N207" s="357">
        <v>0</v>
      </c>
      <c r="O207" s="357">
        <v>0</v>
      </c>
      <c r="P207" s="266">
        <f t="shared" si="155"/>
        <v>14000</v>
      </c>
      <c r="Q207" s="266">
        <f t="shared" si="156"/>
        <v>0</v>
      </c>
      <c r="R207" s="266">
        <f t="shared" si="157"/>
        <v>0</v>
      </c>
      <c r="S207" s="370">
        <f t="shared" si="153"/>
        <v>14000</v>
      </c>
      <c r="T207" s="370">
        <f t="shared" si="154"/>
        <v>0</v>
      </c>
    </row>
    <row r="208" spans="2:20" ht="15" customHeight="1">
      <c r="B208" s="189" t="s">
        <v>156</v>
      </c>
      <c r="C208" s="286">
        <v>4</v>
      </c>
      <c r="D208" s="190" t="s">
        <v>248</v>
      </c>
      <c r="E208" s="339">
        <v>300</v>
      </c>
      <c r="F208" s="241">
        <f t="shared" si="149"/>
        <v>1200</v>
      </c>
      <c r="G208" s="356">
        <v>400</v>
      </c>
      <c r="H208" s="357">
        <v>0</v>
      </c>
      <c r="I208" s="357">
        <v>0</v>
      </c>
      <c r="J208" s="356">
        <v>400</v>
      </c>
      <c r="K208" s="357">
        <v>0</v>
      </c>
      <c r="L208" s="357">
        <v>0</v>
      </c>
      <c r="M208" s="356">
        <v>400</v>
      </c>
      <c r="N208" s="357">
        <v>0</v>
      </c>
      <c r="O208" s="357">
        <v>0</v>
      </c>
      <c r="P208" s="266">
        <f t="shared" ref="P208:P209" si="170">G208+J208+M208</f>
        <v>1200</v>
      </c>
      <c r="Q208" s="266">
        <f t="shared" ref="Q208:Q209" si="171">H208+K208+N208</f>
        <v>0</v>
      </c>
      <c r="R208" s="266">
        <f t="shared" ref="R208:R209" si="172">I208+L208+O208</f>
        <v>0</v>
      </c>
      <c r="S208" s="370">
        <f t="shared" si="153"/>
        <v>1200</v>
      </c>
      <c r="T208" s="370">
        <f t="shared" si="154"/>
        <v>0</v>
      </c>
    </row>
    <row r="209" spans="2:20" ht="12.6" customHeight="1">
      <c r="B209" s="189" t="s">
        <v>157</v>
      </c>
      <c r="C209" s="286">
        <v>2</v>
      </c>
      <c r="D209" s="190" t="s">
        <v>76</v>
      </c>
      <c r="E209" s="339">
        <v>500</v>
      </c>
      <c r="F209" s="241">
        <f t="shared" si="149"/>
        <v>1000</v>
      </c>
      <c r="G209" s="356">
        <v>0</v>
      </c>
      <c r="H209" s="357">
        <v>0</v>
      </c>
      <c r="I209" s="357">
        <v>0</v>
      </c>
      <c r="J209" s="356">
        <v>600</v>
      </c>
      <c r="K209" s="357">
        <v>0</v>
      </c>
      <c r="L209" s="357">
        <v>0</v>
      </c>
      <c r="M209" s="356">
        <v>400</v>
      </c>
      <c r="N209" s="357">
        <v>0</v>
      </c>
      <c r="O209" s="357">
        <v>0</v>
      </c>
      <c r="P209" s="266">
        <f t="shared" si="170"/>
        <v>1000</v>
      </c>
      <c r="Q209" s="266">
        <f t="shared" si="171"/>
        <v>0</v>
      </c>
      <c r="R209" s="266">
        <f t="shared" si="172"/>
        <v>0</v>
      </c>
      <c r="S209" s="370">
        <f t="shared" si="153"/>
        <v>1000</v>
      </c>
      <c r="T209" s="370">
        <f t="shared" si="154"/>
        <v>0</v>
      </c>
    </row>
    <row r="210" spans="2:20" s="265" customFormat="1" ht="45" customHeight="1">
      <c r="B210" s="231" t="s">
        <v>226</v>
      </c>
      <c r="C210" s="260"/>
      <c r="D210" s="261"/>
      <c r="E210" s="262"/>
      <c r="F210" s="264">
        <f t="shared" ref="F210:R210" si="173">SUM(F211:F214)</f>
        <v>28000</v>
      </c>
      <c r="G210" s="264">
        <f t="shared" si="173"/>
        <v>0</v>
      </c>
      <c r="H210" s="264">
        <f t="shared" si="173"/>
        <v>0</v>
      </c>
      <c r="I210" s="264">
        <f t="shared" si="173"/>
        <v>0</v>
      </c>
      <c r="J210" s="264">
        <f t="shared" si="173"/>
        <v>14000</v>
      </c>
      <c r="K210" s="264">
        <f t="shared" si="173"/>
        <v>0</v>
      </c>
      <c r="L210" s="264">
        <f t="shared" si="173"/>
        <v>0</v>
      </c>
      <c r="M210" s="264">
        <f t="shared" si="173"/>
        <v>14000</v>
      </c>
      <c r="N210" s="264">
        <f t="shared" si="173"/>
        <v>0</v>
      </c>
      <c r="O210" s="264">
        <f t="shared" si="173"/>
        <v>0</v>
      </c>
      <c r="P210" s="264">
        <f t="shared" si="173"/>
        <v>28000</v>
      </c>
      <c r="Q210" s="264">
        <f t="shared" si="173"/>
        <v>0</v>
      </c>
      <c r="R210" s="264">
        <f t="shared" si="173"/>
        <v>0</v>
      </c>
      <c r="S210" s="370">
        <f>SUM(P210:R210)</f>
        <v>28000</v>
      </c>
      <c r="T210" s="370">
        <f>F210-S210</f>
        <v>0</v>
      </c>
    </row>
    <row r="211" spans="2:20" ht="12.6" customHeight="1">
      <c r="B211" s="189" t="s">
        <v>158</v>
      </c>
      <c r="C211" s="286">
        <v>10</v>
      </c>
      <c r="D211" s="311" t="s">
        <v>81</v>
      </c>
      <c r="E211" s="339">
        <v>600</v>
      </c>
      <c r="F211" s="241">
        <f t="shared" ref="F211:F214" si="174">C211*E211</f>
        <v>6000</v>
      </c>
      <c r="G211" s="356">
        <v>0</v>
      </c>
      <c r="H211" s="357">
        <v>0</v>
      </c>
      <c r="I211" s="357">
        <v>0</v>
      </c>
      <c r="J211" s="356">
        <v>3000</v>
      </c>
      <c r="K211" s="357">
        <v>0</v>
      </c>
      <c r="L211" s="357">
        <v>0</v>
      </c>
      <c r="M211" s="356">
        <v>3000</v>
      </c>
      <c r="N211" s="357">
        <v>0</v>
      </c>
      <c r="O211" s="357">
        <v>0</v>
      </c>
      <c r="P211" s="266">
        <f t="shared" ref="P211" si="175">G211+J211+M211</f>
        <v>6000</v>
      </c>
      <c r="Q211" s="266">
        <f t="shared" ref="Q211" si="176">H211+K211+N211</f>
        <v>0</v>
      </c>
      <c r="R211" s="266">
        <f t="shared" ref="R211" si="177">I211+L211+O211</f>
        <v>0</v>
      </c>
      <c r="S211" s="370">
        <f t="shared" ref="S211:S214" si="178">SUM(P211:R211)</f>
        <v>6000</v>
      </c>
      <c r="T211" s="370">
        <f t="shared" ref="T211:T214" si="179">F211-S211</f>
        <v>0</v>
      </c>
    </row>
    <row r="212" spans="2:20" ht="12.6" customHeight="1">
      <c r="B212" s="189" t="s">
        <v>159</v>
      </c>
      <c r="C212" s="286">
        <v>10</v>
      </c>
      <c r="D212" s="190" t="s">
        <v>81</v>
      </c>
      <c r="E212" s="339">
        <v>400</v>
      </c>
      <c r="F212" s="241">
        <f t="shared" si="174"/>
        <v>4000</v>
      </c>
      <c r="G212" s="356">
        <v>0</v>
      </c>
      <c r="H212" s="357">
        <v>0</v>
      </c>
      <c r="I212" s="357">
        <v>0</v>
      </c>
      <c r="J212" s="356">
        <v>2000</v>
      </c>
      <c r="K212" s="357">
        <v>0</v>
      </c>
      <c r="L212" s="357">
        <v>0</v>
      </c>
      <c r="M212" s="356">
        <v>2000</v>
      </c>
      <c r="N212" s="357">
        <v>0</v>
      </c>
      <c r="O212" s="357">
        <v>0</v>
      </c>
      <c r="P212" s="266">
        <f t="shared" ref="P212:P214" si="180">G212+J212+M212</f>
        <v>4000</v>
      </c>
      <c r="Q212" s="266">
        <f t="shared" ref="Q212:Q214" si="181">H212+K212+N212</f>
        <v>0</v>
      </c>
      <c r="R212" s="266">
        <f t="shared" ref="R212:R214" si="182">I212+L212+O212</f>
        <v>0</v>
      </c>
      <c r="S212" s="370">
        <f t="shared" si="178"/>
        <v>4000</v>
      </c>
      <c r="T212" s="370">
        <f t="shared" si="179"/>
        <v>0</v>
      </c>
    </row>
    <row r="213" spans="2:20" ht="12.6" customHeight="1">
      <c r="B213" s="312" t="s">
        <v>160</v>
      </c>
      <c r="C213" s="286">
        <v>10</v>
      </c>
      <c r="D213" s="190" t="s">
        <v>81</v>
      </c>
      <c r="E213" s="339">
        <v>1500</v>
      </c>
      <c r="F213" s="241">
        <f t="shared" si="174"/>
        <v>15000</v>
      </c>
      <c r="G213" s="356">
        <v>0</v>
      </c>
      <c r="H213" s="357">
        <v>0</v>
      </c>
      <c r="I213" s="357">
        <v>0</v>
      </c>
      <c r="J213" s="356">
        <v>7500</v>
      </c>
      <c r="K213" s="357">
        <v>0</v>
      </c>
      <c r="L213" s="357">
        <v>0</v>
      </c>
      <c r="M213" s="356">
        <v>7499.9999999999991</v>
      </c>
      <c r="N213" s="357">
        <v>0</v>
      </c>
      <c r="O213" s="357">
        <v>0</v>
      </c>
      <c r="P213" s="266">
        <f t="shared" si="180"/>
        <v>15000</v>
      </c>
      <c r="Q213" s="266">
        <f t="shared" si="181"/>
        <v>0</v>
      </c>
      <c r="R213" s="266">
        <f t="shared" si="182"/>
        <v>0</v>
      </c>
      <c r="S213" s="370">
        <f t="shared" si="178"/>
        <v>15000</v>
      </c>
      <c r="T213" s="370">
        <f t="shared" si="179"/>
        <v>0</v>
      </c>
    </row>
    <row r="214" spans="2:20" ht="12.6" customHeight="1">
      <c r="B214" s="189" t="s">
        <v>285</v>
      </c>
      <c r="C214" s="286">
        <v>10</v>
      </c>
      <c r="D214" s="190" t="s">
        <v>81</v>
      </c>
      <c r="E214" s="339">
        <v>300</v>
      </c>
      <c r="F214" s="241">
        <f t="shared" si="174"/>
        <v>3000</v>
      </c>
      <c r="G214" s="356">
        <v>0</v>
      </c>
      <c r="H214" s="357">
        <v>0</v>
      </c>
      <c r="I214" s="357">
        <v>0</v>
      </c>
      <c r="J214" s="356">
        <v>1500</v>
      </c>
      <c r="K214" s="357">
        <v>0</v>
      </c>
      <c r="L214" s="357">
        <v>0</v>
      </c>
      <c r="M214" s="356">
        <v>1500</v>
      </c>
      <c r="N214" s="357">
        <v>0</v>
      </c>
      <c r="O214" s="357">
        <v>0</v>
      </c>
      <c r="P214" s="266">
        <f t="shared" si="180"/>
        <v>3000</v>
      </c>
      <c r="Q214" s="266">
        <f t="shared" si="181"/>
        <v>0</v>
      </c>
      <c r="R214" s="266">
        <f t="shared" si="182"/>
        <v>0</v>
      </c>
      <c r="S214" s="370">
        <f t="shared" si="178"/>
        <v>3000</v>
      </c>
      <c r="T214" s="370">
        <f t="shared" si="179"/>
        <v>0</v>
      </c>
    </row>
    <row r="215" spans="2:20" s="87" customFormat="1" ht="12.6" customHeight="1">
      <c r="B215" s="82" t="s">
        <v>22</v>
      </c>
      <c r="C215" s="242"/>
      <c r="D215" s="84"/>
      <c r="E215" s="243"/>
      <c r="F215" s="86">
        <f t="shared" ref="F215:R215" si="183">F179+F185+F188+F198+F210</f>
        <v>227250</v>
      </c>
      <c r="G215" s="86">
        <f t="shared" si="183"/>
        <v>106150</v>
      </c>
      <c r="H215" s="86">
        <f t="shared" si="183"/>
        <v>0</v>
      </c>
      <c r="I215" s="86">
        <f t="shared" si="183"/>
        <v>0</v>
      </c>
      <c r="J215" s="86">
        <f t="shared" si="183"/>
        <v>90400</v>
      </c>
      <c r="K215" s="86">
        <f t="shared" si="183"/>
        <v>0</v>
      </c>
      <c r="L215" s="86">
        <f t="shared" si="183"/>
        <v>0</v>
      </c>
      <c r="M215" s="86">
        <f t="shared" si="183"/>
        <v>30700</v>
      </c>
      <c r="N215" s="86">
        <f t="shared" si="183"/>
        <v>0</v>
      </c>
      <c r="O215" s="86">
        <f t="shared" si="183"/>
        <v>0</v>
      </c>
      <c r="P215" s="86">
        <f t="shared" si="183"/>
        <v>227250</v>
      </c>
      <c r="Q215" s="86">
        <f t="shared" si="183"/>
        <v>0</v>
      </c>
      <c r="R215" s="86">
        <f t="shared" si="183"/>
        <v>0</v>
      </c>
      <c r="S215" s="370">
        <f>SUM(P215:R215)</f>
        <v>227250</v>
      </c>
      <c r="T215" s="370">
        <f>F215-S215</f>
        <v>0</v>
      </c>
    </row>
    <row r="216" spans="2:20" ht="12.6" customHeight="1">
      <c r="B216" s="93"/>
      <c r="C216" s="248"/>
      <c r="D216" s="258"/>
      <c r="E216" s="248"/>
      <c r="F216" s="248"/>
      <c r="G216" s="93"/>
      <c r="H216" s="93"/>
      <c r="I216" s="93"/>
    </row>
    <row r="217" spans="2:20" s="98" customFormat="1" ht="12.6" customHeight="1">
      <c r="B217" s="94"/>
      <c r="C217" s="249"/>
      <c r="D217" s="95"/>
      <c r="E217" s="250"/>
      <c r="F217" s="96"/>
      <c r="G217" s="97"/>
      <c r="H217" s="97"/>
      <c r="I217" s="97"/>
      <c r="J217" s="97"/>
      <c r="M217" s="97"/>
      <c r="N217" s="97"/>
      <c r="O217" s="97"/>
      <c r="P217" s="97"/>
      <c r="Q217" s="97"/>
      <c r="R217" s="97"/>
    </row>
    <row r="218" spans="2:20" s="87" customFormat="1">
      <c r="B218" s="558" t="s">
        <v>46</v>
      </c>
      <c r="C218" s="558"/>
      <c r="D218" s="558"/>
      <c r="E218" s="99"/>
      <c r="F218" s="100">
        <f t="shared" ref="F218:R218" si="184">+F65+F111+F140+F166+F215</f>
        <v>2423886.0855999999</v>
      </c>
      <c r="G218" s="100">
        <f t="shared" si="184"/>
        <v>881804.03119999997</v>
      </c>
      <c r="H218" s="100">
        <f t="shared" si="184"/>
        <v>31500</v>
      </c>
      <c r="I218" s="100">
        <f t="shared" si="184"/>
        <v>157400</v>
      </c>
      <c r="J218" s="100">
        <f t="shared" si="184"/>
        <v>683984.02480000001</v>
      </c>
      <c r="K218" s="100">
        <f t="shared" si="184"/>
        <v>0</v>
      </c>
      <c r="L218" s="100">
        <f t="shared" si="184"/>
        <v>172680</v>
      </c>
      <c r="M218" s="100">
        <f t="shared" si="184"/>
        <v>377598.02960000001</v>
      </c>
      <c r="N218" s="100">
        <f t="shared" si="184"/>
        <v>0</v>
      </c>
      <c r="O218" s="100">
        <f t="shared" si="184"/>
        <v>118920</v>
      </c>
      <c r="P218" s="100">
        <f t="shared" si="184"/>
        <v>1943386.0855999999</v>
      </c>
      <c r="Q218" s="100">
        <f t="shared" si="184"/>
        <v>31500</v>
      </c>
      <c r="R218" s="100">
        <f t="shared" si="184"/>
        <v>449000</v>
      </c>
      <c r="S218" s="370">
        <f>SUM(P218:R218)</f>
        <v>2423886.0855999999</v>
      </c>
      <c r="T218" s="370">
        <f>F218-S218</f>
        <v>0</v>
      </c>
    </row>
    <row r="219" spans="2:20">
      <c r="F219" s="252"/>
      <c r="G219" s="102"/>
    </row>
    <row r="220" spans="2:20" s="274" customFormat="1">
      <c r="B220" s="269" t="s">
        <v>47</v>
      </c>
      <c r="C220" s="270"/>
      <c r="D220" s="271"/>
      <c r="E220" s="272"/>
      <c r="F220" s="273">
        <f>F218/$R$13</f>
        <v>348259.49505747127</v>
      </c>
      <c r="G220" s="273">
        <f t="shared" ref="G220:R220" si="185">G218/$R$13</f>
        <v>126695.98149425288</v>
      </c>
      <c r="H220" s="273">
        <f t="shared" si="185"/>
        <v>4525.8620689655172</v>
      </c>
      <c r="I220" s="273">
        <f t="shared" si="185"/>
        <v>22614.942528735632</v>
      </c>
      <c r="J220" s="273">
        <f t="shared" si="185"/>
        <v>98273.566781609203</v>
      </c>
      <c r="K220" s="273">
        <f t="shared" si="185"/>
        <v>0</v>
      </c>
      <c r="L220" s="273">
        <f t="shared" si="185"/>
        <v>24810.344827586207</v>
      </c>
      <c r="M220" s="273">
        <f t="shared" si="185"/>
        <v>54252.590459770116</v>
      </c>
      <c r="N220" s="273">
        <f t="shared" si="185"/>
        <v>0</v>
      </c>
      <c r="O220" s="273">
        <f t="shared" si="185"/>
        <v>17086.206896551725</v>
      </c>
      <c r="P220" s="273">
        <f t="shared" si="185"/>
        <v>279222.13873563218</v>
      </c>
      <c r="Q220" s="273">
        <f t="shared" si="185"/>
        <v>4525.8620689655172</v>
      </c>
      <c r="R220" s="273">
        <f t="shared" si="185"/>
        <v>64511.494252873563</v>
      </c>
      <c r="S220" s="370">
        <f>SUM(P220:R220)</f>
        <v>348259.49505747127</v>
      </c>
      <c r="T220" s="370">
        <f>F220-S220</f>
        <v>0</v>
      </c>
    </row>
    <row r="222" spans="2:20">
      <c r="G222" s="102"/>
      <c r="H222" s="102"/>
      <c r="I222" s="102"/>
      <c r="J222" s="102"/>
      <c r="K222" s="102"/>
      <c r="L222" s="102"/>
      <c r="M222" s="102"/>
      <c r="N222" s="102"/>
      <c r="O222" s="102"/>
      <c r="P222" s="102"/>
      <c r="Q222" s="102"/>
      <c r="R222" s="102"/>
    </row>
    <row r="223" spans="2:20">
      <c r="G223" s="102"/>
      <c r="H223" s="102"/>
      <c r="I223" s="102"/>
      <c r="J223" s="102"/>
      <c r="K223" s="102"/>
      <c r="L223" s="102"/>
      <c r="M223" s="102"/>
      <c r="N223" s="102"/>
      <c r="O223" s="102"/>
      <c r="P223" s="102"/>
      <c r="Q223" s="102"/>
      <c r="R223" s="102"/>
    </row>
    <row r="224" spans="2:20">
      <c r="F224" s="252"/>
    </row>
  </sheetData>
  <mergeCells count="54">
    <mergeCell ref="B6:R6"/>
    <mergeCell ref="B176:D176"/>
    <mergeCell ref="G176:I176"/>
    <mergeCell ref="J176:L176"/>
    <mergeCell ref="M176:O176"/>
    <mergeCell ref="P176:R176"/>
    <mergeCell ref="B170:R170"/>
    <mergeCell ref="B174:R174"/>
    <mergeCell ref="B149:D149"/>
    <mergeCell ref="G149:I149"/>
    <mergeCell ref="J149:L149"/>
    <mergeCell ref="M149:O149"/>
    <mergeCell ref="P149:R149"/>
    <mergeCell ref="B171:R171"/>
    <mergeCell ref="B172:R172"/>
    <mergeCell ref="B173:R173"/>
    <mergeCell ref="B147:R147"/>
    <mergeCell ref="B145:R145"/>
    <mergeCell ref="B146:R146"/>
    <mergeCell ref="B120:D120"/>
    <mergeCell ref="G120:I120"/>
    <mergeCell ref="J120:L120"/>
    <mergeCell ref="M120:O120"/>
    <mergeCell ref="P120:R120"/>
    <mergeCell ref="G14:I14"/>
    <mergeCell ref="B14:D14"/>
    <mergeCell ref="B115:R115"/>
    <mergeCell ref="B116:R116"/>
    <mergeCell ref="B118:R118"/>
    <mergeCell ref="B69:R69"/>
    <mergeCell ref="B70:R70"/>
    <mergeCell ref="B76:F76"/>
    <mergeCell ref="B71:R71"/>
    <mergeCell ref="B72:R72"/>
    <mergeCell ref="B73:R73"/>
    <mergeCell ref="B74:R74"/>
    <mergeCell ref="B75:R75"/>
    <mergeCell ref="B117:R117"/>
    <mergeCell ref="B218:D218"/>
    <mergeCell ref="B1:I1"/>
    <mergeCell ref="B7:R7"/>
    <mergeCell ref="B77:D77"/>
    <mergeCell ref="G77:I77"/>
    <mergeCell ref="J77:L77"/>
    <mergeCell ref="M77:O77"/>
    <mergeCell ref="P77:R77"/>
    <mergeCell ref="B8:R8"/>
    <mergeCell ref="B9:R9"/>
    <mergeCell ref="B10:R10"/>
    <mergeCell ref="B11:R11"/>
    <mergeCell ref="B12:R12"/>
    <mergeCell ref="P14:R14"/>
    <mergeCell ref="M14:O14"/>
    <mergeCell ref="J14:L14"/>
  </mergeCells>
  <dataValidations count="1">
    <dataValidation allowBlank="1" showInputMessage="1" showErrorMessage="1" prompt="Desglosa el concepto" sqref="B54"/>
  </dataValidations>
  <printOptions horizontalCentered="1"/>
  <pageMargins left="0.39370078740157483" right="0.39370078740157483" top="0.39370078740157483" bottom="0.19685039370078741" header="0" footer="0"/>
  <pageSetup scale="55" fitToHeight="42" orientation="landscape" horizontalDpi="4294967293" verticalDpi="4294967293" r:id="rId1"/>
  <headerFooter alignWithMargins="0">
    <oddFooter>&amp;RPágina &amp;P de &amp;N</oddFooter>
  </headerFooter>
  <rowBreaks count="6" manualBreakCount="6">
    <brk id="242" max="16383" man="1"/>
    <brk id="288" max="16383" man="1"/>
    <brk id="343" max="16383" man="1"/>
    <brk id="378" max="16383" man="1"/>
    <brk id="438" max="16383" man="1"/>
    <brk id="47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T23"/>
  <sheetViews>
    <sheetView showGridLines="0" zoomScale="90" zoomScaleNormal="90" workbookViewId="0">
      <selection activeCell="C32" sqref="C32"/>
    </sheetView>
  </sheetViews>
  <sheetFormatPr baseColWidth="10" defaultColWidth="10.85546875" defaultRowHeight="12.75"/>
  <cols>
    <col min="1" max="1" width="4.42578125" style="27" customWidth="1"/>
    <col min="2" max="2" width="65.5703125" style="101" customWidth="1"/>
    <col min="3" max="3" width="10.85546875" style="101" customWidth="1"/>
    <col min="4" max="4" width="11.140625" style="101" customWidth="1"/>
    <col min="5" max="5" width="11" style="101" customWidth="1"/>
    <col min="6" max="6" width="12.42578125" style="101" customWidth="1"/>
    <col min="7" max="9" width="11.5703125" style="101" customWidth="1"/>
    <col min="10" max="15" width="11.5703125" style="27" customWidth="1"/>
    <col min="16" max="16384" width="10.85546875" style="27"/>
  </cols>
  <sheetData>
    <row r="1" spans="2:20">
      <c r="B1" s="559"/>
      <c r="C1" s="559"/>
      <c r="D1" s="559"/>
      <c r="E1" s="559"/>
      <c r="F1" s="559"/>
      <c r="G1" s="559"/>
      <c r="H1" s="559"/>
      <c r="I1" s="559"/>
    </row>
    <row r="2" spans="2:20">
      <c r="B2" s="117" t="s">
        <v>51</v>
      </c>
      <c r="C2" s="69"/>
      <c r="D2" s="69"/>
      <c r="E2" s="69"/>
      <c r="F2" s="69"/>
      <c r="G2" s="69"/>
      <c r="H2" s="69"/>
      <c r="I2" s="69"/>
    </row>
    <row r="3" spans="2:20">
      <c r="B3" s="70"/>
      <c r="C3" s="70"/>
      <c r="D3" s="70"/>
      <c r="E3" s="70"/>
      <c r="F3" s="70"/>
      <c r="G3" s="70"/>
      <c r="H3" s="70"/>
      <c r="I3" s="70"/>
    </row>
    <row r="4" spans="2:20" ht="12.6" customHeight="1">
      <c r="B4" s="118"/>
      <c r="C4" s="72"/>
      <c r="D4" s="72"/>
      <c r="E4" s="72"/>
      <c r="F4" s="72"/>
      <c r="G4" s="72"/>
      <c r="H4" s="72"/>
      <c r="I4" s="72"/>
    </row>
    <row r="5" spans="2:20" ht="12.6" customHeight="1">
      <c r="B5" s="71"/>
      <c r="C5" s="72"/>
      <c r="D5" s="72"/>
      <c r="E5" s="72"/>
      <c r="F5" s="72"/>
      <c r="G5" s="72"/>
      <c r="H5" s="72"/>
      <c r="I5" s="72"/>
    </row>
    <row r="6" spans="2:20" ht="24" customHeight="1">
      <c r="B6" s="568"/>
      <c r="C6" s="568"/>
      <c r="D6" s="568"/>
      <c r="E6" s="568"/>
      <c r="F6" s="568"/>
      <c r="G6" s="72"/>
      <c r="H6" s="72"/>
      <c r="I6" s="72"/>
    </row>
    <row r="7" spans="2:20" ht="12.6" customHeight="1">
      <c r="B7" s="73"/>
      <c r="C7" s="73"/>
      <c r="D7" s="73"/>
      <c r="E7" s="73"/>
      <c r="F7" s="73"/>
      <c r="G7" s="72"/>
      <c r="H7" s="72"/>
      <c r="I7" s="72"/>
      <c r="Q7" s="132" t="s">
        <v>39</v>
      </c>
      <c r="R7" s="204">
        <f>'Pres.Total en Bs. y $us.'!R4</f>
        <v>6.96</v>
      </c>
    </row>
    <row r="8" spans="2:20" ht="12.6" customHeight="1">
      <c r="B8" s="563"/>
      <c r="C8" s="563"/>
      <c r="D8" s="563"/>
      <c r="E8" s="74"/>
      <c r="F8" s="74"/>
      <c r="G8" s="548" t="s">
        <v>103</v>
      </c>
      <c r="H8" s="549"/>
      <c r="I8" s="550"/>
      <c r="J8" s="551" t="s">
        <v>104</v>
      </c>
      <c r="K8" s="551"/>
      <c r="L8" s="551"/>
      <c r="M8" s="548" t="s">
        <v>105</v>
      </c>
      <c r="N8" s="549"/>
      <c r="O8" s="550"/>
      <c r="P8" s="548" t="s">
        <v>107</v>
      </c>
      <c r="Q8" s="549"/>
      <c r="R8" s="550"/>
    </row>
    <row r="9" spans="2:20" ht="38.25" customHeight="1">
      <c r="B9" s="75" t="s">
        <v>1</v>
      </c>
      <c r="C9" s="76" t="s">
        <v>2</v>
      </c>
      <c r="D9" s="77" t="s">
        <v>3</v>
      </c>
      <c r="E9" s="77" t="s">
        <v>0</v>
      </c>
      <c r="F9" s="371" t="s">
        <v>6</v>
      </c>
      <c r="G9" s="408" t="s">
        <v>20</v>
      </c>
      <c r="H9" s="21" t="s">
        <v>58</v>
      </c>
      <c r="I9" s="409" t="s">
        <v>63</v>
      </c>
      <c r="J9" s="403" t="s">
        <v>20</v>
      </c>
      <c r="K9" s="21" t="s">
        <v>58</v>
      </c>
      <c r="L9" s="421" t="s">
        <v>63</v>
      </c>
      <c r="M9" s="408" t="s">
        <v>20</v>
      </c>
      <c r="N9" s="21" t="s">
        <v>58</v>
      </c>
      <c r="O9" s="409" t="s">
        <v>63</v>
      </c>
      <c r="P9" s="408" t="s">
        <v>20</v>
      </c>
      <c r="Q9" s="21" t="s">
        <v>58</v>
      </c>
      <c r="R9" s="409" t="s">
        <v>63</v>
      </c>
    </row>
    <row r="10" spans="2:20">
      <c r="B10" s="78"/>
      <c r="C10" s="79"/>
      <c r="D10" s="26"/>
      <c r="E10" s="74"/>
      <c r="F10" s="26"/>
      <c r="G10" s="410"/>
      <c r="H10" s="90"/>
      <c r="I10" s="411"/>
      <c r="M10" s="424"/>
      <c r="N10" s="425"/>
      <c r="O10" s="426"/>
      <c r="P10" s="424"/>
      <c r="Q10" s="425"/>
      <c r="R10" s="426"/>
    </row>
    <row r="11" spans="2:20">
      <c r="B11" s="189" t="s">
        <v>256</v>
      </c>
      <c r="C11" s="284">
        <v>6</v>
      </c>
      <c r="D11" s="198" t="s">
        <v>144</v>
      </c>
      <c r="E11" s="340">
        <v>600</v>
      </c>
      <c r="F11" s="441">
        <f>C11*E11</f>
        <v>3600</v>
      </c>
      <c r="G11" s="356">
        <v>0</v>
      </c>
      <c r="H11" s="357">
        <v>0</v>
      </c>
      <c r="I11" s="412">
        <v>0</v>
      </c>
      <c r="J11" s="404">
        <v>3600</v>
      </c>
      <c r="K11" s="357">
        <v>0</v>
      </c>
      <c r="L11" s="422">
        <v>0</v>
      </c>
      <c r="M11" s="356">
        <v>0</v>
      </c>
      <c r="N11" s="357">
        <v>0</v>
      </c>
      <c r="O11" s="412">
        <v>0</v>
      </c>
      <c r="P11" s="446">
        <f>G11+J11+M11</f>
        <v>3600</v>
      </c>
      <c r="Q11" s="80">
        <f t="shared" ref="Q11:R11" si="0">H11+K11+N11</f>
        <v>0</v>
      </c>
      <c r="R11" s="447">
        <f t="shared" si="0"/>
        <v>0</v>
      </c>
    </row>
    <row r="12" spans="2:20">
      <c r="B12" s="197" t="s">
        <v>229</v>
      </c>
      <c r="C12" s="284">
        <v>12</v>
      </c>
      <c r="D12" s="198" t="s">
        <v>79</v>
      </c>
      <c r="E12" s="340">
        <v>500</v>
      </c>
      <c r="F12" s="441">
        <f t="shared" ref="F12:F14" si="1">C12*E12</f>
        <v>6000</v>
      </c>
      <c r="G12" s="356">
        <v>0</v>
      </c>
      <c r="H12" s="357">
        <v>0</v>
      </c>
      <c r="I12" s="412">
        <v>0</v>
      </c>
      <c r="J12" s="404">
        <v>6000</v>
      </c>
      <c r="K12" s="357">
        <v>0</v>
      </c>
      <c r="L12" s="422">
        <v>0</v>
      </c>
      <c r="M12" s="356">
        <v>0</v>
      </c>
      <c r="N12" s="357">
        <v>0</v>
      </c>
      <c r="O12" s="412">
        <v>0</v>
      </c>
      <c r="P12" s="446">
        <f t="shared" ref="P12:P14" si="2">G12+J12+M12</f>
        <v>6000</v>
      </c>
      <c r="Q12" s="80">
        <f t="shared" ref="Q12:Q14" si="3">H12+K12+N12</f>
        <v>0</v>
      </c>
      <c r="R12" s="447">
        <f t="shared" ref="R12:R14" si="4">I12+L12+O12</f>
        <v>0</v>
      </c>
    </row>
    <row r="13" spans="2:20">
      <c r="B13" s="191" t="s">
        <v>257</v>
      </c>
      <c r="C13" s="284">
        <v>12</v>
      </c>
      <c r="D13" s="187" t="s">
        <v>258</v>
      </c>
      <c r="E13" s="340">
        <v>115</v>
      </c>
      <c r="F13" s="441">
        <f t="shared" si="1"/>
        <v>1380</v>
      </c>
      <c r="G13" s="356">
        <v>0</v>
      </c>
      <c r="H13" s="357">
        <v>0</v>
      </c>
      <c r="I13" s="412">
        <v>0</v>
      </c>
      <c r="J13" s="404">
        <v>1380</v>
      </c>
      <c r="K13" s="357">
        <v>0</v>
      </c>
      <c r="L13" s="422">
        <v>0</v>
      </c>
      <c r="M13" s="356">
        <v>0</v>
      </c>
      <c r="N13" s="357">
        <v>0</v>
      </c>
      <c r="O13" s="412">
        <v>0</v>
      </c>
      <c r="P13" s="446">
        <f t="shared" si="2"/>
        <v>1380</v>
      </c>
      <c r="Q13" s="80">
        <f t="shared" si="3"/>
        <v>0</v>
      </c>
      <c r="R13" s="447">
        <f t="shared" si="4"/>
        <v>0</v>
      </c>
    </row>
    <row r="14" spans="2:20">
      <c r="B14" s="191" t="s">
        <v>219</v>
      </c>
      <c r="C14" s="284">
        <v>12</v>
      </c>
      <c r="D14" s="187" t="s">
        <v>146</v>
      </c>
      <c r="E14" s="340">
        <v>120</v>
      </c>
      <c r="F14" s="441">
        <f t="shared" si="1"/>
        <v>1440</v>
      </c>
      <c r="G14" s="356">
        <v>0</v>
      </c>
      <c r="H14" s="357">
        <v>0</v>
      </c>
      <c r="I14" s="412">
        <v>0</v>
      </c>
      <c r="J14" s="404">
        <v>1440</v>
      </c>
      <c r="K14" s="357">
        <v>0</v>
      </c>
      <c r="L14" s="422">
        <v>0</v>
      </c>
      <c r="M14" s="356">
        <v>0</v>
      </c>
      <c r="N14" s="357">
        <v>0</v>
      </c>
      <c r="O14" s="412">
        <v>0</v>
      </c>
      <c r="P14" s="446">
        <f t="shared" si="2"/>
        <v>1440</v>
      </c>
      <c r="Q14" s="80">
        <f t="shared" si="3"/>
        <v>0</v>
      </c>
      <c r="R14" s="447">
        <f t="shared" si="4"/>
        <v>0</v>
      </c>
    </row>
    <row r="15" spans="2:20" s="87" customFormat="1" ht="12.6" customHeight="1">
      <c r="B15" s="82" t="s">
        <v>54</v>
      </c>
      <c r="C15" s="83"/>
      <c r="D15" s="84"/>
      <c r="E15" s="85"/>
      <c r="F15" s="442">
        <f t="shared" ref="F15:R15" si="5">SUM(F11:F14)</f>
        <v>12420</v>
      </c>
      <c r="G15" s="444">
        <f t="shared" si="5"/>
        <v>0</v>
      </c>
      <c r="H15" s="86">
        <f t="shared" si="5"/>
        <v>0</v>
      </c>
      <c r="I15" s="445">
        <f t="shared" si="5"/>
        <v>0</v>
      </c>
      <c r="J15" s="443">
        <f t="shared" si="5"/>
        <v>12420</v>
      </c>
      <c r="K15" s="86">
        <f t="shared" si="5"/>
        <v>0</v>
      </c>
      <c r="L15" s="442">
        <f t="shared" si="5"/>
        <v>0</v>
      </c>
      <c r="M15" s="444">
        <f t="shared" si="5"/>
        <v>0</v>
      </c>
      <c r="N15" s="86">
        <f t="shared" si="5"/>
        <v>0</v>
      </c>
      <c r="O15" s="445">
        <f t="shared" si="5"/>
        <v>0</v>
      </c>
      <c r="P15" s="444">
        <f t="shared" si="5"/>
        <v>12420</v>
      </c>
      <c r="Q15" s="86">
        <f t="shared" si="5"/>
        <v>0</v>
      </c>
      <c r="R15" s="445">
        <f t="shared" si="5"/>
        <v>0</v>
      </c>
      <c r="S15" s="370">
        <f>SUM(P15:R15)</f>
        <v>12420</v>
      </c>
      <c r="T15" s="370">
        <f>F15-S15</f>
        <v>0</v>
      </c>
    </row>
    <row r="16" spans="2:20">
      <c r="B16" s="88"/>
      <c r="C16" s="89"/>
      <c r="D16" s="90"/>
      <c r="E16" s="91"/>
      <c r="F16" s="92"/>
      <c r="G16" s="92"/>
      <c r="H16" s="92"/>
      <c r="I16" s="92"/>
    </row>
    <row r="17" spans="2:18">
      <c r="B17" s="88"/>
      <c r="C17" s="89"/>
      <c r="D17" s="90"/>
      <c r="E17" s="91"/>
      <c r="F17" s="92"/>
      <c r="G17" s="92"/>
      <c r="H17" s="92"/>
      <c r="I17" s="92"/>
    </row>
    <row r="18" spans="2:18">
      <c r="F18" s="102"/>
      <c r="G18" s="102"/>
    </row>
    <row r="19" spans="2:18" s="274" customFormat="1">
      <c r="B19" s="269" t="s">
        <v>55</v>
      </c>
      <c r="C19" s="278"/>
      <c r="D19" s="278"/>
      <c r="E19" s="278"/>
      <c r="F19" s="279">
        <f>F15/$R$7</f>
        <v>1784.4827586206898</v>
      </c>
      <c r="G19" s="279">
        <f t="shared" ref="G19:R19" si="6">G15/$R$7</f>
        <v>0</v>
      </c>
      <c r="H19" s="279">
        <f t="shared" si="6"/>
        <v>0</v>
      </c>
      <c r="I19" s="279">
        <f t="shared" si="6"/>
        <v>0</v>
      </c>
      <c r="J19" s="279">
        <f t="shared" si="6"/>
        <v>1784.4827586206898</v>
      </c>
      <c r="K19" s="279">
        <f t="shared" si="6"/>
        <v>0</v>
      </c>
      <c r="L19" s="279">
        <f t="shared" si="6"/>
        <v>0</v>
      </c>
      <c r="M19" s="279">
        <f t="shared" si="6"/>
        <v>0</v>
      </c>
      <c r="N19" s="279">
        <f t="shared" si="6"/>
        <v>0</v>
      </c>
      <c r="O19" s="279">
        <f t="shared" si="6"/>
        <v>0</v>
      </c>
      <c r="P19" s="279">
        <f t="shared" si="6"/>
        <v>1784.4827586206898</v>
      </c>
      <c r="Q19" s="279">
        <f t="shared" si="6"/>
        <v>0</v>
      </c>
      <c r="R19" s="279">
        <f t="shared" si="6"/>
        <v>0</v>
      </c>
    </row>
    <row r="21" spans="2:18">
      <c r="G21" s="102"/>
      <c r="H21" s="102"/>
      <c r="I21" s="102"/>
      <c r="J21" s="102"/>
      <c r="K21" s="102"/>
      <c r="L21" s="102"/>
      <c r="M21" s="102"/>
      <c r="N21" s="102"/>
      <c r="O21" s="102"/>
    </row>
    <row r="22" spans="2:18">
      <c r="G22" s="102"/>
      <c r="H22" s="102"/>
      <c r="I22" s="102"/>
      <c r="J22" s="102"/>
      <c r="K22" s="102"/>
      <c r="L22" s="102"/>
      <c r="M22" s="102"/>
      <c r="N22" s="102"/>
      <c r="O22" s="102"/>
    </row>
    <row r="23" spans="2:18">
      <c r="F23" s="102"/>
    </row>
  </sheetData>
  <mergeCells count="7">
    <mergeCell ref="P8:R8"/>
    <mergeCell ref="M8:O8"/>
    <mergeCell ref="B1:I1"/>
    <mergeCell ref="B6:F6"/>
    <mergeCell ref="B8:D8"/>
    <mergeCell ref="G8:I8"/>
    <mergeCell ref="J8:L8"/>
  </mergeCells>
  <printOptions horizontalCentered="1"/>
  <pageMargins left="0.39370078740157483" right="0.39370078740157483" top="0.39370078740157483" bottom="0.19685039370078741" header="0" footer="0"/>
  <pageSetup scale="55" fitToHeight="42" orientation="landscape" horizontalDpi="4294967293" verticalDpi="4294967293" r:id="rId1"/>
  <headerFooter alignWithMargins="0">
    <oddFooter>&amp;RPágina &amp;P de &amp;N</oddFooter>
  </headerFooter>
  <rowBreaks count="6" manualBreakCount="6">
    <brk id="41" max="16383" man="1"/>
    <brk id="87" max="16383" man="1"/>
    <brk id="142" max="16383" man="1"/>
    <brk id="177" max="16383" man="1"/>
    <brk id="237" max="16383" man="1"/>
    <brk id="27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30"/>
  <sheetViews>
    <sheetView showGridLines="0" topLeftCell="A4" zoomScale="90" zoomScaleNormal="90" workbookViewId="0">
      <pane ySplit="1185" activePane="bottomLeft"/>
      <selection activeCell="A4" sqref="A4"/>
      <selection pane="bottomLeft" activeCell="F13" sqref="F13"/>
    </sheetView>
  </sheetViews>
  <sheetFormatPr baseColWidth="10" defaultColWidth="10.28515625" defaultRowHeight="12.75"/>
  <cols>
    <col min="1" max="1" width="3.7109375" style="7" customWidth="1"/>
    <col min="2" max="2" width="35.140625" style="46" customWidth="1"/>
    <col min="3" max="3" width="10.140625" style="114" customWidth="1"/>
    <col min="4" max="4" width="9.42578125" style="115" customWidth="1"/>
    <col min="5" max="5" width="11.42578125" style="115" bestFit="1" customWidth="1"/>
    <col min="6" max="6" width="13.140625" style="13" customWidth="1"/>
    <col min="7" max="7" width="12.7109375" style="16" customWidth="1"/>
    <col min="8" max="9" width="12.7109375" style="13" customWidth="1"/>
    <col min="10" max="15" width="12.7109375" style="7" customWidth="1"/>
    <col min="16" max="16" width="13" style="9" customWidth="1"/>
    <col min="17" max="18" width="10.28515625" style="9"/>
    <col min="19" max="19" width="12" style="7" customWidth="1"/>
    <col min="20" max="16384" width="10.28515625" style="7"/>
  </cols>
  <sheetData>
    <row r="1" spans="1:20">
      <c r="A1" s="9"/>
      <c r="B1" s="10"/>
      <c r="C1" s="103"/>
      <c r="D1" s="104"/>
      <c r="E1" s="104"/>
    </row>
    <row r="2" spans="1:20">
      <c r="B2" s="105"/>
      <c r="C2" s="103"/>
      <c r="D2" s="104"/>
      <c r="E2" s="104"/>
    </row>
    <row r="3" spans="1:20">
      <c r="B3" s="14" t="s">
        <v>119</v>
      </c>
      <c r="C3" s="106"/>
      <c r="D3" s="45"/>
      <c r="E3" s="107"/>
      <c r="Q3" s="373" t="s">
        <v>39</v>
      </c>
      <c r="R3" s="374">
        <f>'Pres.Total en Bs. y $us.'!R4</f>
        <v>6.96</v>
      </c>
    </row>
    <row r="4" spans="1:20" ht="15.6" customHeight="1">
      <c r="B4" s="563"/>
      <c r="C4" s="563"/>
      <c r="D4" s="563"/>
      <c r="E4" s="74"/>
      <c r="F4" s="74"/>
      <c r="G4" s="548" t="s">
        <v>103</v>
      </c>
      <c r="H4" s="549"/>
      <c r="I4" s="550"/>
      <c r="J4" s="551" t="s">
        <v>104</v>
      </c>
      <c r="K4" s="551"/>
      <c r="L4" s="551"/>
      <c r="M4" s="548" t="s">
        <v>105</v>
      </c>
      <c r="N4" s="549"/>
      <c r="O4" s="549"/>
      <c r="P4" s="548" t="s">
        <v>107</v>
      </c>
      <c r="Q4" s="549"/>
      <c r="R4" s="550"/>
    </row>
    <row r="5" spans="1:20" s="17" customFormat="1" ht="37.5" customHeight="1">
      <c r="B5" s="75" t="s">
        <v>1</v>
      </c>
      <c r="C5" s="76" t="s">
        <v>2</v>
      </c>
      <c r="D5" s="77" t="s">
        <v>3</v>
      </c>
      <c r="E5" s="77" t="s">
        <v>0</v>
      </c>
      <c r="F5" s="371" t="s">
        <v>6</v>
      </c>
      <c r="G5" s="408" t="s">
        <v>20</v>
      </c>
      <c r="H5" s="21" t="s">
        <v>58</v>
      </c>
      <c r="I5" s="409" t="s">
        <v>63</v>
      </c>
      <c r="J5" s="403" t="s">
        <v>20</v>
      </c>
      <c r="K5" s="21" t="s">
        <v>58</v>
      </c>
      <c r="L5" s="421" t="s">
        <v>63</v>
      </c>
      <c r="M5" s="408" t="s">
        <v>20</v>
      </c>
      <c r="N5" s="21" t="s">
        <v>58</v>
      </c>
      <c r="O5" s="421" t="s">
        <v>63</v>
      </c>
      <c r="P5" s="408" t="s">
        <v>20</v>
      </c>
      <c r="Q5" s="21" t="s">
        <v>58</v>
      </c>
      <c r="R5" s="409" t="s">
        <v>63</v>
      </c>
    </row>
    <row r="6" spans="1:20">
      <c r="B6" s="38"/>
      <c r="C6" s="106"/>
      <c r="D6" s="45"/>
      <c r="E6" s="107"/>
      <c r="P6" s="448"/>
      <c r="Q6" s="449"/>
      <c r="R6" s="450"/>
    </row>
    <row r="7" spans="1:20" s="9" customFormat="1" ht="27.75" customHeight="1">
      <c r="B7" s="314" t="s">
        <v>202</v>
      </c>
      <c r="C7" s="182">
        <v>36</v>
      </c>
      <c r="D7" s="315" t="s">
        <v>77</v>
      </c>
      <c r="E7" s="183">
        <v>1500</v>
      </c>
      <c r="F7" s="355">
        <f>C7*E7</f>
        <v>54000</v>
      </c>
      <c r="G7" s="356">
        <v>0</v>
      </c>
      <c r="H7" s="357">
        <v>18000</v>
      </c>
      <c r="I7" s="357">
        <v>0</v>
      </c>
      <c r="J7" s="356">
        <v>0</v>
      </c>
      <c r="K7" s="357">
        <v>18000</v>
      </c>
      <c r="L7" s="357">
        <v>0</v>
      </c>
      <c r="M7" s="356">
        <v>0</v>
      </c>
      <c r="N7" s="357">
        <v>18000</v>
      </c>
      <c r="O7" s="422">
        <v>0</v>
      </c>
      <c r="P7" s="451">
        <f t="shared" ref="P7:P24" si="0">G7+J7+M7</f>
        <v>0</v>
      </c>
      <c r="Q7" s="375">
        <f t="shared" ref="Q7:R24" si="1">H7+K7+N7</f>
        <v>54000</v>
      </c>
      <c r="R7" s="452">
        <f t="shared" si="1"/>
        <v>0</v>
      </c>
      <c r="S7" s="13"/>
      <c r="T7" s="104"/>
    </row>
    <row r="8" spans="1:20" s="9" customFormat="1" ht="21.75" customHeight="1">
      <c r="B8" s="314" t="s">
        <v>214</v>
      </c>
      <c r="C8" s="182">
        <v>1</v>
      </c>
      <c r="D8" s="315" t="s">
        <v>76</v>
      </c>
      <c r="E8" s="183">
        <v>25000</v>
      </c>
      <c r="F8" s="355">
        <f t="shared" ref="F8:F23" si="2">C8*E8</f>
        <v>25000</v>
      </c>
      <c r="G8" s="356">
        <v>25000</v>
      </c>
      <c r="H8" s="357">
        <v>0</v>
      </c>
      <c r="I8" s="357">
        <v>0</v>
      </c>
      <c r="J8" s="356">
        <v>0</v>
      </c>
      <c r="K8" s="357">
        <v>0</v>
      </c>
      <c r="L8" s="357">
        <v>0</v>
      </c>
      <c r="M8" s="356">
        <v>0</v>
      </c>
      <c r="N8" s="357">
        <v>0</v>
      </c>
      <c r="O8" s="422">
        <v>0</v>
      </c>
      <c r="P8" s="451">
        <f t="shared" si="0"/>
        <v>25000</v>
      </c>
      <c r="Q8" s="375">
        <f t="shared" si="1"/>
        <v>0</v>
      </c>
      <c r="R8" s="452">
        <f t="shared" si="1"/>
        <v>0</v>
      </c>
      <c r="S8" s="13"/>
      <c r="T8" s="104"/>
    </row>
    <row r="9" spans="1:20" s="9" customFormat="1" ht="27" customHeight="1">
      <c r="B9" s="314" t="s">
        <v>208</v>
      </c>
      <c r="C9" s="182">
        <v>36</v>
      </c>
      <c r="D9" s="190" t="s">
        <v>77</v>
      </c>
      <c r="E9" s="183">
        <v>600</v>
      </c>
      <c r="F9" s="355">
        <f t="shared" si="2"/>
        <v>21600</v>
      </c>
      <c r="G9" s="356">
        <v>7200.0000000000009</v>
      </c>
      <c r="H9" s="357">
        <v>0</v>
      </c>
      <c r="I9" s="357">
        <v>0</v>
      </c>
      <c r="J9" s="356">
        <v>7200.0000000000009</v>
      </c>
      <c r="K9" s="357">
        <v>0</v>
      </c>
      <c r="L9" s="357">
        <v>0</v>
      </c>
      <c r="M9" s="356">
        <v>7200.0000000000009</v>
      </c>
      <c r="N9" s="357">
        <v>0</v>
      </c>
      <c r="O9" s="422">
        <v>0</v>
      </c>
      <c r="P9" s="451">
        <f t="shared" si="0"/>
        <v>21600.000000000004</v>
      </c>
      <c r="Q9" s="375">
        <f t="shared" si="1"/>
        <v>0</v>
      </c>
      <c r="R9" s="452">
        <f t="shared" si="1"/>
        <v>0</v>
      </c>
      <c r="S9" s="13"/>
      <c r="T9" s="104"/>
    </row>
    <row r="10" spans="1:20" s="9" customFormat="1" ht="21.75" customHeight="1">
      <c r="B10" s="191" t="s">
        <v>209</v>
      </c>
      <c r="C10" s="182">
        <v>36</v>
      </c>
      <c r="D10" s="187" t="s">
        <v>77</v>
      </c>
      <c r="E10" s="340">
        <v>800</v>
      </c>
      <c r="F10" s="355">
        <f t="shared" si="2"/>
        <v>28800</v>
      </c>
      <c r="G10" s="356">
        <v>9600</v>
      </c>
      <c r="H10" s="357">
        <v>0</v>
      </c>
      <c r="I10" s="357">
        <v>0</v>
      </c>
      <c r="J10" s="356">
        <v>9600</v>
      </c>
      <c r="K10" s="357">
        <v>0</v>
      </c>
      <c r="L10" s="357">
        <v>0</v>
      </c>
      <c r="M10" s="356">
        <v>9600</v>
      </c>
      <c r="N10" s="357">
        <v>0</v>
      </c>
      <c r="O10" s="422">
        <v>0</v>
      </c>
      <c r="P10" s="451">
        <f t="shared" si="0"/>
        <v>28800</v>
      </c>
      <c r="Q10" s="375">
        <f t="shared" si="1"/>
        <v>0</v>
      </c>
      <c r="R10" s="452">
        <f t="shared" si="1"/>
        <v>0</v>
      </c>
      <c r="S10" s="13"/>
      <c r="T10" s="104"/>
    </row>
    <row r="11" spans="1:20" s="9" customFormat="1" ht="21.75" customHeight="1">
      <c r="B11" s="191" t="s">
        <v>210</v>
      </c>
      <c r="C11" s="182">
        <v>36</v>
      </c>
      <c r="D11" s="187" t="s">
        <v>77</v>
      </c>
      <c r="E11" s="340">
        <v>800</v>
      </c>
      <c r="F11" s="355">
        <f t="shared" si="2"/>
        <v>28800</v>
      </c>
      <c r="G11" s="356">
        <v>9600</v>
      </c>
      <c r="H11" s="357">
        <v>0</v>
      </c>
      <c r="I11" s="357">
        <v>0</v>
      </c>
      <c r="J11" s="356">
        <v>9600</v>
      </c>
      <c r="K11" s="357">
        <v>0</v>
      </c>
      <c r="L11" s="357">
        <v>0</v>
      </c>
      <c r="M11" s="356">
        <v>9600</v>
      </c>
      <c r="N11" s="357">
        <v>0</v>
      </c>
      <c r="O11" s="422">
        <v>0</v>
      </c>
      <c r="P11" s="451">
        <f t="shared" si="0"/>
        <v>28800</v>
      </c>
      <c r="Q11" s="375">
        <f t="shared" si="1"/>
        <v>0</v>
      </c>
      <c r="R11" s="452">
        <f t="shared" si="1"/>
        <v>0</v>
      </c>
      <c r="S11" s="13"/>
      <c r="T11" s="104"/>
    </row>
    <row r="12" spans="1:20" s="9" customFormat="1" ht="21.75" customHeight="1">
      <c r="B12" s="191" t="s">
        <v>94</v>
      </c>
      <c r="C12" s="284">
        <v>3</v>
      </c>
      <c r="D12" s="187" t="s">
        <v>92</v>
      </c>
      <c r="E12" s="340">
        <v>3000</v>
      </c>
      <c r="F12" s="355">
        <f t="shared" si="2"/>
        <v>9000</v>
      </c>
      <c r="G12" s="356">
        <v>3000</v>
      </c>
      <c r="H12" s="357">
        <v>0</v>
      </c>
      <c r="I12" s="357">
        <v>0</v>
      </c>
      <c r="J12" s="356">
        <v>3000</v>
      </c>
      <c r="K12" s="357">
        <v>0</v>
      </c>
      <c r="L12" s="357">
        <v>0</v>
      </c>
      <c r="M12" s="356">
        <v>3000</v>
      </c>
      <c r="N12" s="357">
        <v>0</v>
      </c>
      <c r="O12" s="422">
        <v>0</v>
      </c>
      <c r="P12" s="451">
        <f t="shared" si="0"/>
        <v>9000</v>
      </c>
      <c r="Q12" s="375">
        <f t="shared" si="1"/>
        <v>0</v>
      </c>
      <c r="R12" s="452">
        <f t="shared" si="1"/>
        <v>0</v>
      </c>
      <c r="S12" s="13"/>
      <c r="T12" s="104"/>
    </row>
    <row r="13" spans="1:20" s="9" customFormat="1" ht="27.75" customHeight="1">
      <c r="B13" s="191" t="s">
        <v>211</v>
      </c>
      <c r="C13" s="284">
        <v>3</v>
      </c>
      <c r="D13" s="187" t="s">
        <v>92</v>
      </c>
      <c r="E13" s="340">
        <v>1000</v>
      </c>
      <c r="F13" s="355">
        <f t="shared" si="2"/>
        <v>3000</v>
      </c>
      <c r="G13" s="356">
        <v>1000</v>
      </c>
      <c r="H13" s="357">
        <v>0</v>
      </c>
      <c r="I13" s="357">
        <v>0</v>
      </c>
      <c r="J13" s="356">
        <v>1000</v>
      </c>
      <c r="K13" s="357">
        <v>0</v>
      </c>
      <c r="L13" s="357">
        <v>0</v>
      </c>
      <c r="M13" s="356">
        <v>1000</v>
      </c>
      <c r="N13" s="357">
        <v>0</v>
      </c>
      <c r="O13" s="422">
        <v>0</v>
      </c>
      <c r="P13" s="451">
        <f t="shared" si="0"/>
        <v>3000</v>
      </c>
      <c r="Q13" s="375">
        <f t="shared" si="1"/>
        <v>0</v>
      </c>
      <c r="R13" s="452">
        <f t="shared" si="1"/>
        <v>0</v>
      </c>
      <c r="S13" s="13"/>
      <c r="T13" s="104"/>
    </row>
    <row r="14" spans="1:20" s="9" customFormat="1" ht="27" customHeight="1">
      <c r="B14" s="191" t="s">
        <v>212</v>
      </c>
      <c r="C14" s="284">
        <v>3</v>
      </c>
      <c r="D14" s="187" t="s">
        <v>92</v>
      </c>
      <c r="E14" s="340">
        <v>4000</v>
      </c>
      <c r="F14" s="355">
        <f t="shared" si="2"/>
        <v>12000</v>
      </c>
      <c r="G14" s="356">
        <v>4000</v>
      </c>
      <c r="H14" s="357">
        <v>0</v>
      </c>
      <c r="I14" s="357">
        <v>0</v>
      </c>
      <c r="J14" s="356">
        <v>4000</v>
      </c>
      <c r="K14" s="357">
        <v>0</v>
      </c>
      <c r="L14" s="357">
        <v>0</v>
      </c>
      <c r="M14" s="356">
        <v>4000</v>
      </c>
      <c r="N14" s="357">
        <v>0</v>
      </c>
      <c r="O14" s="422">
        <v>0</v>
      </c>
      <c r="P14" s="451">
        <f t="shared" si="0"/>
        <v>12000</v>
      </c>
      <c r="Q14" s="375">
        <f t="shared" si="1"/>
        <v>0</v>
      </c>
      <c r="R14" s="452">
        <f t="shared" si="1"/>
        <v>0</v>
      </c>
      <c r="S14" s="13"/>
      <c r="T14" s="104"/>
    </row>
    <row r="15" spans="1:20" s="9" customFormat="1" ht="25.5" customHeight="1">
      <c r="B15" s="191" t="s">
        <v>213</v>
      </c>
      <c r="C15" s="284">
        <v>3</v>
      </c>
      <c r="D15" s="187" t="s">
        <v>92</v>
      </c>
      <c r="E15" s="340">
        <v>4000</v>
      </c>
      <c r="F15" s="355">
        <f t="shared" si="2"/>
        <v>12000</v>
      </c>
      <c r="G15" s="356">
        <v>4000</v>
      </c>
      <c r="H15" s="357">
        <v>0</v>
      </c>
      <c r="I15" s="357">
        <v>0</v>
      </c>
      <c r="J15" s="356">
        <v>4000</v>
      </c>
      <c r="K15" s="357">
        <v>0</v>
      </c>
      <c r="L15" s="357">
        <v>0</v>
      </c>
      <c r="M15" s="356">
        <v>4000</v>
      </c>
      <c r="N15" s="357">
        <v>0</v>
      </c>
      <c r="O15" s="422">
        <v>0</v>
      </c>
      <c r="P15" s="451">
        <f t="shared" si="0"/>
        <v>12000</v>
      </c>
      <c r="Q15" s="375">
        <f t="shared" si="1"/>
        <v>0</v>
      </c>
      <c r="R15" s="452">
        <f t="shared" si="1"/>
        <v>0</v>
      </c>
      <c r="S15" s="13"/>
      <c r="T15" s="104"/>
    </row>
    <row r="16" spans="1:20" s="9" customFormat="1" ht="25.5" customHeight="1">
      <c r="B16" s="314" t="s">
        <v>200</v>
      </c>
      <c r="C16" s="286">
        <v>54</v>
      </c>
      <c r="D16" s="190" t="s">
        <v>169</v>
      </c>
      <c r="E16" s="339">
        <v>1200</v>
      </c>
      <c r="F16" s="355">
        <f t="shared" si="2"/>
        <v>64800</v>
      </c>
      <c r="G16" s="356">
        <v>21600</v>
      </c>
      <c r="H16" s="357">
        <v>0</v>
      </c>
      <c r="I16" s="357">
        <v>0</v>
      </c>
      <c r="J16" s="356">
        <v>21600</v>
      </c>
      <c r="K16" s="357">
        <v>0</v>
      </c>
      <c r="L16" s="357">
        <v>0</v>
      </c>
      <c r="M16" s="356">
        <v>21600</v>
      </c>
      <c r="N16" s="357">
        <v>0</v>
      </c>
      <c r="O16" s="422">
        <v>0</v>
      </c>
      <c r="P16" s="451">
        <f t="shared" ref="P16:P17" si="3">G16+J16+M16</f>
        <v>64800</v>
      </c>
      <c r="Q16" s="375">
        <f t="shared" ref="Q16:Q17" si="4">H16+K16+N16</f>
        <v>0</v>
      </c>
      <c r="R16" s="452">
        <f t="shared" ref="R16:R17" si="5">I16+L16+O16</f>
        <v>0</v>
      </c>
      <c r="S16" s="13"/>
      <c r="T16" s="104"/>
    </row>
    <row r="17" spans="2:20" s="9" customFormat="1" ht="24.75" customHeight="1">
      <c r="B17" s="189" t="s">
        <v>298</v>
      </c>
      <c r="C17" s="286">
        <v>3</v>
      </c>
      <c r="D17" s="315" t="s">
        <v>92</v>
      </c>
      <c r="E17" s="339">
        <v>3000</v>
      </c>
      <c r="F17" s="355">
        <f t="shared" si="2"/>
        <v>9000</v>
      </c>
      <c r="G17" s="356">
        <v>3000</v>
      </c>
      <c r="H17" s="357">
        <v>0</v>
      </c>
      <c r="I17" s="357">
        <v>0</v>
      </c>
      <c r="J17" s="356">
        <v>3000</v>
      </c>
      <c r="K17" s="357">
        <v>0</v>
      </c>
      <c r="L17" s="357">
        <v>0</v>
      </c>
      <c r="M17" s="356">
        <v>3000</v>
      </c>
      <c r="N17" s="357">
        <v>0</v>
      </c>
      <c r="O17" s="422">
        <v>0</v>
      </c>
      <c r="P17" s="451">
        <f t="shared" si="3"/>
        <v>9000</v>
      </c>
      <c r="Q17" s="375">
        <f t="shared" si="4"/>
        <v>0</v>
      </c>
      <c r="R17" s="452">
        <f t="shared" si="5"/>
        <v>0</v>
      </c>
      <c r="S17" s="13"/>
      <c r="T17" s="104"/>
    </row>
    <row r="18" spans="2:20" s="9" customFormat="1" ht="21.75" customHeight="1">
      <c r="B18" s="191" t="s">
        <v>195</v>
      </c>
      <c r="C18" s="284">
        <v>3</v>
      </c>
      <c r="D18" s="187" t="s">
        <v>92</v>
      </c>
      <c r="E18" s="340">
        <v>5000</v>
      </c>
      <c r="F18" s="355">
        <f t="shared" si="2"/>
        <v>15000</v>
      </c>
      <c r="G18" s="356">
        <v>5000</v>
      </c>
      <c r="H18" s="357">
        <v>0</v>
      </c>
      <c r="I18" s="357">
        <v>0</v>
      </c>
      <c r="J18" s="356">
        <v>5000</v>
      </c>
      <c r="K18" s="357">
        <v>0</v>
      </c>
      <c r="L18" s="357">
        <v>0</v>
      </c>
      <c r="M18" s="356">
        <v>5000</v>
      </c>
      <c r="N18" s="357">
        <v>0</v>
      </c>
      <c r="O18" s="422">
        <v>0</v>
      </c>
      <c r="P18" s="451">
        <f t="shared" si="0"/>
        <v>15000</v>
      </c>
      <c r="Q18" s="375">
        <f t="shared" si="1"/>
        <v>0</v>
      </c>
      <c r="R18" s="452">
        <f t="shared" si="1"/>
        <v>0</v>
      </c>
      <c r="S18" s="13"/>
      <c r="T18" s="104"/>
    </row>
    <row r="19" spans="2:20" s="9" customFormat="1" ht="21.75" customHeight="1">
      <c r="B19" s="191" t="s">
        <v>196</v>
      </c>
      <c r="C19" s="284">
        <v>3</v>
      </c>
      <c r="D19" s="187" t="s">
        <v>92</v>
      </c>
      <c r="E19" s="340">
        <v>2000</v>
      </c>
      <c r="F19" s="355">
        <f t="shared" si="2"/>
        <v>6000</v>
      </c>
      <c r="G19" s="356">
        <v>2000</v>
      </c>
      <c r="H19" s="357">
        <v>0</v>
      </c>
      <c r="I19" s="357">
        <v>0</v>
      </c>
      <c r="J19" s="356">
        <v>2000</v>
      </c>
      <c r="K19" s="357">
        <v>0</v>
      </c>
      <c r="L19" s="357">
        <v>0</v>
      </c>
      <c r="M19" s="356">
        <v>2000</v>
      </c>
      <c r="N19" s="357">
        <v>0</v>
      </c>
      <c r="O19" s="422">
        <v>0</v>
      </c>
      <c r="P19" s="451">
        <f t="shared" si="0"/>
        <v>6000</v>
      </c>
      <c r="Q19" s="375">
        <f t="shared" si="1"/>
        <v>0</v>
      </c>
      <c r="R19" s="452">
        <f t="shared" si="1"/>
        <v>0</v>
      </c>
      <c r="S19" s="13"/>
      <c r="T19" s="104"/>
    </row>
    <row r="20" spans="2:20" s="9" customFormat="1" ht="21.75" customHeight="1">
      <c r="B20" s="191" t="s">
        <v>215</v>
      </c>
      <c r="C20" s="284">
        <v>2</v>
      </c>
      <c r="D20" s="187" t="s">
        <v>204</v>
      </c>
      <c r="E20" s="340">
        <v>10000</v>
      </c>
      <c r="F20" s="355">
        <f t="shared" si="2"/>
        <v>20000</v>
      </c>
      <c r="G20" s="356">
        <v>20000</v>
      </c>
      <c r="H20" s="357">
        <v>0</v>
      </c>
      <c r="I20" s="357">
        <v>0</v>
      </c>
      <c r="J20" s="356">
        <v>0</v>
      </c>
      <c r="K20" s="357">
        <v>0</v>
      </c>
      <c r="L20" s="357">
        <v>0</v>
      </c>
      <c r="M20" s="356">
        <v>0</v>
      </c>
      <c r="N20" s="357">
        <v>0</v>
      </c>
      <c r="O20" s="422">
        <v>0</v>
      </c>
      <c r="P20" s="451">
        <f t="shared" si="0"/>
        <v>20000</v>
      </c>
      <c r="Q20" s="375">
        <f t="shared" si="1"/>
        <v>0</v>
      </c>
      <c r="R20" s="452">
        <f t="shared" si="1"/>
        <v>0</v>
      </c>
      <c r="S20" s="13"/>
      <c r="T20" s="104"/>
    </row>
    <row r="21" spans="2:20" s="9" customFormat="1" ht="21.75" customHeight="1">
      <c r="B21" s="191" t="s">
        <v>203</v>
      </c>
      <c r="C21" s="284">
        <v>12</v>
      </c>
      <c r="D21" s="187" t="s">
        <v>205</v>
      </c>
      <c r="E21" s="340">
        <v>400</v>
      </c>
      <c r="F21" s="355">
        <f t="shared" si="2"/>
        <v>4800</v>
      </c>
      <c r="G21" s="356">
        <v>4800</v>
      </c>
      <c r="H21" s="357">
        <v>0</v>
      </c>
      <c r="I21" s="357">
        <v>0</v>
      </c>
      <c r="J21" s="356">
        <v>0</v>
      </c>
      <c r="K21" s="357">
        <v>0</v>
      </c>
      <c r="L21" s="357">
        <v>0</v>
      </c>
      <c r="M21" s="356">
        <v>0</v>
      </c>
      <c r="N21" s="357">
        <v>0</v>
      </c>
      <c r="O21" s="422">
        <v>0</v>
      </c>
      <c r="P21" s="451">
        <f t="shared" si="0"/>
        <v>4800</v>
      </c>
      <c r="Q21" s="375">
        <f t="shared" si="1"/>
        <v>0</v>
      </c>
      <c r="R21" s="452">
        <f t="shared" si="1"/>
        <v>0</v>
      </c>
      <c r="S21" s="13"/>
      <c r="T21" s="104"/>
    </row>
    <row r="22" spans="2:20" s="9" customFormat="1" ht="21.75" customHeight="1">
      <c r="B22" s="197" t="s">
        <v>97</v>
      </c>
      <c r="C22" s="284">
        <v>3</v>
      </c>
      <c r="D22" s="198" t="s">
        <v>206</v>
      </c>
      <c r="E22" s="340">
        <v>17400</v>
      </c>
      <c r="F22" s="355">
        <f t="shared" si="2"/>
        <v>52200</v>
      </c>
      <c r="G22" s="356">
        <v>17400</v>
      </c>
      <c r="H22" s="357">
        <v>0</v>
      </c>
      <c r="I22" s="357">
        <v>0</v>
      </c>
      <c r="J22" s="356">
        <v>17400</v>
      </c>
      <c r="K22" s="357">
        <v>0</v>
      </c>
      <c r="L22" s="357">
        <v>0</v>
      </c>
      <c r="M22" s="356">
        <v>17400</v>
      </c>
      <c r="N22" s="357">
        <v>0</v>
      </c>
      <c r="O22" s="422">
        <v>0</v>
      </c>
      <c r="P22" s="451">
        <f t="shared" si="0"/>
        <v>52200</v>
      </c>
      <c r="Q22" s="375">
        <f t="shared" si="1"/>
        <v>0</v>
      </c>
      <c r="R22" s="452">
        <f t="shared" si="1"/>
        <v>0</v>
      </c>
      <c r="S22" s="13"/>
      <c r="T22" s="104"/>
    </row>
    <row r="23" spans="2:20" s="9" customFormat="1" ht="21.75" customHeight="1">
      <c r="B23" s="197" t="s">
        <v>98</v>
      </c>
      <c r="C23" s="284">
        <v>1</v>
      </c>
      <c r="D23" s="198" t="s">
        <v>207</v>
      </c>
      <c r="E23" s="340">
        <v>21000</v>
      </c>
      <c r="F23" s="355">
        <f t="shared" si="2"/>
        <v>21000</v>
      </c>
      <c r="G23" s="356">
        <v>0</v>
      </c>
      <c r="H23" s="357">
        <v>0</v>
      </c>
      <c r="I23" s="357">
        <v>0</v>
      </c>
      <c r="J23" s="356">
        <v>0</v>
      </c>
      <c r="K23" s="357">
        <v>0</v>
      </c>
      <c r="L23" s="357">
        <v>0</v>
      </c>
      <c r="M23" s="356">
        <v>21000</v>
      </c>
      <c r="N23" s="357">
        <v>0</v>
      </c>
      <c r="O23" s="422">
        <v>0</v>
      </c>
      <c r="P23" s="451">
        <f t="shared" si="0"/>
        <v>21000</v>
      </c>
      <c r="Q23" s="375">
        <f t="shared" si="1"/>
        <v>0</v>
      </c>
      <c r="R23" s="452">
        <f t="shared" si="1"/>
        <v>0</v>
      </c>
      <c r="S23" s="13"/>
      <c r="T23" s="104"/>
    </row>
    <row r="24" spans="2:20" s="9" customFormat="1" ht="21.75" customHeight="1">
      <c r="B24" s="200" t="s">
        <v>259</v>
      </c>
      <c r="C24" s="199"/>
      <c r="D24" s="199"/>
      <c r="E24" s="342"/>
      <c r="F24" s="363">
        <v>84731.04</v>
      </c>
      <c r="G24" s="356">
        <v>38259.120000000003</v>
      </c>
      <c r="H24" s="357">
        <v>0</v>
      </c>
      <c r="I24" s="357">
        <v>0</v>
      </c>
      <c r="J24" s="356">
        <v>24318.240000000002</v>
      </c>
      <c r="K24" s="357">
        <v>0</v>
      </c>
      <c r="L24" s="357">
        <v>0</v>
      </c>
      <c r="M24" s="356">
        <v>22153.68</v>
      </c>
      <c r="N24" s="357">
        <v>0</v>
      </c>
      <c r="O24" s="422">
        <v>0</v>
      </c>
      <c r="P24" s="451">
        <f t="shared" si="0"/>
        <v>84731.040000000008</v>
      </c>
      <c r="Q24" s="375">
        <f t="shared" si="1"/>
        <v>0</v>
      </c>
      <c r="R24" s="452">
        <f t="shared" si="1"/>
        <v>0</v>
      </c>
      <c r="S24" s="13"/>
      <c r="T24" s="104"/>
    </row>
    <row r="25" spans="2:20" ht="24" customHeight="1">
      <c r="B25" s="569" t="s">
        <v>24</v>
      </c>
      <c r="C25" s="570"/>
      <c r="D25" s="570"/>
      <c r="E25" s="571"/>
      <c r="F25" s="401">
        <f t="shared" ref="F25:R25" si="6">SUM(F6:F24)</f>
        <v>471731.04</v>
      </c>
      <c r="G25" s="415">
        <f t="shared" si="6"/>
        <v>175459.12</v>
      </c>
      <c r="H25" s="37">
        <f t="shared" si="6"/>
        <v>18000</v>
      </c>
      <c r="I25" s="416">
        <f t="shared" si="6"/>
        <v>0</v>
      </c>
      <c r="J25" s="415">
        <f t="shared" si="6"/>
        <v>111718.24</v>
      </c>
      <c r="K25" s="37">
        <f t="shared" si="6"/>
        <v>18000</v>
      </c>
      <c r="L25" s="416">
        <f t="shared" si="6"/>
        <v>0</v>
      </c>
      <c r="M25" s="406">
        <f t="shared" si="6"/>
        <v>130553.68</v>
      </c>
      <c r="N25" s="37">
        <f t="shared" si="6"/>
        <v>18000</v>
      </c>
      <c r="O25" s="401">
        <f t="shared" si="6"/>
        <v>0</v>
      </c>
      <c r="P25" s="415">
        <f t="shared" si="6"/>
        <v>417731.04000000004</v>
      </c>
      <c r="Q25" s="37">
        <f t="shared" si="6"/>
        <v>54000</v>
      </c>
      <c r="R25" s="416">
        <f t="shared" si="6"/>
        <v>0</v>
      </c>
      <c r="S25" s="104">
        <f>SUM(P25:R25)</f>
        <v>471731.04000000004</v>
      </c>
      <c r="T25" s="104"/>
    </row>
    <row r="26" spans="2:20">
      <c r="B26" s="38"/>
      <c r="C26" s="106"/>
      <c r="D26" s="45"/>
      <c r="E26" s="107"/>
      <c r="G26" s="13"/>
      <c r="J26" s="13"/>
      <c r="K26" s="13"/>
      <c r="L26" s="13"/>
      <c r="M26" s="13"/>
      <c r="N26" s="13"/>
      <c r="O26" s="13"/>
      <c r="P26" s="104"/>
      <c r="Q26" s="104"/>
      <c r="R26" s="104"/>
    </row>
    <row r="27" spans="2:20" ht="12.6" customHeight="1">
      <c r="B27" s="8" t="s">
        <v>48</v>
      </c>
      <c r="C27" s="108"/>
      <c r="D27" s="109"/>
      <c r="E27" s="109"/>
      <c r="F27" s="44">
        <f>+F25</f>
        <v>471731.04</v>
      </c>
      <c r="G27" s="44">
        <f t="shared" ref="G27:R27" si="7">+G25</f>
        <v>175459.12</v>
      </c>
      <c r="H27" s="44">
        <f t="shared" si="7"/>
        <v>18000</v>
      </c>
      <c r="I27" s="44">
        <f t="shared" si="7"/>
        <v>0</v>
      </c>
      <c r="J27" s="44">
        <f t="shared" si="7"/>
        <v>111718.24</v>
      </c>
      <c r="K27" s="44">
        <f t="shared" si="7"/>
        <v>18000</v>
      </c>
      <c r="L27" s="44">
        <f t="shared" si="7"/>
        <v>0</v>
      </c>
      <c r="M27" s="44">
        <f t="shared" si="7"/>
        <v>130553.68</v>
      </c>
      <c r="N27" s="44">
        <f t="shared" si="7"/>
        <v>18000</v>
      </c>
      <c r="O27" s="44">
        <f t="shared" si="7"/>
        <v>0</v>
      </c>
      <c r="P27" s="44">
        <f t="shared" si="7"/>
        <v>417731.04000000004</v>
      </c>
      <c r="Q27" s="44">
        <f t="shared" si="7"/>
        <v>54000</v>
      </c>
      <c r="R27" s="44">
        <f t="shared" si="7"/>
        <v>0</v>
      </c>
      <c r="S27" s="104">
        <f>SUM(P27:R27)</f>
        <v>471731.04000000004</v>
      </c>
    </row>
    <row r="28" spans="2:20">
      <c r="B28" s="110"/>
      <c r="C28" s="106"/>
      <c r="D28" s="111"/>
      <c r="E28" s="112"/>
      <c r="G28" s="107"/>
    </row>
    <row r="29" spans="2:20">
      <c r="B29" s="144" t="s">
        <v>49</v>
      </c>
      <c r="C29" s="145"/>
      <c r="D29" s="146"/>
      <c r="E29" s="147"/>
      <c r="F29" s="134">
        <f>F27/$R$3</f>
        <v>67777.448275862072</v>
      </c>
      <c r="G29" s="134">
        <f t="shared" ref="G29:R29" si="8">G27/$R$3</f>
        <v>25209.643678160919</v>
      </c>
      <c r="H29" s="134">
        <f t="shared" si="8"/>
        <v>2586.2068965517242</v>
      </c>
      <c r="I29" s="134">
        <f t="shared" si="8"/>
        <v>0</v>
      </c>
      <c r="J29" s="134">
        <f t="shared" si="8"/>
        <v>16051.471264367818</v>
      </c>
      <c r="K29" s="134">
        <f t="shared" si="8"/>
        <v>2586.2068965517242</v>
      </c>
      <c r="L29" s="134">
        <f t="shared" si="8"/>
        <v>0</v>
      </c>
      <c r="M29" s="134">
        <f t="shared" si="8"/>
        <v>18757.712643678158</v>
      </c>
      <c r="N29" s="134">
        <f t="shared" si="8"/>
        <v>2586.2068965517242</v>
      </c>
      <c r="O29" s="134">
        <f t="shared" si="8"/>
        <v>0</v>
      </c>
      <c r="P29" s="376">
        <f t="shared" si="8"/>
        <v>60018.827586206906</v>
      </c>
      <c r="Q29" s="376">
        <f t="shared" si="8"/>
        <v>7758.6206896551721</v>
      </c>
      <c r="R29" s="376">
        <f t="shared" si="8"/>
        <v>0</v>
      </c>
      <c r="S29" s="104">
        <f>SUM(P29:R29)</f>
        <v>67777.448275862072</v>
      </c>
    </row>
    <row r="30" spans="2:20">
      <c r="E30" s="113"/>
    </row>
  </sheetData>
  <mergeCells count="6">
    <mergeCell ref="P4:R4"/>
    <mergeCell ref="J4:L4"/>
    <mergeCell ref="G4:I4"/>
    <mergeCell ref="B25:E25"/>
    <mergeCell ref="M4:O4"/>
    <mergeCell ref="B4:D4"/>
  </mergeCells>
  <phoneticPr fontId="0" type="noConversion"/>
  <printOptions horizontalCentered="1"/>
  <pageMargins left="0.19685039370078741" right="0.19685039370078741" top="0.78740157480314965" bottom="0.39370078740157483" header="0.39370078740157483" footer="0"/>
  <pageSetup scale="67" fitToHeight="42" orientation="landscape"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AA531"/>
  <sheetViews>
    <sheetView topLeftCell="A45" zoomScale="40" zoomScaleNormal="40" workbookViewId="0">
      <selection activeCell="M48" sqref="M48"/>
    </sheetView>
  </sheetViews>
  <sheetFormatPr baseColWidth="10" defaultRowHeight="12.75"/>
  <cols>
    <col min="1" max="1" width="11.42578125" style="292"/>
    <col min="2" max="2" width="68" style="322" customWidth="1"/>
    <col min="3" max="3" width="51.7109375" style="293" customWidth="1"/>
    <col min="4" max="5" width="11.42578125" style="292"/>
    <col min="6" max="6" width="11.42578125" style="293"/>
    <col min="7" max="7" width="14.85546875" style="184" bestFit="1" customWidth="1"/>
    <col min="8" max="8" width="17.42578125" style="184" customWidth="1"/>
    <col min="9" max="9" width="12.85546875" style="184" bestFit="1" customWidth="1"/>
    <col min="10" max="10" width="16.28515625" style="184" bestFit="1" customWidth="1"/>
    <col min="11" max="11" width="12.85546875" style="184" bestFit="1" customWidth="1"/>
    <col min="12" max="12" width="13.5703125" style="184" bestFit="1" customWidth="1"/>
    <col min="13" max="13" width="19.28515625" style="184" bestFit="1" customWidth="1"/>
    <col min="14" max="14" width="12.85546875" style="184" bestFit="1" customWidth="1"/>
    <col min="15" max="15" width="15.42578125" style="184" customWidth="1"/>
    <col min="16" max="16" width="15.28515625" style="184" bestFit="1" customWidth="1"/>
    <col min="17" max="17" width="6.28515625" style="332" customWidth="1"/>
    <col min="18" max="18" width="17.42578125" style="301" bestFit="1" customWidth="1"/>
    <col min="19" max="19" width="12.85546875" style="301" bestFit="1" customWidth="1"/>
    <col min="20" max="20" width="16.28515625" style="301" bestFit="1" customWidth="1"/>
    <col min="21" max="21" width="11.5703125" style="301" bestFit="1" customWidth="1"/>
    <col min="22" max="22" width="13.5703125" style="301" bestFit="1" customWidth="1"/>
    <col min="23" max="23" width="19.28515625" style="301" bestFit="1" customWidth="1"/>
    <col min="24" max="24" width="11.5703125" style="301" bestFit="1" customWidth="1"/>
    <col min="25" max="25" width="19.5703125" style="301" customWidth="1"/>
    <col min="26" max="16384" width="11.42578125" style="293"/>
  </cols>
  <sheetData>
    <row r="1" spans="1:26" ht="13.5" thickBot="1">
      <c r="Z1" s="294"/>
    </row>
    <row r="2" spans="1:26" ht="13.5" thickBot="1">
      <c r="A2" s="580" t="s">
        <v>375</v>
      </c>
      <c r="B2" s="581"/>
      <c r="C2" s="581"/>
      <c r="D2" s="582"/>
      <c r="E2" s="582"/>
      <c r="F2" s="583"/>
      <c r="G2" s="583"/>
      <c r="H2" s="583"/>
      <c r="I2" s="583"/>
      <c r="J2" s="583"/>
      <c r="K2" s="583"/>
      <c r="L2" s="583"/>
      <c r="M2" s="583"/>
      <c r="N2" s="583"/>
      <c r="O2" s="583"/>
      <c r="P2" s="583"/>
      <c r="Q2" s="583"/>
      <c r="R2" s="583"/>
      <c r="S2" s="583"/>
      <c r="T2" s="583"/>
      <c r="U2" s="583"/>
      <c r="V2" s="583"/>
      <c r="W2" s="583"/>
      <c r="X2" s="583"/>
      <c r="Y2" s="584"/>
      <c r="Z2" s="172"/>
    </row>
    <row r="3" spans="1:26" ht="9" customHeight="1" thickBot="1">
      <c r="A3" s="585"/>
      <c r="B3" s="585"/>
      <c r="C3" s="585"/>
      <c r="D3" s="586"/>
      <c r="E3" s="586"/>
      <c r="F3" s="587"/>
      <c r="G3" s="587"/>
      <c r="H3" s="587"/>
      <c r="I3" s="587"/>
      <c r="J3" s="587"/>
      <c r="K3" s="587"/>
      <c r="L3" s="587"/>
      <c r="M3" s="587"/>
      <c r="N3" s="587"/>
      <c r="O3" s="587"/>
      <c r="P3" s="587"/>
      <c r="Q3" s="587"/>
      <c r="R3" s="587"/>
      <c r="S3" s="587"/>
      <c r="T3" s="587"/>
      <c r="U3" s="587"/>
      <c r="V3" s="587"/>
      <c r="W3" s="587"/>
      <c r="X3" s="587"/>
      <c r="Y3" s="587"/>
    </row>
    <row r="4" spans="1:26" ht="13.5" thickBot="1">
      <c r="A4" s="295"/>
      <c r="B4" s="148" t="s">
        <v>374</v>
      </c>
      <c r="C4" s="296"/>
      <c r="D4" s="335"/>
      <c r="E4" s="335"/>
      <c r="F4" s="336"/>
      <c r="G4" s="297"/>
      <c r="H4" s="297"/>
      <c r="I4" s="297"/>
      <c r="J4" s="297"/>
      <c r="K4" s="297"/>
      <c r="L4" s="297"/>
      <c r="M4" s="297"/>
      <c r="N4" s="297"/>
      <c r="O4" s="297"/>
      <c r="P4" s="298"/>
      <c r="Q4" s="333"/>
      <c r="R4" s="343"/>
      <c r="S4" s="343"/>
      <c r="T4" s="343"/>
      <c r="U4" s="343"/>
      <c r="V4" s="343"/>
      <c r="W4" s="343"/>
      <c r="X4" s="343"/>
      <c r="Y4" s="344">
        <v>6.96</v>
      </c>
      <c r="Z4" s="173"/>
    </row>
    <row r="5" spans="1:26" ht="8.25" customHeight="1">
      <c r="A5" s="282"/>
      <c r="B5" s="323"/>
      <c r="C5" s="174"/>
      <c r="D5" s="282"/>
      <c r="E5" s="282"/>
      <c r="F5" s="174"/>
      <c r="G5" s="202"/>
      <c r="H5" s="202"/>
      <c r="I5" s="202"/>
      <c r="J5" s="202"/>
      <c r="K5" s="202"/>
      <c r="L5" s="202"/>
      <c r="M5" s="202"/>
      <c r="N5" s="202"/>
      <c r="O5" s="202"/>
      <c r="P5" s="203"/>
      <c r="Q5" s="334"/>
      <c r="R5" s="345"/>
      <c r="S5" s="345"/>
      <c r="T5" s="345"/>
      <c r="U5" s="345"/>
      <c r="V5" s="345"/>
      <c r="W5" s="345"/>
      <c r="X5" s="345"/>
      <c r="Y5" s="345"/>
    </row>
    <row r="6" spans="1:26" s="292" customFormat="1" ht="12.75" customHeight="1">
      <c r="A6" s="589" t="s">
        <v>1</v>
      </c>
      <c r="B6" s="590"/>
      <c r="C6" s="591"/>
      <c r="D6" s="595" t="s">
        <v>2</v>
      </c>
      <c r="E6" s="595" t="s">
        <v>3</v>
      </c>
      <c r="F6" s="597" t="s">
        <v>69</v>
      </c>
      <c r="G6" s="599" t="s">
        <v>70</v>
      </c>
      <c r="H6" s="606" t="s">
        <v>108</v>
      </c>
      <c r="I6" s="588" t="s">
        <v>109</v>
      </c>
      <c r="J6" s="588"/>
      <c r="K6" s="574" t="s">
        <v>293</v>
      </c>
      <c r="L6" s="576" t="s">
        <v>110</v>
      </c>
      <c r="M6" s="576" t="s">
        <v>111</v>
      </c>
      <c r="N6" s="574" t="s">
        <v>294</v>
      </c>
      <c r="O6" s="608" t="s">
        <v>112</v>
      </c>
      <c r="P6" s="604" t="s">
        <v>113</v>
      </c>
      <c r="Q6" s="578" t="s">
        <v>230</v>
      </c>
      <c r="R6" s="572" t="s">
        <v>114</v>
      </c>
      <c r="S6" s="603" t="s">
        <v>115</v>
      </c>
      <c r="T6" s="603"/>
      <c r="U6" s="572" t="s">
        <v>295</v>
      </c>
      <c r="V6" s="572" t="s">
        <v>116</v>
      </c>
      <c r="W6" s="572" t="s">
        <v>117</v>
      </c>
      <c r="X6" s="572" t="s">
        <v>296</v>
      </c>
      <c r="Y6" s="601" t="s">
        <v>118</v>
      </c>
    </row>
    <row r="7" spans="1:26" s="292" customFormat="1">
      <c r="A7" s="592"/>
      <c r="B7" s="593"/>
      <c r="C7" s="594"/>
      <c r="D7" s="596"/>
      <c r="E7" s="596"/>
      <c r="F7" s="598"/>
      <c r="G7" s="600"/>
      <c r="H7" s="607"/>
      <c r="I7" s="460" t="s">
        <v>71</v>
      </c>
      <c r="J7" s="460" t="s">
        <v>72</v>
      </c>
      <c r="K7" s="575"/>
      <c r="L7" s="577"/>
      <c r="M7" s="577"/>
      <c r="N7" s="575"/>
      <c r="O7" s="609"/>
      <c r="P7" s="605"/>
      <c r="Q7" s="579"/>
      <c r="R7" s="573"/>
      <c r="S7" s="349" t="s">
        <v>71</v>
      </c>
      <c r="T7" s="349" t="s">
        <v>72</v>
      </c>
      <c r="U7" s="573"/>
      <c r="V7" s="573"/>
      <c r="W7" s="573"/>
      <c r="X7" s="573"/>
      <c r="Y7" s="602"/>
    </row>
    <row r="8" spans="1:26">
      <c r="A8" s="175" t="s">
        <v>73</v>
      </c>
      <c r="B8" s="324"/>
      <c r="C8" s="176" t="s">
        <v>74</v>
      </c>
      <c r="D8" s="177"/>
      <c r="E8" s="177"/>
      <c r="F8" s="178"/>
      <c r="G8" s="207"/>
      <c r="H8" s="350"/>
      <c r="I8" s="351"/>
      <c r="J8" s="351"/>
      <c r="K8" s="351"/>
      <c r="L8" s="351"/>
      <c r="M8" s="351"/>
      <c r="N8" s="351"/>
      <c r="O8" s="208"/>
      <c r="P8" s="350"/>
      <c r="Q8" s="318"/>
      <c r="R8" s="346"/>
      <c r="S8" s="346"/>
      <c r="T8" s="346"/>
      <c r="U8" s="346"/>
      <c r="V8" s="346"/>
      <c r="W8" s="346"/>
      <c r="X8" s="364"/>
      <c r="Y8" s="347"/>
    </row>
    <row r="9" spans="1:26" hidden="1">
      <c r="A9" s="221" t="s">
        <v>75</v>
      </c>
      <c r="B9" s="325"/>
      <c r="C9" s="222"/>
      <c r="D9" s="283"/>
      <c r="E9" s="283"/>
      <c r="F9" s="223"/>
      <c r="G9" s="209">
        <f t="shared" ref="G9:P9" si="0">G10+G14+G21+G37+G86+G102+G127</f>
        <v>1057474</v>
      </c>
      <c r="H9" s="209">
        <f t="shared" si="0"/>
        <v>897574</v>
      </c>
      <c r="I9" s="209">
        <f t="shared" si="0"/>
        <v>4500</v>
      </c>
      <c r="J9" s="209">
        <f t="shared" si="0"/>
        <v>0</v>
      </c>
      <c r="K9" s="209">
        <f t="shared" si="0"/>
        <v>4500</v>
      </c>
      <c r="L9" s="209">
        <f t="shared" si="0"/>
        <v>33000</v>
      </c>
      <c r="M9" s="209">
        <f t="shared" si="0"/>
        <v>122400</v>
      </c>
      <c r="N9" s="209">
        <f t="shared" si="0"/>
        <v>155400</v>
      </c>
      <c r="O9" s="209">
        <f t="shared" si="0"/>
        <v>1057474</v>
      </c>
      <c r="P9" s="226">
        <f t="shared" si="0"/>
        <v>151935.91954022989</v>
      </c>
      <c r="Q9" s="320"/>
      <c r="R9" s="226">
        <f t="shared" ref="R9:Y9" si="1">R10+R14+R21+R37+R86+R102+R127</f>
        <v>128961.78160919536</v>
      </c>
      <c r="S9" s="226">
        <f t="shared" si="1"/>
        <v>646.55172413793105</v>
      </c>
      <c r="T9" s="226">
        <f t="shared" si="1"/>
        <v>0</v>
      </c>
      <c r="U9" s="226">
        <f t="shared" si="1"/>
        <v>646.55172413793105</v>
      </c>
      <c r="V9" s="226">
        <f t="shared" si="1"/>
        <v>4741.3793103448279</v>
      </c>
      <c r="W9" s="226">
        <f t="shared" si="1"/>
        <v>17586.206896551725</v>
      </c>
      <c r="X9" s="226">
        <f t="shared" si="1"/>
        <v>22327.586206896554</v>
      </c>
      <c r="Y9" s="226">
        <f t="shared" si="1"/>
        <v>151935.91954022989</v>
      </c>
      <c r="Z9" s="184">
        <f t="shared" ref="Z9:Z72" si="2">P9-Y9</f>
        <v>0</v>
      </c>
    </row>
    <row r="10" spans="1:26" ht="27" hidden="1" customHeight="1">
      <c r="A10" s="219" t="s">
        <v>324</v>
      </c>
      <c r="B10" s="326"/>
      <c r="C10" s="220"/>
      <c r="D10" s="179"/>
      <c r="E10" s="179"/>
      <c r="F10" s="180"/>
      <c r="G10" s="207">
        <f>SUM(G11:G13)</f>
        <v>17400</v>
      </c>
      <c r="H10" s="207">
        <f t="shared" ref="H10:Y10" si="3">SUM(H11:H13)</f>
        <v>17400</v>
      </c>
      <c r="I10" s="207">
        <f t="shared" si="3"/>
        <v>0</v>
      </c>
      <c r="J10" s="207">
        <f t="shared" si="3"/>
        <v>0</v>
      </c>
      <c r="K10" s="207">
        <f t="shared" si="3"/>
        <v>0</v>
      </c>
      <c r="L10" s="207">
        <f t="shared" si="3"/>
        <v>0</v>
      </c>
      <c r="M10" s="207">
        <f t="shared" si="3"/>
        <v>0</v>
      </c>
      <c r="N10" s="207">
        <f t="shared" si="3"/>
        <v>0</v>
      </c>
      <c r="O10" s="207">
        <f t="shared" si="3"/>
        <v>17400</v>
      </c>
      <c r="P10" s="207">
        <f t="shared" si="3"/>
        <v>2500</v>
      </c>
      <c r="Q10" s="320"/>
      <c r="R10" s="207">
        <f t="shared" si="3"/>
        <v>2500</v>
      </c>
      <c r="S10" s="207">
        <f t="shared" si="3"/>
        <v>0</v>
      </c>
      <c r="T10" s="207">
        <f t="shared" si="3"/>
        <v>0</v>
      </c>
      <c r="U10" s="207">
        <f t="shared" si="3"/>
        <v>0</v>
      </c>
      <c r="V10" s="207">
        <f t="shared" si="3"/>
        <v>0</v>
      </c>
      <c r="W10" s="207">
        <f t="shared" si="3"/>
        <v>0</v>
      </c>
      <c r="X10" s="207">
        <f t="shared" si="3"/>
        <v>0</v>
      </c>
      <c r="Y10" s="207">
        <f t="shared" si="3"/>
        <v>2500</v>
      </c>
      <c r="Z10" s="184">
        <f t="shared" si="2"/>
        <v>0</v>
      </c>
    </row>
    <row r="11" spans="1:26" ht="27" hidden="1" customHeight="1">
      <c r="A11" s="187">
        <v>3</v>
      </c>
      <c r="B11" s="328" t="s">
        <v>324</v>
      </c>
      <c r="C11" s="328" t="s">
        <v>316</v>
      </c>
      <c r="D11" s="284">
        <v>1</v>
      </c>
      <c r="E11" s="187" t="s">
        <v>317</v>
      </c>
      <c r="F11" s="340">
        <f>2500*6.96</f>
        <v>17400</v>
      </c>
      <c r="G11" s="355">
        <f t="shared" ref="G11:G13" si="4">D11*F11</f>
        <v>17400</v>
      </c>
      <c r="H11" s="356">
        <f t="shared" ref="H11:H13" si="5">R11*$Y$4</f>
        <v>17400</v>
      </c>
      <c r="I11" s="357"/>
      <c r="J11" s="357"/>
      <c r="K11" s="357">
        <f t="shared" ref="K11:K13" si="6">I11+J11</f>
        <v>0</v>
      </c>
      <c r="L11" s="357"/>
      <c r="M11" s="357"/>
      <c r="N11" s="357">
        <f t="shared" ref="N11:N13" si="7">L11+M11</f>
        <v>0</v>
      </c>
      <c r="O11" s="358">
        <f t="shared" ref="O11:O13" si="8">H11+K11+N11</f>
        <v>17400</v>
      </c>
      <c r="P11" s="359">
        <f t="shared" ref="P11:P13" si="9">G11/$Y$4</f>
        <v>2500</v>
      </c>
      <c r="Q11" s="320">
        <v>1</v>
      </c>
      <c r="R11" s="188">
        <f t="shared" ref="R11:R13" si="10">P11</f>
        <v>2500</v>
      </c>
      <c r="S11" s="188"/>
      <c r="T11" s="188"/>
      <c r="U11" s="357">
        <f t="shared" ref="U11:U13" si="11">S11+T11</f>
        <v>0</v>
      </c>
      <c r="V11" s="188"/>
      <c r="W11" s="188"/>
      <c r="X11" s="357">
        <f t="shared" ref="X11:X13" si="12">V11+W11</f>
        <v>0</v>
      </c>
      <c r="Y11" s="358">
        <f t="shared" ref="Y11:Y13" si="13">R11+U11+X11</f>
        <v>2500</v>
      </c>
      <c r="Z11" s="184">
        <f t="shared" si="2"/>
        <v>0</v>
      </c>
    </row>
    <row r="12" spans="1:26" ht="27" hidden="1" customHeight="1">
      <c r="A12" s="187">
        <v>3</v>
      </c>
      <c r="B12" s="328" t="s">
        <v>324</v>
      </c>
      <c r="C12" s="328" t="s">
        <v>316</v>
      </c>
      <c r="D12" s="284">
        <v>0</v>
      </c>
      <c r="E12" s="187" t="s">
        <v>317</v>
      </c>
      <c r="F12" s="340">
        <f t="shared" ref="F12:F13" si="14">2500*6.96</f>
        <v>17400</v>
      </c>
      <c r="G12" s="355">
        <f t="shared" si="4"/>
        <v>0</v>
      </c>
      <c r="H12" s="356">
        <f t="shared" si="5"/>
        <v>0</v>
      </c>
      <c r="I12" s="357"/>
      <c r="J12" s="357"/>
      <c r="K12" s="357">
        <f t="shared" si="6"/>
        <v>0</v>
      </c>
      <c r="L12" s="357"/>
      <c r="M12" s="357"/>
      <c r="N12" s="357">
        <f t="shared" si="7"/>
        <v>0</v>
      </c>
      <c r="O12" s="358">
        <f t="shared" si="8"/>
        <v>0</v>
      </c>
      <c r="P12" s="359">
        <f t="shared" si="9"/>
        <v>0</v>
      </c>
      <c r="Q12" s="320">
        <v>2</v>
      </c>
      <c r="R12" s="188">
        <f t="shared" si="10"/>
        <v>0</v>
      </c>
      <c r="S12" s="188"/>
      <c r="T12" s="188"/>
      <c r="U12" s="357">
        <f t="shared" si="11"/>
        <v>0</v>
      </c>
      <c r="V12" s="188"/>
      <c r="W12" s="188"/>
      <c r="X12" s="357">
        <f t="shared" si="12"/>
        <v>0</v>
      </c>
      <c r="Y12" s="358">
        <f t="shared" si="13"/>
        <v>0</v>
      </c>
      <c r="Z12" s="184">
        <f t="shared" si="2"/>
        <v>0</v>
      </c>
    </row>
    <row r="13" spans="1:26" ht="27" hidden="1" customHeight="1">
      <c r="A13" s="187">
        <v>3</v>
      </c>
      <c r="B13" s="328" t="s">
        <v>324</v>
      </c>
      <c r="C13" s="328" t="s">
        <v>316</v>
      </c>
      <c r="D13" s="284">
        <v>0</v>
      </c>
      <c r="E13" s="187" t="s">
        <v>317</v>
      </c>
      <c r="F13" s="340">
        <f t="shared" si="14"/>
        <v>17400</v>
      </c>
      <c r="G13" s="355">
        <f t="shared" si="4"/>
        <v>0</v>
      </c>
      <c r="H13" s="356">
        <f t="shared" si="5"/>
        <v>0</v>
      </c>
      <c r="I13" s="357"/>
      <c r="J13" s="357"/>
      <c r="K13" s="357">
        <f t="shared" si="6"/>
        <v>0</v>
      </c>
      <c r="L13" s="357"/>
      <c r="M13" s="357"/>
      <c r="N13" s="357">
        <f t="shared" si="7"/>
        <v>0</v>
      </c>
      <c r="O13" s="358">
        <f t="shared" si="8"/>
        <v>0</v>
      </c>
      <c r="P13" s="359">
        <f t="shared" si="9"/>
        <v>0</v>
      </c>
      <c r="Q13" s="320">
        <v>3</v>
      </c>
      <c r="R13" s="188">
        <f t="shared" si="10"/>
        <v>0</v>
      </c>
      <c r="S13" s="188"/>
      <c r="T13" s="188"/>
      <c r="U13" s="357">
        <f t="shared" si="11"/>
        <v>0</v>
      </c>
      <c r="V13" s="188"/>
      <c r="W13" s="188"/>
      <c r="X13" s="357">
        <f t="shared" si="12"/>
        <v>0</v>
      </c>
      <c r="Y13" s="358">
        <f t="shared" si="13"/>
        <v>0</v>
      </c>
      <c r="Z13" s="184">
        <f t="shared" si="2"/>
        <v>0</v>
      </c>
    </row>
    <row r="14" spans="1:26" ht="27" hidden="1" customHeight="1">
      <c r="A14" s="219" t="s">
        <v>326</v>
      </c>
      <c r="B14" s="326"/>
      <c r="C14" s="220"/>
      <c r="D14" s="179"/>
      <c r="E14" s="179"/>
      <c r="F14" s="180"/>
      <c r="G14" s="207">
        <f t="shared" ref="G14:P14" si="15">SUM(G15:G20)</f>
        <v>8140</v>
      </c>
      <c r="H14" s="352">
        <f t="shared" si="15"/>
        <v>8140</v>
      </c>
      <c r="I14" s="353">
        <f t="shared" si="15"/>
        <v>0</v>
      </c>
      <c r="J14" s="353">
        <f t="shared" si="15"/>
        <v>0</v>
      </c>
      <c r="K14" s="353">
        <f t="shared" si="15"/>
        <v>0</v>
      </c>
      <c r="L14" s="353">
        <f t="shared" si="15"/>
        <v>0</v>
      </c>
      <c r="M14" s="353">
        <f t="shared" si="15"/>
        <v>0</v>
      </c>
      <c r="N14" s="353">
        <f t="shared" si="15"/>
        <v>0</v>
      </c>
      <c r="O14" s="354">
        <f t="shared" si="15"/>
        <v>8140</v>
      </c>
      <c r="P14" s="352">
        <f t="shared" si="15"/>
        <v>1169.5402298850574</v>
      </c>
      <c r="Q14" s="320"/>
      <c r="R14" s="181">
        <f t="shared" ref="R14:Y14" si="16">SUM(R15:R20)</f>
        <v>1169.5402298850574</v>
      </c>
      <c r="S14" s="181">
        <f t="shared" si="16"/>
        <v>0</v>
      </c>
      <c r="T14" s="181">
        <f t="shared" si="16"/>
        <v>0</v>
      </c>
      <c r="U14" s="353">
        <f t="shared" si="16"/>
        <v>0</v>
      </c>
      <c r="V14" s="181">
        <f t="shared" si="16"/>
        <v>0</v>
      </c>
      <c r="W14" s="181">
        <f t="shared" si="16"/>
        <v>0</v>
      </c>
      <c r="X14" s="353">
        <f t="shared" si="16"/>
        <v>0</v>
      </c>
      <c r="Y14" s="354">
        <f t="shared" si="16"/>
        <v>1169.5402298850574</v>
      </c>
      <c r="Z14" s="184">
        <f t="shared" si="2"/>
        <v>0</v>
      </c>
    </row>
    <row r="15" spans="1:26" ht="25.5" hidden="1">
      <c r="A15" s="187">
        <v>3</v>
      </c>
      <c r="B15" s="328" t="s">
        <v>326</v>
      </c>
      <c r="C15" s="191" t="s">
        <v>141</v>
      </c>
      <c r="D15" s="285">
        <v>22</v>
      </c>
      <c r="E15" s="192" t="s">
        <v>161</v>
      </c>
      <c r="F15" s="337">
        <f>150+20</f>
        <v>170</v>
      </c>
      <c r="G15" s="355">
        <f>D15*F15</f>
        <v>3740</v>
      </c>
      <c r="H15" s="356">
        <f>R15*$Y$4</f>
        <v>3740</v>
      </c>
      <c r="I15" s="357"/>
      <c r="J15" s="357"/>
      <c r="K15" s="357">
        <f>I15+J15</f>
        <v>0</v>
      </c>
      <c r="L15" s="357"/>
      <c r="M15" s="357"/>
      <c r="N15" s="357">
        <f>L15+M15</f>
        <v>0</v>
      </c>
      <c r="O15" s="358">
        <f>H15+K15+N15</f>
        <v>3740</v>
      </c>
      <c r="P15" s="359">
        <f>G15/$Y$4</f>
        <v>537.35632183908046</v>
      </c>
      <c r="Q15" s="320">
        <v>1</v>
      </c>
      <c r="R15" s="188">
        <f>P15</f>
        <v>537.35632183908046</v>
      </c>
      <c r="S15" s="188"/>
      <c r="T15" s="188"/>
      <c r="U15" s="357">
        <f>S15+T15</f>
        <v>0</v>
      </c>
      <c r="V15" s="188"/>
      <c r="W15" s="188"/>
      <c r="X15" s="357">
        <f>V15+W15</f>
        <v>0</v>
      </c>
      <c r="Y15" s="358">
        <f>R15+U15+X15</f>
        <v>537.35632183908046</v>
      </c>
      <c r="Z15" s="184">
        <f t="shared" si="2"/>
        <v>0</v>
      </c>
    </row>
    <row r="16" spans="1:26" ht="25.5" hidden="1">
      <c r="A16" s="187">
        <v>3</v>
      </c>
      <c r="B16" s="328" t="s">
        <v>326</v>
      </c>
      <c r="C16" s="191" t="s">
        <v>141</v>
      </c>
      <c r="D16" s="285">
        <v>0</v>
      </c>
      <c r="E16" s="192" t="s">
        <v>161</v>
      </c>
      <c r="F16" s="337">
        <f t="shared" ref="F16:F17" si="17">150+20</f>
        <v>170</v>
      </c>
      <c r="G16" s="355">
        <f t="shared" ref="G16:G20" si="18">D16*F16</f>
        <v>0</v>
      </c>
      <c r="H16" s="356">
        <f t="shared" ref="H16:H20" si="19">R16*$Y$4</f>
        <v>0</v>
      </c>
      <c r="I16" s="357"/>
      <c r="J16" s="357"/>
      <c r="K16" s="357">
        <f t="shared" ref="K16:K20" si="20">I16+J16</f>
        <v>0</v>
      </c>
      <c r="L16" s="357"/>
      <c r="M16" s="357"/>
      <c r="N16" s="357">
        <f t="shared" ref="N16:N20" si="21">L16+M16</f>
        <v>0</v>
      </c>
      <c r="O16" s="358">
        <f t="shared" ref="O16:O20" si="22">H16+K16+N16</f>
        <v>0</v>
      </c>
      <c r="P16" s="359">
        <f t="shared" ref="P16:P20" si="23">G16/$Y$4</f>
        <v>0</v>
      </c>
      <c r="Q16" s="320">
        <v>2</v>
      </c>
      <c r="R16" s="188">
        <f t="shared" ref="R16:R20" si="24">P16</f>
        <v>0</v>
      </c>
      <c r="S16" s="188"/>
      <c r="T16" s="188"/>
      <c r="U16" s="357">
        <f t="shared" ref="U16:U20" si="25">S16+T16</f>
        <v>0</v>
      </c>
      <c r="V16" s="188"/>
      <c r="W16" s="188"/>
      <c r="X16" s="357">
        <f t="shared" ref="X16:X20" si="26">V16+W16</f>
        <v>0</v>
      </c>
      <c r="Y16" s="358">
        <f t="shared" ref="Y16:Y20" si="27">R16+U16+X16</f>
        <v>0</v>
      </c>
      <c r="Z16" s="184">
        <f t="shared" si="2"/>
        <v>0</v>
      </c>
    </row>
    <row r="17" spans="1:26" ht="25.5" hidden="1">
      <c r="A17" s="187">
        <v>3</v>
      </c>
      <c r="B17" s="328" t="s">
        <v>326</v>
      </c>
      <c r="C17" s="191" t="s">
        <v>141</v>
      </c>
      <c r="D17" s="285">
        <v>0</v>
      </c>
      <c r="E17" s="192" t="s">
        <v>161</v>
      </c>
      <c r="F17" s="337">
        <f t="shared" si="17"/>
        <v>170</v>
      </c>
      <c r="G17" s="355">
        <f t="shared" si="18"/>
        <v>0</v>
      </c>
      <c r="H17" s="356">
        <f t="shared" si="19"/>
        <v>0</v>
      </c>
      <c r="I17" s="357"/>
      <c r="J17" s="357"/>
      <c r="K17" s="357">
        <f t="shared" si="20"/>
        <v>0</v>
      </c>
      <c r="L17" s="357"/>
      <c r="M17" s="357"/>
      <c r="N17" s="357">
        <f t="shared" si="21"/>
        <v>0</v>
      </c>
      <c r="O17" s="358">
        <f t="shared" si="22"/>
        <v>0</v>
      </c>
      <c r="P17" s="359">
        <f t="shared" si="23"/>
        <v>0</v>
      </c>
      <c r="Q17" s="320">
        <v>3</v>
      </c>
      <c r="R17" s="188">
        <f t="shared" si="24"/>
        <v>0</v>
      </c>
      <c r="S17" s="188"/>
      <c r="T17" s="188"/>
      <c r="U17" s="357">
        <f t="shared" si="25"/>
        <v>0</v>
      </c>
      <c r="V17" s="188"/>
      <c r="W17" s="188"/>
      <c r="X17" s="357">
        <f t="shared" si="26"/>
        <v>0</v>
      </c>
      <c r="Y17" s="358">
        <f t="shared" si="27"/>
        <v>0</v>
      </c>
      <c r="Z17" s="184">
        <f t="shared" si="2"/>
        <v>0</v>
      </c>
    </row>
    <row r="18" spans="1:26" ht="25.5" hidden="1">
      <c r="A18" s="187">
        <v>3</v>
      </c>
      <c r="B18" s="328" t="s">
        <v>326</v>
      </c>
      <c r="C18" s="191" t="s">
        <v>260</v>
      </c>
      <c r="D18" s="284">
        <v>22</v>
      </c>
      <c r="E18" s="187" t="s">
        <v>142</v>
      </c>
      <c r="F18" s="340">
        <f>25*8</f>
        <v>200</v>
      </c>
      <c r="G18" s="355">
        <f t="shared" si="18"/>
        <v>4400</v>
      </c>
      <c r="H18" s="356">
        <f t="shared" si="19"/>
        <v>4400</v>
      </c>
      <c r="I18" s="357"/>
      <c r="J18" s="357"/>
      <c r="K18" s="357">
        <f t="shared" si="20"/>
        <v>0</v>
      </c>
      <c r="L18" s="357"/>
      <c r="M18" s="357"/>
      <c r="N18" s="357">
        <f t="shared" si="21"/>
        <v>0</v>
      </c>
      <c r="O18" s="358">
        <f t="shared" si="22"/>
        <v>4400</v>
      </c>
      <c r="P18" s="359">
        <f t="shared" si="23"/>
        <v>632.18390804597698</v>
      </c>
      <c r="Q18" s="320">
        <v>1</v>
      </c>
      <c r="R18" s="188">
        <f t="shared" si="24"/>
        <v>632.18390804597698</v>
      </c>
      <c r="S18" s="188"/>
      <c r="T18" s="188"/>
      <c r="U18" s="357">
        <f t="shared" si="25"/>
        <v>0</v>
      </c>
      <c r="V18" s="188"/>
      <c r="W18" s="188"/>
      <c r="X18" s="357">
        <f t="shared" si="26"/>
        <v>0</v>
      </c>
      <c r="Y18" s="358">
        <f t="shared" si="27"/>
        <v>632.18390804597698</v>
      </c>
      <c r="Z18" s="184">
        <f t="shared" si="2"/>
        <v>0</v>
      </c>
    </row>
    <row r="19" spans="1:26" ht="25.5" hidden="1">
      <c r="A19" s="187">
        <v>3</v>
      </c>
      <c r="B19" s="328" t="s">
        <v>326</v>
      </c>
      <c r="C19" s="191" t="s">
        <v>260</v>
      </c>
      <c r="D19" s="284">
        <v>0</v>
      </c>
      <c r="E19" s="187" t="s">
        <v>142</v>
      </c>
      <c r="F19" s="340">
        <f>25*8</f>
        <v>200</v>
      </c>
      <c r="G19" s="355">
        <f t="shared" si="18"/>
        <v>0</v>
      </c>
      <c r="H19" s="356">
        <f t="shared" si="19"/>
        <v>0</v>
      </c>
      <c r="I19" s="357"/>
      <c r="J19" s="357"/>
      <c r="K19" s="357">
        <f t="shared" si="20"/>
        <v>0</v>
      </c>
      <c r="L19" s="357"/>
      <c r="M19" s="357"/>
      <c r="N19" s="357">
        <f t="shared" si="21"/>
        <v>0</v>
      </c>
      <c r="O19" s="358">
        <f t="shared" si="22"/>
        <v>0</v>
      </c>
      <c r="P19" s="359">
        <f t="shared" si="23"/>
        <v>0</v>
      </c>
      <c r="Q19" s="320">
        <v>2</v>
      </c>
      <c r="R19" s="188">
        <f t="shared" si="24"/>
        <v>0</v>
      </c>
      <c r="S19" s="188"/>
      <c r="T19" s="188"/>
      <c r="U19" s="357">
        <f t="shared" si="25"/>
        <v>0</v>
      </c>
      <c r="V19" s="188"/>
      <c r="W19" s="188"/>
      <c r="X19" s="357">
        <f t="shared" si="26"/>
        <v>0</v>
      </c>
      <c r="Y19" s="358">
        <f t="shared" si="27"/>
        <v>0</v>
      </c>
      <c r="Z19" s="184">
        <f t="shared" si="2"/>
        <v>0</v>
      </c>
    </row>
    <row r="20" spans="1:26" ht="25.5" hidden="1">
      <c r="A20" s="187">
        <v>3</v>
      </c>
      <c r="B20" s="328" t="s">
        <v>326</v>
      </c>
      <c r="C20" s="191" t="s">
        <v>260</v>
      </c>
      <c r="D20" s="284">
        <v>0</v>
      </c>
      <c r="E20" s="187" t="s">
        <v>142</v>
      </c>
      <c r="F20" s="340">
        <f>25*8</f>
        <v>200</v>
      </c>
      <c r="G20" s="355">
        <f t="shared" si="18"/>
        <v>0</v>
      </c>
      <c r="H20" s="356">
        <f t="shared" si="19"/>
        <v>0</v>
      </c>
      <c r="I20" s="357"/>
      <c r="J20" s="357"/>
      <c r="K20" s="357">
        <f t="shared" si="20"/>
        <v>0</v>
      </c>
      <c r="L20" s="357"/>
      <c r="M20" s="357"/>
      <c r="N20" s="357">
        <f t="shared" si="21"/>
        <v>0</v>
      </c>
      <c r="O20" s="358">
        <f t="shared" si="22"/>
        <v>0</v>
      </c>
      <c r="P20" s="359">
        <f t="shared" si="23"/>
        <v>0</v>
      </c>
      <c r="Q20" s="320">
        <v>3</v>
      </c>
      <c r="R20" s="188">
        <f t="shared" si="24"/>
        <v>0</v>
      </c>
      <c r="S20" s="188"/>
      <c r="T20" s="188"/>
      <c r="U20" s="357">
        <f t="shared" si="25"/>
        <v>0</v>
      </c>
      <c r="V20" s="188"/>
      <c r="W20" s="188"/>
      <c r="X20" s="357">
        <f t="shared" si="26"/>
        <v>0</v>
      </c>
      <c r="Y20" s="358">
        <f t="shared" si="27"/>
        <v>0</v>
      </c>
      <c r="Z20" s="184">
        <f t="shared" si="2"/>
        <v>0</v>
      </c>
    </row>
    <row r="21" spans="1:26" ht="19.5" hidden="1" customHeight="1">
      <c r="A21" s="228" t="s">
        <v>325</v>
      </c>
      <c r="B21" s="327"/>
      <c r="C21" s="229"/>
      <c r="D21" s="179"/>
      <c r="E21" s="179"/>
      <c r="F21" s="180"/>
      <c r="G21" s="207">
        <f t="shared" ref="G21:P21" si="28">SUM(G22:G36)</f>
        <v>37100</v>
      </c>
      <c r="H21" s="352">
        <f t="shared" si="28"/>
        <v>34100</v>
      </c>
      <c r="I21" s="353">
        <f t="shared" si="28"/>
        <v>3000</v>
      </c>
      <c r="J21" s="353">
        <f t="shared" si="28"/>
        <v>0</v>
      </c>
      <c r="K21" s="353">
        <f t="shared" si="28"/>
        <v>3000</v>
      </c>
      <c r="L21" s="353">
        <f t="shared" si="28"/>
        <v>0</v>
      </c>
      <c r="M21" s="353">
        <f t="shared" si="28"/>
        <v>0</v>
      </c>
      <c r="N21" s="353">
        <f t="shared" si="28"/>
        <v>0</v>
      </c>
      <c r="O21" s="354">
        <f t="shared" si="28"/>
        <v>37100</v>
      </c>
      <c r="P21" s="352">
        <f t="shared" si="28"/>
        <v>5330.4597701149423</v>
      </c>
      <c r="Q21" s="320"/>
      <c r="R21" s="181">
        <f t="shared" ref="R21:Y21" si="29">SUM(R22:R36)</f>
        <v>4899.4252873563219</v>
      </c>
      <c r="S21" s="181">
        <f t="shared" si="29"/>
        <v>431.0344827586207</v>
      </c>
      <c r="T21" s="181">
        <f t="shared" si="29"/>
        <v>0</v>
      </c>
      <c r="U21" s="353">
        <f t="shared" si="29"/>
        <v>431.0344827586207</v>
      </c>
      <c r="V21" s="181">
        <f t="shared" si="29"/>
        <v>0</v>
      </c>
      <c r="W21" s="181">
        <f t="shared" si="29"/>
        <v>0</v>
      </c>
      <c r="X21" s="353">
        <f t="shared" si="29"/>
        <v>0</v>
      </c>
      <c r="Y21" s="354">
        <f t="shared" si="29"/>
        <v>5330.4597701149423</v>
      </c>
      <c r="Z21" s="184">
        <f t="shared" si="2"/>
        <v>0</v>
      </c>
    </row>
    <row r="22" spans="1:26" ht="25.5" hidden="1">
      <c r="A22" s="187">
        <v>3</v>
      </c>
      <c r="B22" s="328" t="s">
        <v>325</v>
      </c>
      <c r="C22" s="189" t="s">
        <v>131</v>
      </c>
      <c r="D22" s="286">
        <v>2</v>
      </c>
      <c r="E22" s="190" t="s">
        <v>132</v>
      </c>
      <c r="F22" s="339">
        <v>1500</v>
      </c>
      <c r="G22" s="355">
        <f t="shared" ref="G22:G36" si="30">D22*F22</f>
        <v>3000</v>
      </c>
      <c r="H22" s="356">
        <f t="shared" ref="H22:I36" si="31">R22*$Y$4</f>
        <v>0</v>
      </c>
      <c r="I22" s="357">
        <f>S22*$Y$4</f>
        <v>3000</v>
      </c>
      <c r="J22" s="357"/>
      <c r="K22" s="357">
        <f t="shared" ref="K22:K36" si="32">I22+J22</f>
        <v>3000</v>
      </c>
      <c r="L22" s="357"/>
      <c r="M22" s="357"/>
      <c r="N22" s="357">
        <f t="shared" ref="N22:N36" si="33">L22+M22</f>
        <v>0</v>
      </c>
      <c r="O22" s="358">
        <f t="shared" ref="O22:O36" si="34">H22+K22+N22</f>
        <v>3000</v>
      </c>
      <c r="P22" s="359">
        <f t="shared" ref="P22:P77" si="35">G22/$Y$4</f>
        <v>431.0344827586207</v>
      </c>
      <c r="Q22" s="320">
        <v>1</v>
      </c>
      <c r="R22" s="188"/>
      <c r="S22" s="188">
        <f>P22</f>
        <v>431.0344827586207</v>
      </c>
      <c r="T22" s="188"/>
      <c r="U22" s="357">
        <f t="shared" ref="U22:U36" si="36">S22+T22</f>
        <v>431.0344827586207</v>
      </c>
      <c r="V22" s="188"/>
      <c r="W22" s="188"/>
      <c r="X22" s="357">
        <f t="shared" ref="X22:X36" si="37">V22+W22</f>
        <v>0</v>
      </c>
      <c r="Y22" s="358">
        <f t="shared" ref="Y22:Y36" si="38">R22+U22+X22</f>
        <v>431.0344827586207</v>
      </c>
      <c r="Z22" s="184">
        <f t="shared" si="2"/>
        <v>0</v>
      </c>
    </row>
    <row r="23" spans="1:26" ht="25.5" hidden="1">
      <c r="A23" s="187">
        <v>3</v>
      </c>
      <c r="B23" s="328" t="s">
        <v>325</v>
      </c>
      <c r="C23" s="189" t="s">
        <v>131</v>
      </c>
      <c r="D23" s="286">
        <v>0</v>
      </c>
      <c r="E23" s="190" t="s">
        <v>132</v>
      </c>
      <c r="F23" s="339">
        <v>1500</v>
      </c>
      <c r="G23" s="355">
        <f t="shared" si="30"/>
        <v>0</v>
      </c>
      <c r="H23" s="356">
        <f t="shared" si="31"/>
        <v>0</v>
      </c>
      <c r="I23" s="357">
        <f t="shared" si="31"/>
        <v>0</v>
      </c>
      <c r="J23" s="357"/>
      <c r="K23" s="357">
        <f t="shared" si="32"/>
        <v>0</v>
      </c>
      <c r="L23" s="357"/>
      <c r="M23" s="357"/>
      <c r="N23" s="357">
        <f t="shared" si="33"/>
        <v>0</v>
      </c>
      <c r="O23" s="358">
        <f t="shared" si="34"/>
        <v>0</v>
      </c>
      <c r="P23" s="359">
        <f t="shared" si="35"/>
        <v>0</v>
      </c>
      <c r="Q23" s="320">
        <v>2</v>
      </c>
      <c r="R23" s="188"/>
      <c r="S23" s="188">
        <f t="shared" ref="S23:S24" si="39">P23</f>
        <v>0</v>
      </c>
      <c r="T23" s="188"/>
      <c r="U23" s="357">
        <f t="shared" si="36"/>
        <v>0</v>
      </c>
      <c r="V23" s="188"/>
      <c r="W23" s="188"/>
      <c r="X23" s="357">
        <f t="shared" si="37"/>
        <v>0</v>
      </c>
      <c r="Y23" s="358">
        <f t="shared" si="38"/>
        <v>0</v>
      </c>
      <c r="Z23" s="184">
        <f t="shared" si="2"/>
        <v>0</v>
      </c>
    </row>
    <row r="24" spans="1:26" ht="25.5" hidden="1">
      <c r="A24" s="187">
        <v>3</v>
      </c>
      <c r="B24" s="328" t="s">
        <v>325</v>
      </c>
      <c r="C24" s="189" t="s">
        <v>131</v>
      </c>
      <c r="D24" s="286">
        <v>0</v>
      </c>
      <c r="E24" s="190" t="s">
        <v>132</v>
      </c>
      <c r="F24" s="339">
        <v>1500</v>
      </c>
      <c r="G24" s="355">
        <f t="shared" si="30"/>
        <v>0</v>
      </c>
      <c r="H24" s="356">
        <f t="shared" si="31"/>
        <v>0</v>
      </c>
      <c r="I24" s="357">
        <f t="shared" si="31"/>
        <v>0</v>
      </c>
      <c r="J24" s="357"/>
      <c r="K24" s="357">
        <f t="shared" si="32"/>
        <v>0</v>
      </c>
      <c r="L24" s="357"/>
      <c r="M24" s="357"/>
      <c r="N24" s="357">
        <f t="shared" si="33"/>
        <v>0</v>
      </c>
      <c r="O24" s="358">
        <f t="shared" si="34"/>
        <v>0</v>
      </c>
      <c r="P24" s="359">
        <f t="shared" si="35"/>
        <v>0</v>
      </c>
      <c r="Q24" s="320">
        <v>3</v>
      </c>
      <c r="R24" s="188"/>
      <c r="S24" s="188">
        <f t="shared" si="39"/>
        <v>0</v>
      </c>
      <c r="T24" s="188"/>
      <c r="U24" s="357">
        <f t="shared" si="36"/>
        <v>0</v>
      </c>
      <c r="V24" s="188"/>
      <c r="W24" s="188"/>
      <c r="X24" s="357">
        <f t="shared" si="37"/>
        <v>0</v>
      </c>
      <c r="Y24" s="358">
        <f t="shared" si="38"/>
        <v>0</v>
      </c>
      <c r="Z24" s="184">
        <f t="shared" si="2"/>
        <v>0</v>
      </c>
    </row>
    <row r="25" spans="1:26" ht="25.5" hidden="1">
      <c r="A25" s="187">
        <v>3</v>
      </c>
      <c r="B25" s="328" t="s">
        <v>325</v>
      </c>
      <c r="C25" s="189" t="s">
        <v>147</v>
      </c>
      <c r="D25" s="286">
        <v>500</v>
      </c>
      <c r="E25" s="190" t="s">
        <v>148</v>
      </c>
      <c r="F25" s="339">
        <v>25</v>
      </c>
      <c r="G25" s="355">
        <f t="shared" si="30"/>
        <v>12500</v>
      </c>
      <c r="H25" s="356">
        <f t="shared" si="31"/>
        <v>12500</v>
      </c>
      <c r="I25" s="357"/>
      <c r="J25" s="357"/>
      <c r="K25" s="357">
        <f t="shared" si="32"/>
        <v>0</v>
      </c>
      <c r="L25" s="357"/>
      <c r="M25" s="357"/>
      <c r="N25" s="357">
        <f t="shared" si="33"/>
        <v>0</v>
      </c>
      <c r="O25" s="358">
        <f t="shared" si="34"/>
        <v>12500</v>
      </c>
      <c r="P25" s="359">
        <f t="shared" si="35"/>
        <v>1795.9770114942528</v>
      </c>
      <c r="Q25" s="320">
        <v>1</v>
      </c>
      <c r="R25" s="188">
        <f t="shared" ref="R25:R36" si="40">P25</f>
        <v>1795.9770114942528</v>
      </c>
      <c r="S25" s="188"/>
      <c r="T25" s="188"/>
      <c r="U25" s="357">
        <f t="shared" si="36"/>
        <v>0</v>
      </c>
      <c r="V25" s="188"/>
      <c r="W25" s="188"/>
      <c r="X25" s="357">
        <f t="shared" si="37"/>
        <v>0</v>
      </c>
      <c r="Y25" s="358">
        <f t="shared" si="38"/>
        <v>1795.9770114942528</v>
      </c>
      <c r="Z25" s="184">
        <f t="shared" si="2"/>
        <v>0</v>
      </c>
    </row>
    <row r="26" spans="1:26" ht="25.5" hidden="1">
      <c r="A26" s="187">
        <v>3</v>
      </c>
      <c r="B26" s="328" t="s">
        <v>325</v>
      </c>
      <c r="C26" s="189" t="s">
        <v>147</v>
      </c>
      <c r="D26" s="286"/>
      <c r="E26" s="190" t="s">
        <v>148</v>
      </c>
      <c r="F26" s="339">
        <v>25</v>
      </c>
      <c r="G26" s="355">
        <f t="shared" si="30"/>
        <v>0</v>
      </c>
      <c r="H26" s="356">
        <f t="shared" si="31"/>
        <v>0</v>
      </c>
      <c r="I26" s="357"/>
      <c r="J26" s="357"/>
      <c r="K26" s="357">
        <f t="shared" si="32"/>
        <v>0</v>
      </c>
      <c r="L26" s="357"/>
      <c r="M26" s="357"/>
      <c r="N26" s="357">
        <f t="shared" si="33"/>
        <v>0</v>
      </c>
      <c r="O26" s="358">
        <f t="shared" si="34"/>
        <v>0</v>
      </c>
      <c r="P26" s="359">
        <f t="shared" si="35"/>
        <v>0</v>
      </c>
      <c r="Q26" s="320">
        <v>2</v>
      </c>
      <c r="R26" s="188">
        <f t="shared" si="40"/>
        <v>0</v>
      </c>
      <c r="S26" s="188"/>
      <c r="T26" s="188"/>
      <c r="U26" s="357">
        <f t="shared" si="36"/>
        <v>0</v>
      </c>
      <c r="V26" s="188"/>
      <c r="W26" s="188"/>
      <c r="X26" s="357">
        <f t="shared" si="37"/>
        <v>0</v>
      </c>
      <c r="Y26" s="358">
        <f t="shared" si="38"/>
        <v>0</v>
      </c>
      <c r="Z26" s="184">
        <f t="shared" si="2"/>
        <v>0</v>
      </c>
    </row>
    <row r="27" spans="1:26" ht="25.5" hidden="1">
      <c r="A27" s="187">
        <v>3</v>
      </c>
      <c r="B27" s="328" t="s">
        <v>325</v>
      </c>
      <c r="C27" s="189" t="s">
        <v>147</v>
      </c>
      <c r="D27" s="286"/>
      <c r="E27" s="190" t="s">
        <v>148</v>
      </c>
      <c r="F27" s="339">
        <v>25</v>
      </c>
      <c r="G27" s="355">
        <f t="shared" si="30"/>
        <v>0</v>
      </c>
      <c r="H27" s="356">
        <f t="shared" si="31"/>
        <v>0</v>
      </c>
      <c r="I27" s="357"/>
      <c r="J27" s="357"/>
      <c r="K27" s="357">
        <f t="shared" si="32"/>
        <v>0</v>
      </c>
      <c r="L27" s="357"/>
      <c r="M27" s="357"/>
      <c r="N27" s="357">
        <f t="shared" si="33"/>
        <v>0</v>
      </c>
      <c r="O27" s="358">
        <f t="shared" si="34"/>
        <v>0</v>
      </c>
      <c r="P27" s="359">
        <f t="shared" si="35"/>
        <v>0</v>
      </c>
      <c r="Q27" s="320">
        <v>3</v>
      </c>
      <c r="R27" s="188">
        <f t="shared" si="40"/>
        <v>0</v>
      </c>
      <c r="S27" s="188"/>
      <c r="T27" s="188"/>
      <c r="U27" s="357">
        <f t="shared" si="36"/>
        <v>0</v>
      </c>
      <c r="V27" s="188"/>
      <c r="W27" s="188"/>
      <c r="X27" s="357">
        <f t="shared" si="37"/>
        <v>0</v>
      </c>
      <c r="Y27" s="358">
        <f t="shared" si="38"/>
        <v>0</v>
      </c>
      <c r="Z27" s="184">
        <f t="shared" si="2"/>
        <v>0</v>
      </c>
    </row>
    <row r="28" spans="1:26" ht="25.5" hidden="1">
      <c r="A28" s="187">
        <v>3</v>
      </c>
      <c r="B28" s="328" t="s">
        <v>325</v>
      </c>
      <c r="C28" s="189" t="s">
        <v>261</v>
      </c>
      <c r="D28" s="286">
        <v>44</v>
      </c>
      <c r="E28" s="190" t="s">
        <v>134</v>
      </c>
      <c r="F28" s="339">
        <f>20*20</f>
        <v>400</v>
      </c>
      <c r="G28" s="355">
        <f t="shared" si="30"/>
        <v>17600</v>
      </c>
      <c r="H28" s="356">
        <f t="shared" si="31"/>
        <v>17600</v>
      </c>
      <c r="I28" s="357"/>
      <c r="J28" s="357"/>
      <c r="K28" s="357">
        <f t="shared" si="32"/>
        <v>0</v>
      </c>
      <c r="L28" s="357"/>
      <c r="M28" s="357"/>
      <c r="N28" s="357">
        <f t="shared" si="33"/>
        <v>0</v>
      </c>
      <c r="O28" s="358">
        <f t="shared" si="34"/>
        <v>17600</v>
      </c>
      <c r="P28" s="359">
        <f t="shared" si="35"/>
        <v>2528.7356321839079</v>
      </c>
      <c r="Q28" s="320">
        <v>1</v>
      </c>
      <c r="R28" s="188">
        <f t="shared" si="40"/>
        <v>2528.7356321839079</v>
      </c>
      <c r="S28" s="188"/>
      <c r="T28" s="188"/>
      <c r="U28" s="357">
        <f t="shared" si="36"/>
        <v>0</v>
      </c>
      <c r="V28" s="188"/>
      <c r="W28" s="188"/>
      <c r="X28" s="357">
        <f t="shared" si="37"/>
        <v>0</v>
      </c>
      <c r="Y28" s="358">
        <f t="shared" si="38"/>
        <v>2528.7356321839079</v>
      </c>
      <c r="Z28" s="184">
        <f t="shared" si="2"/>
        <v>0</v>
      </c>
    </row>
    <row r="29" spans="1:26" ht="25.5" hidden="1">
      <c r="A29" s="187">
        <v>3</v>
      </c>
      <c r="B29" s="328" t="s">
        <v>325</v>
      </c>
      <c r="C29" s="189" t="s">
        <v>261</v>
      </c>
      <c r="D29" s="286">
        <v>0</v>
      </c>
      <c r="E29" s="190" t="s">
        <v>134</v>
      </c>
      <c r="F29" s="339">
        <f t="shared" ref="F29:F30" si="41">20*20</f>
        <v>400</v>
      </c>
      <c r="G29" s="355">
        <f t="shared" si="30"/>
        <v>0</v>
      </c>
      <c r="H29" s="356">
        <f t="shared" si="31"/>
        <v>0</v>
      </c>
      <c r="I29" s="357"/>
      <c r="J29" s="357"/>
      <c r="K29" s="357">
        <f t="shared" si="32"/>
        <v>0</v>
      </c>
      <c r="L29" s="357"/>
      <c r="M29" s="357"/>
      <c r="N29" s="357">
        <f t="shared" si="33"/>
        <v>0</v>
      </c>
      <c r="O29" s="358">
        <f t="shared" si="34"/>
        <v>0</v>
      </c>
      <c r="P29" s="359">
        <f t="shared" si="35"/>
        <v>0</v>
      </c>
      <c r="Q29" s="320">
        <v>2</v>
      </c>
      <c r="R29" s="188">
        <f t="shared" si="40"/>
        <v>0</v>
      </c>
      <c r="S29" s="188"/>
      <c r="T29" s="188"/>
      <c r="U29" s="357">
        <f t="shared" si="36"/>
        <v>0</v>
      </c>
      <c r="V29" s="188"/>
      <c r="W29" s="188"/>
      <c r="X29" s="357">
        <f t="shared" si="37"/>
        <v>0</v>
      </c>
      <c r="Y29" s="358">
        <f t="shared" si="38"/>
        <v>0</v>
      </c>
      <c r="Z29" s="184">
        <f t="shared" si="2"/>
        <v>0</v>
      </c>
    </row>
    <row r="30" spans="1:26" ht="25.5" hidden="1">
      <c r="A30" s="187">
        <v>3</v>
      </c>
      <c r="B30" s="328" t="s">
        <v>325</v>
      </c>
      <c r="C30" s="189" t="s">
        <v>261</v>
      </c>
      <c r="D30" s="286">
        <v>0</v>
      </c>
      <c r="E30" s="190" t="s">
        <v>134</v>
      </c>
      <c r="F30" s="339">
        <f t="shared" si="41"/>
        <v>400</v>
      </c>
      <c r="G30" s="355">
        <f t="shared" si="30"/>
        <v>0</v>
      </c>
      <c r="H30" s="356">
        <f t="shared" si="31"/>
        <v>0</v>
      </c>
      <c r="I30" s="357"/>
      <c r="J30" s="357"/>
      <c r="K30" s="357">
        <f t="shared" si="32"/>
        <v>0</v>
      </c>
      <c r="L30" s="357"/>
      <c r="M30" s="357"/>
      <c r="N30" s="357">
        <f t="shared" si="33"/>
        <v>0</v>
      </c>
      <c r="O30" s="358">
        <f t="shared" si="34"/>
        <v>0</v>
      </c>
      <c r="P30" s="359">
        <f t="shared" si="35"/>
        <v>0</v>
      </c>
      <c r="Q30" s="320">
        <v>3</v>
      </c>
      <c r="R30" s="188">
        <f t="shared" si="40"/>
        <v>0</v>
      </c>
      <c r="S30" s="188"/>
      <c r="T30" s="188"/>
      <c r="U30" s="357">
        <f t="shared" si="36"/>
        <v>0</v>
      </c>
      <c r="V30" s="188"/>
      <c r="W30" s="188"/>
      <c r="X30" s="357">
        <f t="shared" si="37"/>
        <v>0</v>
      </c>
      <c r="Y30" s="358">
        <f t="shared" si="38"/>
        <v>0</v>
      </c>
      <c r="Z30" s="184">
        <f t="shared" si="2"/>
        <v>0</v>
      </c>
    </row>
    <row r="31" spans="1:26" ht="25.5" hidden="1">
      <c r="A31" s="187">
        <v>3</v>
      </c>
      <c r="B31" s="328" t="s">
        <v>325</v>
      </c>
      <c r="C31" s="189" t="s">
        <v>137</v>
      </c>
      <c r="D31" s="286">
        <v>1</v>
      </c>
      <c r="E31" s="190" t="s">
        <v>92</v>
      </c>
      <c r="F31" s="339">
        <v>1000</v>
      </c>
      <c r="G31" s="355">
        <f t="shared" si="30"/>
        <v>1000</v>
      </c>
      <c r="H31" s="356">
        <f t="shared" si="31"/>
        <v>1000</v>
      </c>
      <c r="I31" s="357"/>
      <c r="J31" s="357"/>
      <c r="K31" s="357">
        <f t="shared" si="32"/>
        <v>0</v>
      </c>
      <c r="L31" s="357"/>
      <c r="M31" s="357"/>
      <c r="N31" s="357">
        <f t="shared" si="33"/>
        <v>0</v>
      </c>
      <c r="O31" s="358">
        <f t="shared" si="34"/>
        <v>1000</v>
      </c>
      <c r="P31" s="359">
        <f t="shared" si="35"/>
        <v>143.67816091954023</v>
      </c>
      <c r="Q31" s="320">
        <v>1</v>
      </c>
      <c r="R31" s="188">
        <f t="shared" si="40"/>
        <v>143.67816091954023</v>
      </c>
      <c r="S31" s="188"/>
      <c r="T31" s="188"/>
      <c r="U31" s="357">
        <f t="shared" si="36"/>
        <v>0</v>
      </c>
      <c r="V31" s="188"/>
      <c r="W31" s="188"/>
      <c r="X31" s="357">
        <f t="shared" si="37"/>
        <v>0</v>
      </c>
      <c r="Y31" s="358">
        <f t="shared" si="38"/>
        <v>143.67816091954023</v>
      </c>
      <c r="Z31" s="184">
        <f t="shared" si="2"/>
        <v>0</v>
      </c>
    </row>
    <row r="32" spans="1:26" ht="25.5" hidden="1">
      <c r="A32" s="187">
        <v>3</v>
      </c>
      <c r="B32" s="328" t="s">
        <v>325</v>
      </c>
      <c r="C32" s="189" t="s">
        <v>137</v>
      </c>
      <c r="D32" s="286">
        <v>0</v>
      </c>
      <c r="E32" s="190" t="s">
        <v>92</v>
      </c>
      <c r="F32" s="339">
        <v>1000</v>
      </c>
      <c r="G32" s="355">
        <f t="shared" si="30"/>
        <v>0</v>
      </c>
      <c r="H32" s="356">
        <f t="shared" si="31"/>
        <v>0</v>
      </c>
      <c r="I32" s="357"/>
      <c r="J32" s="357"/>
      <c r="K32" s="357">
        <f t="shared" si="32"/>
        <v>0</v>
      </c>
      <c r="L32" s="357"/>
      <c r="M32" s="357"/>
      <c r="N32" s="357">
        <f t="shared" si="33"/>
        <v>0</v>
      </c>
      <c r="O32" s="358">
        <f t="shared" si="34"/>
        <v>0</v>
      </c>
      <c r="P32" s="359">
        <f t="shared" si="35"/>
        <v>0</v>
      </c>
      <c r="Q32" s="320">
        <v>2</v>
      </c>
      <c r="R32" s="188">
        <f t="shared" si="40"/>
        <v>0</v>
      </c>
      <c r="S32" s="188"/>
      <c r="T32" s="188"/>
      <c r="U32" s="357">
        <f t="shared" si="36"/>
        <v>0</v>
      </c>
      <c r="V32" s="188"/>
      <c r="W32" s="188"/>
      <c r="X32" s="357">
        <f t="shared" si="37"/>
        <v>0</v>
      </c>
      <c r="Y32" s="358">
        <f t="shared" si="38"/>
        <v>0</v>
      </c>
      <c r="Z32" s="184">
        <f t="shared" si="2"/>
        <v>0</v>
      </c>
    </row>
    <row r="33" spans="1:27" ht="25.5" hidden="1">
      <c r="A33" s="187">
        <v>3</v>
      </c>
      <c r="B33" s="328" t="s">
        <v>325</v>
      </c>
      <c r="C33" s="189" t="s">
        <v>137</v>
      </c>
      <c r="D33" s="286">
        <v>0</v>
      </c>
      <c r="E33" s="190" t="s">
        <v>92</v>
      </c>
      <c r="F33" s="339">
        <v>1000</v>
      </c>
      <c r="G33" s="355">
        <f t="shared" si="30"/>
        <v>0</v>
      </c>
      <c r="H33" s="356">
        <f t="shared" si="31"/>
        <v>0</v>
      </c>
      <c r="I33" s="357"/>
      <c r="J33" s="357"/>
      <c r="K33" s="357">
        <f t="shared" si="32"/>
        <v>0</v>
      </c>
      <c r="L33" s="357"/>
      <c r="M33" s="357"/>
      <c r="N33" s="357">
        <f t="shared" si="33"/>
        <v>0</v>
      </c>
      <c r="O33" s="358">
        <f t="shared" si="34"/>
        <v>0</v>
      </c>
      <c r="P33" s="359">
        <f t="shared" si="35"/>
        <v>0</v>
      </c>
      <c r="Q33" s="320">
        <v>3</v>
      </c>
      <c r="R33" s="188">
        <f t="shared" si="40"/>
        <v>0</v>
      </c>
      <c r="S33" s="188"/>
      <c r="T33" s="188"/>
      <c r="U33" s="357">
        <f t="shared" si="36"/>
        <v>0</v>
      </c>
      <c r="V33" s="188"/>
      <c r="W33" s="188"/>
      <c r="X33" s="357">
        <f t="shared" si="37"/>
        <v>0</v>
      </c>
      <c r="Y33" s="358">
        <f t="shared" si="38"/>
        <v>0</v>
      </c>
      <c r="Z33" s="184">
        <f t="shared" si="2"/>
        <v>0</v>
      </c>
    </row>
    <row r="34" spans="1:27" ht="25.5" hidden="1">
      <c r="A34" s="187">
        <v>3</v>
      </c>
      <c r="B34" s="328" t="s">
        <v>325</v>
      </c>
      <c r="C34" s="189" t="s">
        <v>145</v>
      </c>
      <c r="D34" s="286">
        <v>1</v>
      </c>
      <c r="E34" s="190" t="s">
        <v>92</v>
      </c>
      <c r="F34" s="339">
        <v>3000</v>
      </c>
      <c r="G34" s="355">
        <f t="shared" si="30"/>
        <v>3000</v>
      </c>
      <c r="H34" s="356">
        <f t="shared" si="31"/>
        <v>3000</v>
      </c>
      <c r="I34" s="357"/>
      <c r="J34" s="357"/>
      <c r="K34" s="357">
        <f t="shared" si="32"/>
        <v>0</v>
      </c>
      <c r="L34" s="357"/>
      <c r="M34" s="357"/>
      <c r="N34" s="357">
        <f t="shared" si="33"/>
        <v>0</v>
      </c>
      <c r="O34" s="358">
        <f t="shared" si="34"/>
        <v>3000</v>
      </c>
      <c r="P34" s="359">
        <f t="shared" si="35"/>
        <v>431.0344827586207</v>
      </c>
      <c r="Q34" s="320">
        <v>1</v>
      </c>
      <c r="R34" s="188">
        <f t="shared" si="40"/>
        <v>431.0344827586207</v>
      </c>
      <c r="S34" s="188"/>
      <c r="T34" s="188"/>
      <c r="U34" s="357">
        <f t="shared" si="36"/>
        <v>0</v>
      </c>
      <c r="V34" s="188"/>
      <c r="W34" s="188"/>
      <c r="X34" s="357">
        <f t="shared" si="37"/>
        <v>0</v>
      </c>
      <c r="Y34" s="358">
        <f t="shared" si="38"/>
        <v>431.0344827586207</v>
      </c>
      <c r="Z34" s="184">
        <f t="shared" si="2"/>
        <v>0</v>
      </c>
    </row>
    <row r="35" spans="1:27" ht="25.5" hidden="1">
      <c r="A35" s="187">
        <v>3</v>
      </c>
      <c r="B35" s="328" t="s">
        <v>325</v>
      </c>
      <c r="C35" s="189" t="s">
        <v>145</v>
      </c>
      <c r="D35" s="286">
        <v>0</v>
      </c>
      <c r="E35" s="190" t="s">
        <v>92</v>
      </c>
      <c r="F35" s="339">
        <v>3000</v>
      </c>
      <c r="G35" s="355">
        <f t="shared" si="30"/>
        <v>0</v>
      </c>
      <c r="H35" s="356">
        <f t="shared" si="31"/>
        <v>0</v>
      </c>
      <c r="I35" s="357"/>
      <c r="J35" s="357"/>
      <c r="K35" s="357">
        <f t="shared" si="32"/>
        <v>0</v>
      </c>
      <c r="L35" s="357"/>
      <c r="M35" s="357"/>
      <c r="N35" s="357">
        <f t="shared" si="33"/>
        <v>0</v>
      </c>
      <c r="O35" s="358">
        <f t="shared" si="34"/>
        <v>0</v>
      </c>
      <c r="P35" s="359">
        <f t="shared" si="35"/>
        <v>0</v>
      </c>
      <c r="Q35" s="320">
        <v>2</v>
      </c>
      <c r="R35" s="188">
        <f t="shared" si="40"/>
        <v>0</v>
      </c>
      <c r="S35" s="188"/>
      <c r="T35" s="188"/>
      <c r="U35" s="357">
        <f t="shared" si="36"/>
        <v>0</v>
      </c>
      <c r="V35" s="188"/>
      <c r="W35" s="188"/>
      <c r="X35" s="357">
        <f t="shared" si="37"/>
        <v>0</v>
      </c>
      <c r="Y35" s="358">
        <f t="shared" si="38"/>
        <v>0</v>
      </c>
      <c r="Z35" s="184">
        <f t="shared" si="2"/>
        <v>0</v>
      </c>
    </row>
    <row r="36" spans="1:27" ht="25.5" hidden="1">
      <c r="A36" s="187">
        <v>3</v>
      </c>
      <c r="B36" s="328" t="s">
        <v>325</v>
      </c>
      <c r="C36" s="189" t="s">
        <v>145</v>
      </c>
      <c r="D36" s="286">
        <v>0</v>
      </c>
      <c r="E36" s="190" t="s">
        <v>92</v>
      </c>
      <c r="F36" s="339">
        <v>3000</v>
      </c>
      <c r="G36" s="355">
        <f t="shared" si="30"/>
        <v>0</v>
      </c>
      <c r="H36" s="356">
        <f t="shared" si="31"/>
        <v>0</v>
      </c>
      <c r="I36" s="357"/>
      <c r="J36" s="357"/>
      <c r="K36" s="357">
        <f t="shared" si="32"/>
        <v>0</v>
      </c>
      <c r="L36" s="357"/>
      <c r="M36" s="357"/>
      <c r="N36" s="357">
        <f t="shared" si="33"/>
        <v>0</v>
      </c>
      <c r="O36" s="358">
        <f t="shared" si="34"/>
        <v>0</v>
      </c>
      <c r="P36" s="359">
        <f t="shared" si="35"/>
        <v>0</v>
      </c>
      <c r="Q36" s="320">
        <v>3</v>
      </c>
      <c r="R36" s="188">
        <f t="shared" si="40"/>
        <v>0</v>
      </c>
      <c r="S36" s="188"/>
      <c r="T36" s="188"/>
      <c r="U36" s="357">
        <f t="shared" si="36"/>
        <v>0</v>
      </c>
      <c r="V36" s="188"/>
      <c r="W36" s="188"/>
      <c r="X36" s="357">
        <f t="shared" si="37"/>
        <v>0</v>
      </c>
      <c r="Y36" s="358">
        <f t="shared" si="38"/>
        <v>0</v>
      </c>
      <c r="Z36" s="184">
        <f t="shared" si="2"/>
        <v>0</v>
      </c>
    </row>
    <row r="37" spans="1:27" hidden="1">
      <c r="A37" s="228" t="s">
        <v>327</v>
      </c>
      <c r="B37" s="327"/>
      <c r="C37" s="229"/>
      <c r="D37" s="179"/>
      <c r="E37" s="179"/>
      <c r="F37" s="180"/>
      <c r="G37" s="207">
        <f t="shared" ref="G37:P37" si="42">SUM(G38:G85)</f>
        <v>709184</v>
      </c>
      <c r="H37" s="352">
        <f t="shared" si="42"/>
        <v>553784</v>
      </c>
      <c r="I37" s="353">
        <f t="shared" si="42"/>
        <v>0</v>
      </c>
      <c r="J37" s="353">
        <f t="shared" si="42"/>
        <v>0</v>
      </c>
      <c r="K37" s="353">
        <f t="shared" si="42"/>
        <v>0</v>
      </c>
      <c r="L37" s="353">
        <f t="shared" si="42"/>
        <v>33000</v>
      </c>
      <c r="M37" s="353">
        <f t="shared" si="42"/>
        <v>122400</v>
      </c>
      <c r="N37" s="353">
        <f t="shared" si="42"/>
        <v>155400</v>
      </c>
      <c r="O37" s="354">
        <f t="shared" si="42"/>
        <v>709184</v>
      </c>
      <c r="P37" s="352">
        <f t="shared" si="42"/>
        <v>101894.25287356321</v>
      </c>
      <c r="Q37" s="320"/>
      <c r="R37" s="181">
        <f t="shared" ref="R37:Y37" si="43">SUM(R38:R85)</f>
        <v>79566.666666666642</v>
      </c>
      <c r="S37" s="181">
        <f t="shared" si="43"/>
        <v>0</v>
      </c>
      <c r="T37" s="181">
        <f t="shared" si="43"/>
        <v>0</v>
      </c>
      <c r="U37" s="353">
        <f t="shared" si="43"/>
        <v>0</v>
      </c>
      <c r="V37" s="181">
        <f t="shared" si="43"/>
        <v>4741.3793103448279</v>
      </c>
      <c r="W37" s="181">
        <f t="shared" si="43"/>
        <v>17586.206896551725</v>
      </c>
      <c r="X37" s="353">
        <f t="shared" si="43"/>
        <v>22327.586206896554</v>
      </c>
      <c r="Y37" s="354">
        <f t="shared" si="43"/>
        <v>101894.25287356321</v>
      </c>
      <c r="Z37" s="184">
        <f t="shared" si="2"/>
        <v>0</v>
      </c>
      <c r="AA37" s="184"/>
    </row>
    <row r="38" spans="1:27" ht="25.5" hidden="1">
      <c r="A38" s="187">
        <v>3</v>
      </c>
      <c r="B38" s="328" t="s">
        <v>327</v>
      </c>
      <c r="C38" s="191" t="s">
        <v>237</v>
      </c>
      <c r="D38" s="285">
        <v>110</v>
      </c>
      <c r="E38" s="192" t="s">
        <v>170</v>
      </c>
      <c r="F38" s="337">
        <v>500</v>
      </c>
      <c r="G38" s="355">
        <f>D38*F38</f>
        <v>55000</v>
      </c>
      <c r="H38" s="356">
        <f t="shared" ref="H38:H85" si="44">R38*$Y$4</f>
        <v>44000</v>
      </c>
      <c r="I38" s="357"/>
      <c r="J38" s="357"/>
      <c r="K38" s="357">
        <f t="shared" ref="K38:K85" si="45">I38+J38</f>
        <v>0</v>
      </c>
      <c r="L38" s="357">
        <f>V38*$Y$4</f>
        <v>11000</v>
      </c>
      <c r="M38" s="357"/>
      <c r="N38" s="357">
        <f t="shared" ref="N38:N85" si="46">L38+M38</f>
        <v>11000</v>
      </c>
      <c r="O38" s="358">
        <f t="shared" ref="O38:O85" si="47">H38+K38+N38</f>
        <v>55000</v>
      </c>
      <c r="P38" s="360">
        <f t="shared" si="35"/>
        <v>7902.2988505747126</v>
      </c>
      <c r="Q38" s="321">
        <v>1</v>
      </c>
      <c r="R38" s="331">
        <f>P38*0.8</f>
        <v>6321.8390804597702</v>
      </c>
      <c r="S38" s="188"/>
      <c r="T38" s="188"/>
      <c r="U38" s="357">
        <f t="shared" ref="U38:U85" si="48">S38+T38</f>
        <v>0</v>
      </c>
      <c r="V38" s="188">
        <f>P38*0.2</f>
        <v>1580.4597701149426</v>
      </c>
      <c r="W38" s="188"/>
      <c r="X38" s="357">
        <f t="shared" ref="X38:X85" si="49">V38+W38</f>
        <v>1580.4597701149426</v>
      </c>
      <c r="Y38" s="358">
        <f t="shared" ref="Y38:Y85" si="50">R38+U38+X38</f>
        <v>7902.2988505747126</v>
      </c>
      <c r="Z38" s="184">
        <f t="shared" si="2"/>
        <v>0</v>
      </c>
    </row>
    <row r="39" spans="1:27" ht="25.5">
      <c r="A39" s="187">
        <v>3</v>
      </c>
      <c r="B39" s="328" t="s">
        <v>327</v>
      </c>
      <c r="C39" s="191" t="s">
        <v>237</v>
      </c>
      <c r="D39" s="285">
        <v>110</v>
      </c>
      <c r="E39" s="192" t="s">
        <v>170</v>
      </c>
      <c r="F39" s="337">
        <v>500</v>
      </c>
      <c r="G39" s="355">
        <f t="shared" ref="G39:G79" si="51">D39*F39</f>
        <v>55000</v>
      </c>
      <c r="H39" s="356">
        <f t="shared" si="44"/>
        <v>44000</v>
      </c>
      <c r="I39" s="357"/>
      <c r="J39" s="357"/>
      <c r="K39" s="357">
        <f t="shared" si="45"/>
        <v>0</v>
      </c>
      <c r="L39" s="357">
        <f>V39*$Y$4</f>
        <v>11000</v>
      </c>
      <c r="M39" s="357"/>
      <c r="N39" s="357">
        <f t="shared" si="46"/>
        <v>11000</v>
      </c>
      <c r="O39" s="358">
        <f t="shared" si="47"/>
        <v>55000</v>
      </c>
      <c r="P39" s="360">
        <f t="shared" si="35"/>
        <v>7902.2988505747126</v>
      </c>
      <c r="Q39" s="321">
        <v>2</v>
      </c>
      <c r="R39" s="331">
        <f t="shared" ref="R39:R40" si="52">P39*0.8</f>
        <v>6321.8390804597702</v>
      </c>
      <c r="S39" s="188"/>
      <c r="T39" s="188"/>
      <c r="U39" s="357">
        <f t="shared" si="48"/>
        <v>0</v>
      </c>
      <c r="V39" s="188">
        <f t="shared" ref="V39:V40" si="53">P39*0.2</f>
        <v>1580.4597701149426</v>
      </c>
      <c r="W39" s="188"/>
      <c r="X39" s="357">
        <f t="shared" si="49"/>
        <v>1580.4597701149426</v>
      </c>
      <c r="Y39" s="358">
        <f t="shared" si="50"/>
        <v>7902.2988505747126</v>
      </c>
      <c r="Z39" s="184">
        <f t="shared" si="2"/>
        <v>0</v>
      </c>
    </row>
    <row r="40" spans="1:27" ht="25.5" hidden="1">
      <c r="A40" s="187">
        <v>3</v>
      </c>
      <c r="B40" s="328" t="s">
        <v>327</v>
      </c>
      <c r="C40" s="191" t="s">
        <v>237</v>
      </c>
      <c r="D40" s="285">
        <v>110</v>
      </c>
      <c r="E40" s="192" t="s">
        <v>170</v>
      </c>
      <c r="F40" s="337">
        <v>500</v>
      </c>
      <c r="G40" s="355">
        <f t="shared" si="51"/>
        <v>55000</v>
      </c>
      <c r="H40" s="356">
        <f t="shared" si="44"/>
        <v>44000</v>
      </c>
      <c r="I40" s="357"/>
      <c r="J40" s="357"/>
      <c r="K40" s="357">
        <f t="shared" si="45"/>
        <v>0</v>
      </c>
      <c r="L40" s="357">
        <f>V40*$Y$4</f>
        <v>11000</v>
      </c>
      <c r="M40" s="357"/>
      <c r="N40" s="357">
        <f t="shared" si="46"/>
        <v>11000</v>
      </c>
      <c r="O40" s="358">
        <f t="shared" si="47"/>
        <v>55000</v>
      </c>
      <c r="P40" s="360">
        <f t="shared" si="35"/>
        <v>7902.2988505747126</v>
      </c>
      <c r="Q40" s="321">
        <v>3</v>
      </c>
      <c r="R40" s="331">
        <f t="shared" si="52"/>
        <v>6321.8390804597702</v>
      </c>
      <c r="S40" s="188"/>
      <c r="T40" s="188"/>
      <c r="U40" s="357">
        <f t="shared" si="48"/>
        <v>0</v>
      </c>
      <c r="V40" s="188">
        <f t="shared" si="53"/>
        <v>1580.4597701149426</v>
      </c>
      <c r="W40" s="188"/>
      <c r="X40" s="357">
        <f t="shared" si="49"/>
        <v>1580.4597701149426</v>
      </c>
      <c r="Y40" s="358">
        <f t="shared" si="50"/>
        <v>7902.2988505747126</v>
      </c>
      <c r="Z40" s="184">
        <f t="shared" si="2"/>
        <v>0</v>
      </c>
    </row>
    <row r="41" spans="1:27" ht="25.5" hidden="1">
      <c r="A41" s="187">
        <v>3</v>
      </c>
      <c r="B41" s="328" t="s">
        <v>327</v>
      </c>
      <c r="C41" s="191" t="s">
        <v>233</v>
      </c>
      <c r="D41" s="285">
        <v>25</v>
      </c>
      <c r="E41" s="192" t="s">
        <v>170</v>
      </c>
      <c r="F41" s="337">
        <v>400</v>
      </c>
      <c r="G41" s="355">
        <f t="shared" si="51"/>
        <v>10000</v>
      </c>
      <c r="H41" s="356">
        <f t="shared" si="44"/>
        <v>10000</v>
      </c>
      <c r="I41" s="357"/>
      <c r="J41" s="357"/>
      <c r="K41" s="357">
        <f t="shared" si="45"/>
        <v>0</v>
      </c>
      <c r="L41" s="357"/>
      <c r="M41" s="357"/>
      <c r="N41" s="357">
        <f t="shared" si="46"/>
        <v>0</v>
      </c>
      <c r="O41" s="358">
        <f t="shared" si="47"/>
        <v>10000</v>
      </c>
      <c r="P41" s="360">
        <f t="shared" si="35"/>
        <v>1436.7816091954023</v>
      </c>
      <c r="Q41" s="321">
        <v>1</v>
      </c>
      <c r="R41" s="331">
        <f t="shared" ref="R41:R79" si="54">P41</f>
        <v>1436.7816091954023</v>
      </c>
      <c r="S41" s="188"/>
      <c r="T41" s="188"/>
      <c r="U41" s="357">
        <f t="shared" si="48"/>
        <v>0</v>
      </c>
      <c r="V41" s="188"/>
      <c r="W41" s="188"/>
      <c r="X41" s="357">
        <f t="shared" si="49"/>
        <v>0</v>
      </c>
      <c r="Y41" s="358">
        <f t="shared" si="50"/>
        <v>1436.7816091954023</v>
      </c>
      <c r="Z41" s="184">
        <f t="shared" si="2"/>
        <v>0</v>
      </c>
    </row>
    <row r="42" spans="1:27" ht="25.5">
      <c r="A42" s="187">
        <v>3</v>
      </c>
      <c r="B42" s="328" t="s">
        <v>327</v>
      </c>
      <c r="C42" s="191" t="s">
        <v>233</v>
      </c>
      <c r="D42" s="285">
        <v>25</v>
      </c>
      <c r="E42" s="192" t="s">
        <v>170</v>
      </c>
      <c r="F42" s="337">
        <v>400</v>
      </c>
      <c r="G42" s="355">
        <f t="shared" si="51"/>
        <v>10000</v>
      </c>
      <c r="H42" s="356">
        <f t="shared" si="44"/>
        <v>10000</v>
      </c>
      <c r="I42" s="357"/>
      <c r="J42" s="357"/>
      <c r="K42" s="357">
        <f t="shared" si="45"/>
        <v>0</v>
      </c>
      <c r="L42" s="357"/>
      <c r="M42" s="357"/>
      <c r="N42" s="357">
        <f t="shared" si="46"/>
        <v>0</v>
      </c>
      <c r="O42" s="358">
        <f t="shared" si="47"/>
        <v>10000</v>
      </c>
      <c r="P42" s="360">
        <f t="shared" si="35"/>
        <v>1436.7816091954023</v>
      </c>
      <c r="Q42" s="321">
        <v>2</v>
      </c>
      <c r="R42" s="331">
        <f t="shared" si="54"/>
        <v>1436.7816091954023</v>
      </c>
      <c r="S42" s="188"/>
      <c r="T42" s="188"/>
      <c r="U42" s="357">
        <f t="shared" si="48"/>
        <v>0</v>
      </c>
      <c r="V42" s="188"/>
      <c r="W42" s="188"/>
      <c r="X42" s="357">
        <f t="shared" si="49"/>
        <v>0</v>
      </c>
      <c r="Y42" s="358">
        <f t="shared" si="50"/>
        <v>1436.7816091954023</v>
      </c>
      <c r="Z42" s="184">
        <f t="shared" si="2"/>
        <v>0</v>
      </c>
    </row>
    <row r="43" spans="1:27" ht="25.5" hidden="1">
      <c r="A43" s="187">
        <v>3</v>
      </c>
      <c r="B43" s="328" t="s">
        <v>327</v>
      </c>
      <c r="C43" s="191" t="s">
        <v>233</v>
      </c>
      <c r="D43" s="285">
        <v>25</v>
      </c>
      <c r="E43" s="192" t="s">
        <v>170</v>
      </c>
      <c r="F43" s="337">
        <v>400</v>
      </c>
      <c r="G43" s="355">
        <f t="shared" si="51"/>
        <v>10000</v>
      </c>
      <c r="H43" s="356">
        <f t="shared" si="44"/>
        <v>10000</v>
      </c>
      <c r="I43" s="357"/>
      <c r="J43" s="357"/>
      <c r="K43" s="357">
        <f t="shared" si="45"/>
        <v>0</v>
      </c>
      <c r="L43" s="357"/>
      <c r="M43" s="357"/>
      <c r="N43" s="357">
        <f t="shared" si="46"/>
        <v>0</v>
      </c>
      <c r="O43" s="358">
        <f t="shared" si="47"/>
        <v>10000</v>
      </c>
      <c r="P43" s="360">
        <f t="shared" si="35"/>
        <v>1436.7816091954023</v>
      </c>
      <c r="Q43" s="321">
        <v>3</v>
      </c>
      <c r="R43" s="331">
        <f t="shared" si="54"/>
        <v>1436.7816091954023</v>
      </c>
      <c r="S43" s="188"/>
      <c r="T43" s="188"/>
      <c r="U43" s="357">
        <f t="shared" si="48"/>
        <v>0</v>
      </c>
      <c r="V43" s="188"/>
      <c r="W43" s="188"/>
      <c r="X43" s="357">
        <f t="shared" si="49"/>
        <v>0</v>
      </c>
      <c r="Y43" s="358">
        <f t="shared" si="50"/>
        <v>1436.7816091954023</v>
      </c>
      <c r="Z43" s="184">
        <f t="shared" si="2"/>
        <v>0</v>
      </c>
    </row>
    <row r="44" spans="1:27" ht="25.5" hidden="1">
      <c r="A44" s="187">
        <v>3</v>
      </c>
      <c r="B44" s="328" t="s">
        <v>327</v>
      </c>
      <c r="C44" s="191" t="s">
        <v>234</v>
      </c>
      <c r="D44" s="285">
        <v>22</v>
      </c>
      <c r="E44" s="192" t="s">
        <v>170</v>
      </c>
      <c r="F44" s="337">
        <v>600</v>
      </c>
      <c r="G44" s="355">
        <f t="shared" si="51"/>
        <v>13200</v>
      </c>
      <c r="H44" s="356">
        <f t="shared" si="44"/>
        <v>13200</v>
      </c>
      <c r="I44" s="357"/>
      <c r="J44" s="357"/>
      <c r="K44" s="357">
        <f t="shared" si="45"/>
        <v>0</v>
      </c>
      <c r="L44" s="357"/>
      <c r="M44" s="357"/>
      <c r="N44" s="357">
        <f t="shared" si="46"/>
        <v>0</v>
      </c>
      <c r="O44" s="358">
        <f t="shared" si="47"/>
        <v>13200</v>
      </c>
      <c r="P44" s="360">
        <f t="shared" si="35"/>
        <v>1896.5517241379309</v>
      </c>
      <c r="Q44" s="321">
        <v>1</v>
      </c>
      <c r="R44" s="331">
        <f t="shared" si="54"/>
        <v>1896.5517241379309</v>
      </c>
      <c r="S44" s="188"/>
      <c r="T44" s="188"/>
      <c r="U44" s="357">
        <f t="shared" si="48"/>
        <v>0</v>
      </c>
      <c r="V44" s="188"/>
      <c r="W44" s="188"/>
      <c r="X44" s="357">
        <f t="shared" si="49"/>
        <v>0</v>
      </c>
      <c r="Y44" s="358">
        <f t="shared" si="50"/>
        <v>1896.5517241379309</v>
      </c>
      <c r="Z44" s="184">
        <f t="shared" si="2"/>
        <v>0</v>
      </c>
    </row>
    <row r="45" spans="1:27" ht="25.5">
      <c r="A45" s="187">
        <v>3</v>
      </c>
      <c r="B45" s="328" t="s">
        <v>327</v>
      </c>
      <c r="C45" s="191" t="s">
        <v>234</v>
      </c>
      <c r="D45" s="285">
        <v>22</v>
      </c>
      <c r="E45" s="192" t="s">
        <v>170</v>
      </c>
      <c r="F45" s="337">
        <v>600</v>
      </c>
      <c r="G45" s="355">
        <f t="shared" si="51"/>
        <v>13200</v>
      </c>
      <c r="H45" s="356">
        <f t="shared" si="44"/>
        <v>13200</v>
      </c>
      <c r="I45" s="357"/>
      <c r="J45" s="357"/>
      <c r="K45" s="357">
        <f t="shared" si="45"/>
        <v>0</v>
      </c>
      <c r="L45" s="357"/>
      <c r="M45" s="357"/>
      <c r="N45" s="357">
        <f t="shared" si="46"/>
        <v>0</v>
      </c>
      <c r="O45" s="358">
        <f t="shared" si="47"/>
        <v>13200</v>
      </c>
      <c r="P45" s="360">
        <f t="shared" si="35"/>
        <v>1896.5517241379309</v>
      </c>
      <c r="Q45" s="321">
        <v>2</v>
      </c>
      <c r="R45" s="331">
        <f t="shared" si="54"/>
        <v>1896.5517241379309</v>
      </c>
      <c r="S45" s="188"/>
      <c r="T45" s="188"/>
      <c r="U45" s="357">
        <f t="shared" si="48"/>
        <v>0</v>
      </c>
      <c r="V45" s="188"/>
      <c r="W45" s="188"/>
      <c r="X45" s="357">
        <f t="shared" si="49"/>
        <v>0</v>
      </c>
      <c r="Y45" s="358">
        <f t="shared" si="50"/>
        <v>1896.5517241379309</v>
      </c>
      <c r="Z45" s="184">
        <f t="shared" si="2"/>
        <v>0</v>
      </c>
    </row>
    <row r="46" spans="1:27" ht="25.5" hidden="1">
      <c r="A46" s="187">
        <v>3</v>
      </c>
      <c r="B46" s="328" t="s">
        <v>327</v>
      </c>
      <c r="C46" s="191" t="s">
        <v>234</v>
      </c>
      <c r="D46" s="285">
        <v>22</v>
      </c>
      <c r="E46" s="192" t="s">
        <v>170</v>
      </c>
      <c r="F46" s="337">
        <v>600</v>
      </c>
      <c r="G46" s="355">
        <f t="shared" si="51"/>
        <v>13200</v>
      </c>
      <c r="H46" s="356">
        <f t="shared" si="44"/>
        <v>13200</v>
      </c>
      <c r="I46" s="357"/>
      <c r="J46" s="357"/>
      <c r="K46" s="357">
        <f t="shared" si="45"/>
        <v>0</v>
      </c>
      <c r="L46" s="357"/>
      <c r="M46" s="357"/>
      <c r="N46" s="357">
        <f t="shared" si="46"/>
        <v>0</v>
      </c>
      <c r="O46" s="358">
        <f t="shared" si="47"/>
        <v>13200</v>
      </c>
      <c r="P46" s="360">
        <f t="shared" si="35"/>
        <v>1896.5517241379309</v>
      </c>
      <c r="Q46" s="321">
        <v>3</v>
      </c>
      <c r="R46" s="331">
        <f t="shared" si="54"/>
        <v>1896.5517241379309</v>
      </c>
      <c r="S46" s="188"/>
      <c r="T46" s="188"/>
      <c r="U46" s="357">
        <f t="shared" si="48"/>
        <v>0</v>
      </c>
      <c r="V46" s="188"/>
      <c r="W46" s="188"/>
      <c r="X46" s="357">
        <f t="shared" si="49"/>
        <v>0</v>
      </c>
      <c r="Y46" s="358">
        <f t="shared" si="50"/>
        <v>1896.5517241379309</v>
      </c>
      <c r="Z46" s="184">
        <f t="shared" si="2"/>
        <v>0</v>
      </c>
    </row>
    <row r="47" spans="1:27" ht="25.5" hidden="1">
      <c r="A47" s="187">
        <v>3</v>
      </c>
      <c r="B47" s="328" t="s">
        <v>327</v>
      </c>
      <c r="C47" s="191" t="s">
        <v>235</v>
      </c>
      <c r="D47" s="285">
        <v>22</v>
      </c>
      <c r="E47" s="192" t="s">
        <v>170</v>
      </c>
      <c r="F47" s="337">
        <v>400</v>
      </c>
      <c r="G47" s="355">
        <f t="shared" si="51"/>
        <v>8800</v>
      </c>
      <c r="H47" s="356">
        <f t="shared" si="44"/>
        <v>8800</v>
      </c>
      <c r="I47" s="357"/>
      <c r="J47" s="357"/>
      <c r="K47" s="357">
        <f t="shared" si="45"/>
        <v>0</v>
      </c>
      <c r="L47" s="357"/>
      <c r="M47" s="357"/>
      <c r="N47" s="357">
        <f t="shared" si="46"/>
        <v>0</v>
      </c>
      <c r="O47" s="358">
        <f t="shared" si="47"/>
        <v>8800</v>
      </c>
      <c r="P47" s="360">
        <f t="shared" si="35"/>
        <v>1264.367816091954</v>
      </c>
      <c r="Q47" s="321">
        <v>1</v>
      </c>
      <c r="R47" s="331">
        <f t="shared" si="54"/>
        <v>1264.367816091954</v>
      </c>
      <c r="S47" s="188"/>
      <c r="T47" s="188"/>
      <c r="U47" s="357">
        <f t="shared" si="48"/>
        <v>0</v>
      </c>
      <c r="V47" s="188"/>
      <c r="W47" s="188"/>
      <c r="X47" s="357">
        <f t="shared" si="49"/>
        <v>0</v>
      </c>
      <c r="Y47" s="358">
        <f t="shared" si="50"/>
        <v>1264.367816091954</v>
      </c>
      <c r="Z47" s="184">
        <f t="shared" si="2"/>
        <v>0</v>
      </c>
    </row>
    <row r="48" spans="1:27" ht="25.5">
      <c r="A48" s="187">
        <v>3</v>
      </c>
      <c r="B48" s="328" t="s">
        <v>327</v>
      </c>
      <c r="C48" s="191" t="s">
        <v>235</v>
      </c>
      <c r="D48" s="285">
        <v>22</v>
      </c>
      <c r="E48" s="192" t="s">
        <v>170</v>
      </c>
      <c r="F48" s="337">
        <v>400</v>
      </c>
      <c r="G48" s="355">
        <f t="shared" si="51"/>
        <v>8800</v>
      </c>
      <c r="H48" s="356">
        <f t="shared" si="44"/>
        <v>8800</v>
      </c>
      <c r="I48" s="357"/>
      <c r="J48" s="357"/>
      <c r="K48" s="357">
        <f t="shared" si="45"/>
        <v>0</v>
      </c>
      <c r="L48" s="357"/>
      <c r="M48" s="357"/>
      <c r="N48" s="357">
        <f t="shared" si="46"/>
        <v>0</v>
      </c>
      <c r="O48" s="358">
        <f t="shared" si="47"/>
        <v>8800</v>
      </c>
      <c r="P48" s="360">
        <f t="shared" si="35"/>
        <v>1264.367816091954</v>
      </c>
      <c r="Q48" s="321">
        <v>2</v>
      </c>
      <c r="R48" s="331">
        <f t="shared" si="54"/>
        <v>1264.367816091954</v>
      </c>
      <c r="S48" s="188"/>
      <c r="T48" s="188"/>
      <c r="U48" s="357">
        <f t="shared" si="48"/>
        <v>0</v>
      </c>
      <c r="V48" s="188"/>
      <c r="W48" s="188"/>
      <c r="X48" s="357">
        <f t="shared" si="49"/>
        <v>0</v>
      </c>
      <c r="Y48" s="358">
        <f t="shared" si="50"/>
        <v>1264.367816091954</v>
      </c>
      <c r="Z48" s="184">
        <f t="shared" si="2"/>
        <v>0</v>
      </c>
    </row>
    <row r="49" spans="1:26" ht="25.5" hidden="1">
      <c r="A49" s="187">
        <v>3</v>
      </c>
      <c r="B49" s="328" t="s">
        <v>327</v>
      </c>
      <c r="C49" s="191" t="s">
        <v>235</v>
      </c>
      <c r="D49" s="285">
        <v>22</v>
      </c>
      <c r="E49" s="192" t="s">
        <v>170</v>
      </c>
      <c r="F49" s="337">
        <v>400</v>
      </c>
      <c r="G49" s="355">
        <f t="shared" si="51"/>
        <v>8800</v>
      </c>
      <c r="H49" s="356">
        <f t="shared" si="44"/>
        <v>8800</v>
      </c>
      <c r="I49" s="357"/>
      <c r="J49" s="357"/>
      <c r="K49" s="357">
        <f t="shared" si="45"/>
        <v>0</v>
      </c>
      <c r="L49" s="357"/>
      <c r="M49" s="357"/>
      <c r="N49" s="357">
        <f t="shared" si="46"/>
        <v>0</v>
      </c>
      <c r="O49" s="358">
        <f t="shared" si="47"/>
        <v>8800</v>
      </c>
      <c r="P49" s="359">
        <f t="shared" si="35"/>
        <v>1264.367816091954</v>
      </c>
      <c r="Q49" s="321">
        <v>3</v>
      </c>
      <c r="R49" s="331">
        <f t="shared" si="54"/>
        <v>1264.367816091954</v>
      </c>
      <c r="S49" s="188"/>
      <c r="T49" s="188"/>
      <c r="U49" s="357">
        <f t="shared" si="48"/>
        <v>0</v>
      </c>
      <c r="V49" s="188"/>
      <c r="W49" s="188"/>
      <c r="X49" s="357">
        <f t="shared" si="49"/>
        <v>0</v>
      </c>
      <c r="Y49" s="358">
        <f t="shared" si="50"/>
        <v>1264.367816091954</v>
      </c>
      <c r="Z49" s="184">
        <f t="shared" si="2"/>
        <v>0</v>
      </c>
    </row>
    <row r="50" spans="1:26" ht="25.5" hidden="1">
      <c r="A50" s="187">
        <v>3</v>
      </c>
      <c r="B50" s="328" t="s">
        <v>327</v>
      </c>
      <c r="C50" s="191" t="s">
        <v>236</v>
      </c>
      <c r="D50" s="285">
        <v>25</v>
      </c>
      <c r="E50" s="192" t="s">
        <v>170</v>
      </c>
      <c r="F50" s="337">
        <v>700</v>
      </c>
      <c r="G50" s="355">
        <f t="shared" si="51"/>
        <v>17500</v>
      </c>
      <c r="H50" s="356">
        <f t="shared" si="44"/>
        <v>17500</v>
      </c>
      <c r="I50" s="357"/>
      <c r="J50" s="357"/>
      <c r="K50" s="357">
        <f t="shared" si="45"/>
        <v>0</v>
      </c>
      <c r="L50" s="357"/>
      <c r="M50" s="357"/>
      <c r="N50" s="357">
        <f t="shared" si="46"/>
        <v>0</v>
      </c>
      <c r="O50" s="358">
        <f t="shared" si="47"/>
        <v>17500</v>
      </c>
      <c r="P50" s="360">
        <f t="shared" si="35"/>
        <v>2514.367816091954</v>
      </c>
      <c r="Q50" s="321">
        <v>1</v>
      </c>
      <c r="R50" s="331">
        <f t="shared" si="54"/>
        <v>2514.367816091954</v>
      </c>
      <c r="S50" s="188"/>
      <c r="T50" s="188"/>
      <c r="U50" s="357">
        <f t="shared" si="48"/>
        <v>0</v>
      </c>
      <c r="V50" s="188"/>
      <c r="W50" s="188"/>
      <c r="X50" s="357">
        <f t="shared" si="49"/>
        <v>0</v>
      </c>
      <c r="Y50" s="358">
        <f t="shared" si="50"/>
        <v>2514.367816091954</v>
      </c>
      <c r="Z50" s="184">
        <f t="shared" si="2"/>
        <v>0</v>
      </c>
    </row>
    <row r="51" spans="1:26" ht="25.5">
      <c r="A51" s="187">
        <v>3</v>
      </c>
      <c r="B51" s="328" t="s">
        <v>327</v>
      </c>
      <c r="C51" s="191" t="s">
        <v>236</v>
      </c>
      <c r="D51" s="285">
        <v>25</v>
      </c>
      <c r="E51" s="192" t="s">
        <v>170</v>
      </c>
      <c r="F51" s="337">
        <v>700</v>
      </c>
      <c r="G51" s="355">
        <f t="shared" si="51"/>
        <v>17500</v>
      </c>
      <c r="H51" s="356">
        <f t="shared" si="44"/>
        <v>17500</v>
      </c>
      <c r="I51" s="357"/>
      <c r="J51" s="357"/>
      <c r="K51" s="357">
        <f t="shared" si="45"/>
        <v>0</v>
      </c>
      <c r="L51" s="357"/>
      <c r="M51" s="357"/>
      <c r="N51" s="357">
        <f t="shared" si="46"/>
        <v>0</v>
      </c>
      <c r="O51" s="358">
        <f t="shared" si="47"/>
        <v>17500</v>
      </c>
      <c r="P51" s="360">
        <f t="shared" si="35"/>
        <v>2514.367816091954</v>
      </c>
      <c r="Q51" s="321">
        <v>2</v>
      </c>
      <c r="R51" s="331">
        <f t="shared" si="54"/>
        <v>2514.367816091954</v>
      </c>
      <c r="S51" s="188"/>
      <c r="T51" s="188"/>
      <c r="U51" s="357">
        <f t="shared" si="48"/>
        <v>0</v>
      </c>
      <c r="V51" s="188"/>
      <c r="W51" s="188"/>
      <c r="X51" s="357">
        <f t="shared" si="49"/>
        <v>0</v>
      </c>
      <c r="Y51" s="358">
        <f t="shared" si="50"/>
        <v>2514.367816091954</v>
      </c>
      <c r="Z51" s="184">
        <f t="shared" si="2"/>
        <v>0</v>
      </c>
    </row>
    <row r="52" spans="1:26" ht="25.5" hidden="1">
      <c r="A52" s="187">
        <v>3</v>
      </c>
      <c r="B52" s="328" t="s">
        <v>327</v>
      </c>
      <c r="C52" s="191" t="s">
        <v>236</v>
      </c>
      <c r="D52" s="285">
        <v>25</v>
      </c>
      <c r="E52" s="192" t="s">
        <v>170</v>
      </c>
      <c r="F52" s="337">
        <v>700</v>
      </c>
      <c r="G52" s="355">
        <f t="shared" si="51"/>
        <v>17500</v>
      </c>
      <c r="H52" s="356">
        <f t="shared" si="44"/>
        <v>17500</v>
      </c>
      <c r="I52" s="357"/>
      <c r="J52" s="357"/>
      <c r="K52" s="357">
        <f t="shared" si="45"/>
        <v>0</v>
      </c>
      <c r="L52" s="357"/>
      <c r="M52" s="357"/>
      <c r="N52" s="357">
        <f t="shared" si="46"/>
        <v>0</v>
      </c>
      <c r="O52" s="358">
        <f t="shared" si="47"/>
        <v>17500</v>
      </c>
      <c r="P52" s="359">
        <f t="shared" si="35"/>
        <v>2514.367816091954</v>
      </c>
      <c r="Q52" s="321">
        <v>3</v>
      </c>
      <c r="R52" s="331">
        <f t="shared" si="54"/>
        <v>2514.367816091954</v>
      </c>
      <c r="S52" s="188"/>
      <c r="T52" s="188"/>
      <c r="U52" s="357">
        <f t="shared" si="48"/>
        <v>0</v>
      </c>
      <c r="V52" s="188"/>
      <c r="W52" s="188"/>
      <c r="X52" s="357">
        <f t="shared" si="49"/>
        <v>0</v>
      </c>
      <c r="Y52" s="358">
        <f t="shared" si="50"/>
        <v>2514.367816091954</v>
      </c>
      <c r="Z52" s="184">
        <f t="shared" si="2"/>
        <v>0</v>
      </c>
    </row>
    <row r="53" spans="1:26" ht="25.5" hidden="1">
      <c r="A53" s="187">
        <v>3</v>
      </c>
      <c r="B53" s="328" t="s">
        <v>327</v>
      </c>
      <c r="C53" s="191" t="s">
        <v>168</v>
      </c>
      <c r="D53" s="285">
        <v>1</v>
      </c>
      <c r="E53" s="192" t="s">
        <v>169</v>
      </c>
      <c r="F53" s="337">
        <v>2000</v>
      </c>
      <c r="G53" s="355">
        <f t="shared" si="51"/>
        <v>2000</v>
      </c>
      <c r="H53" s="356">
        <f t="shared" si="44"/>
        <v>2000</v>
      </c>
      <c r="I53" s="357"/>
      <c r="J53" s="357"/>
      <c r="K53" s="357">
        <f t="shared" si="45"/>
        <v>0</v>
      </c>
      <c r="L53" s="357"/>
      <c r="M53" s="357"/>
      <c r="N53" s="357">
        <f t="shared" si="46"/>
        <v>0</v>
      </c>
      <c r="O53" s="358">
        <f t="shared" si="47"/>
        <v>2000</v>
      </c>
      <c r="P53" s="359">
        <f t="shared" si="35"/>
        <v>287.35632183908046</v>
      </c>
      <c r="Q53" s="321">
        <v>1</v>
      </c>
      <c r="R53" s="331">
        <f t="shared" si="54"/>
        <v>287.35632183908046</v>
      </c>
      <c r="S53" s="188"/>
      <c r="T53" s="188"/>
      <c r="U53" s="357">
        <f t="shared" si="48"/>
        <v>0</v>
      </c>
      <c r="V53" s="188"/>
      <c r="W53" s="188"/>
      <c r="X53" s="357">
        <f t="shared" si="49"/>
        <v>0</v>
      </c>
      <c r="Y53" s="358">
        <f t="shared" si="50"/>
        <v>287.35632183908046</v>
      </c>
      <c r="Z53" s="184">
        <f t="shared" si="2"/>
        <v>0</v>
      </c>
    </row>
    <row r="54" spans="1:26" ht="25.5">
      <c r="A54" s="187">
        <v>3</v>
      </c>
      <c r="B54" s="328" t="s">
        <v>327</v>
      </c>
      <c r="C54" s="191" t="s">
        <v>168</v>
      </c>
      <c r="D54" s="285">
        <v>1</v>
      </c>
      <c r="E54" s="192" t="s">
        <v>169</v>
      </c>
      <c r="F54" s="337">
        <v>2000</v>
      </c>
      <c r="G54" s="355">
        <f t="shared" si="51"/>
        <v>2000</v>
      </c>
      <c r="H54" s="356">
        <f t="shared" si="44"/>
        <v>2000</v>
      </c>
      <c r="I54" s="357"/>
      <c r="J54" s="357"/>
      <c r="K54" s="357">
        <f t="shared" si="45"/>
        <v>0</v>
      </c>
      <c r="L54" s="357"/>
      <c r="M54" s="357"/>
      <c r="N54" s="357">
        <f t="shared" si="46"/>
        <v>0</v>
      </c>
      <c r="O54" s="358">
        <f t="shared" si="47"/>
        <v>2000</v>
      </c>
      <c r="P54" s="359">
        <f t="shared" si="35"/>
        <v>287.35632183908046</v>
      </c>
      <c r="Q54" s="321">
        <v>2</v>
      </c>
      <c r="R54" s="331">
        <f t="shared" si="54"/>
        <v>287.35632183908046</v>
      </c>
      <c r="S54" s="188"/>
      <c r="T54" s="188"/>
      <c r="U54" s="357">
        <f t="shared" si="48"/>
        <v>0</v>
      </c>
      <c r="V54" s="188"/>
      <c r="W54" s="188"/>
      <c r="X54" s="357">
        <f t="shared" si="49"/>
        <v>0</v>
      </c>
      <c r="Y54" s="358">
        <f t="shared" si="50"/>
        <v>287.35632183908046</v>
      </c>
      <c r="Z54" s="184">
        <f t="shared" si="2"/>
        <v>0</v>
      </c>
    </row>
    <row r="55" spans="1:26" ht="25.5" hidden="1">
      <c r="A55" s="187">
        <v>3</v>
      </c>
      <c r="B55" s="328" t="s">
        <v>327</v>
      </c>
      <c r="C55" s="191" t="s">
        <v>168</v>
      </c>
      <c r="D55" s="285">
        <v>1</v>
      </c>
      <c r="E55" s="192" t="s">
        <v>169</v>
      </c>
      <c r="F55" s="337">
        <v>2000</v>
      </c>
      <c r="G55" s="355">
        <f t="shared" si="51"/>
        <v>2000</v>
      </c>
      <c r="H55" s="356">
        <f t="shared" si="44"/>
        <v>2000</v>
      </c>
      <c r="I55" s="357"/>
      <c r="J55" s="357"/>
      <c r="K55" s="357">
        <f t="shared" si="45"/>
        <v>0</v>
      </c>
      <c r="L55" s="357"/>
      <c r="M55" s="357"/>
      <c r="N55" s="357">
        <f t="shared" si="46"/>
        <v>0</v>
      </c>
      <c r="O55" s="358">
        <f t="shared" si="47"/>
        <v>2000</v>
      </c>
      <c r="P55" s="359">
        <f t="shared" si="35"/>
        <v>287.35632183908046</v>
      </c>
      <c r="Q55" s="321">
        <v>3</v>
      </c>
      <c r="R55" s="331">
        <f t="shared" si="54"/>
        <v>287.35632183908046</v>
      </c>
      <c r="S55" s="188"/>
      <c r="T55" s="188"/>
      <c r="U55" s="357">
        <f t="shared" si="48"/>
        <v>0</v>
      </c>
      <c r="V55" s="188"/>
      <c r="W55" s="188"/>
      <c r="X55" s="357">
        <f t="shared" si="49"/>
        <v>0</v>
      </c>
      <c r="Y55" s="358">
        <f t="shared" si="50"/>
        <v>287.35632183908046</v>
      </c>
      <c r="Z55" s="184">
        <f t="shared" si="2"/>
        <v>0</v>
      </c>
    </row>
    <row r="56" spans="1:26" ht="25.5" hidden="1">
      <c r="A56" s="187">
        <v>3</v>
      </c>
      <c r="B56" s="328" t="s">
        <v>327</v>
      </c>
      <c r="C56" s="191" t="s">
        <v>231</v>
      </c>
      <c r="D56" s="284">
        <v>20</v>
      </c>
      <c r="E56" s="187" t="s">
        <v>232</v>
      </c>
      <c r="F56" s="340">
        <v>250</v>
      </c>
      <c r="G56" s="355">
        <f t="shared" si="51"/>
        <v>5000</v>
      </c>
      <c r="H56" s="356">
        <f t="shared" si="44"/>
        <v>5000</v>
      </c>
      <c r="I56" s="357"/>
      <c r="J56" s="357"/>
      <c r="K56" s="357">
        <f t="shared" si="45"/>
        <v>0</v>
      </c>
      <c r="L56" s="357"/>
      <c r="M56" s="357"/>
      <c r="N56" s="357">
        <f t="shared" si="46"/>
        <v>0</v>
      </c>
      <c r="O56" s="358">
        <f t="shared" si="47"/>
        <v>5000</v>
      </c>
      <c r="P56" s="359">
        <f t="shared" si="35"/>
        <v>718.39080459770116</v>
      </c>
      <c r="Q56" s="321">
        <v>1</v>
      </c>
      <c r="R56" s="188">
        <f t="shared" si="54"/>
        <v>718.39080459770116</v>
      </c>
      <c r="S56" s="188"/>
      <c r="T56" s="188"/>
      <c r="U56" s="357">
        <f t="shared" si="48"/>
        <v>0</v>
      </c>
      <c r="V56" s="188"/>
      <c r="W56" s="188"/>
      <c r="X56" s="357">
        <f t="shared" si="49"/>
        <v>0</v>
      </c>
      <c r="Y56" s="358">
        <f t="shared" si="50"/>
        <v>718.39080459770116</v>
      </c>
      <c r="Z56" s="184">
        <f t="shared" si="2"/>
        <v>0</v>
      </c>
    </row>
    <row r="57" spans="1:26" ht="25.5">
      <c r="A57" s="187">
        <v>3</v>
      </c>
      <c r="B57" s="328" t="s">
        <v>327</v>
      </c>
      <c r="C57" s="191" t="s">
        <v>231</v>
      </c>
      <c r="D57" s="284">
        <v>20</v>
      </c>
      <c r="E57" s="187" t="s">
        <v>232</v>
      </c>
      <c r="F57" s="340">
        <v>250</v>
      </c>
      <c r="G57" s="355">
        <f t="shared" si="51"/>
        <v>5000</v>
      </c>
      <c r="H57" s="356">
        <f t="shared" si="44"/>
        <v>5000</v>
      </c>
      <c r="I57" s="357"/>
      <c r="J57" s="357"/>
      <c r="K57" s="357">
        <f t="shared" si="45"/>
        <v>0</v>
      </c>
      <c r="L57" s="357"/>
      <c r="M57" s="357"/>
      <c r="N57" s="357">
        <f t="shared" si="46"/>
        <v>0</v>
      </c>
      <c r="O57" s="358">
        <f t="shared" si="47"/>
        <v>5000</v>
      </c>
      <c r="P57" s="359">
        <f t="shared" si="35"/>
        <v>718.39080459770116</v>
      </c>
      <c r="Q57" s="321">
        <v>2</v>
      </c>
      <c r="R57" s="188">
        <f t="shared" si="54"/>
        <v>718.39080459770116</v>
      </c>
      <c r="S57" s="188"/>
      <c r="T57" s="188"/>
      <c r="U57" s="357">
        <f t="shared" si="48"/>
        <v>0</v>
      </c>
      <c r="V57" s="188"/>
      <c r="W57" s="188"/>
      <c r="X57" s="357">
        <f t="shared" si="49"/>
        <v>0</v>
      </c>
      <c r="Y57" s="358">
        <f t="shared" si="50"/>
        <v>718.39080459770116</v>
      </c>
      <c r="Z57" s="184">
        <f t="shared" si="2"/>
        <v>0</v>
      </c>
    </row>
    <row r="58" spans="1:26" ht="25.5" hidden="1">
      <c r="A58" s="187">
        <v>3</v>
      </c>
      <c r="B58" s="328" t="s">
        <v>327</v>
      </c>
      <c r="C58" s="191" t="s">
        <v>231</v>
      </c>
      <c r="D58" s="284">
        <v>20</v>
      </c>
      <c r="E58" s="187" t="s">
        <v>232</v>
      </c>
      <c r="F58" s="340">
        <v>250</v>
      </c>
      <c r="G58" s="355">
        <f t="shared" si="51"/>
        <v>5000</v>
      </c>
      <c r="H58" s="356">
        <f t="shared" si="44"/>
        <v>5000</v>
      </c>
      <c r="I58" s="357"/>
      <c r="J58" s="357"/>
      <c r="K58" s="357">
        <f t="shared" si="45"/>
        <v>0</v>
      </c>
      <c r="L58" s="357"/>
      <c r="M58" s="357"/>
      <c r="N58" s="357">
        <f t="shared" si="46"/>
        <v>0</v>
      </c>
      <c r="O58" s="358">
        <f t="shared" si="47"/>
        <v>5000</v>
      </c>
      <c r="P58" s="359">
        <f t="shared" si="35"/>
        <v>718.39080459770116</v>
      </c>
      <c r="Q58" s="321">
        <v>3</v>
      </c>
      <c r="R58" s="188">
        <f t="shared" si="54"/>
        <v>718.39080459770116</v>
      </c>
      <c r="S58" s="188"/>
      <c r="T58" s="188"/>
      <c r="U58" s="357">
        <f t="shared" si="48"/>
        <v>0</v>
      </c>
      <c r="V58" s="188"/>
      <c r="W58" s="188"/>
      <c r="X58" s="357">
        <f t="shared" si="49"/>
        <v>0</v>
      </c>
      <c r="Y58" s="358">
        <f t="shared" si="50"/>
        <v>718.39080459770116</v>
      </c>
      <c r="Z58" s="184">
        <f t="shared" si="2"/>
        <v>0</v>
      </c>
    </row>
    <row r="59" spans="1:26" ht="25.5" hidden="1">
      <c r="A59" s="187">
        <v>3</v>
      </c>
      <c r="B59" s="328" t="s">
        <v>327</v>
      </c>
      <c r="C59" s="191" t="s">
        <v>262</v>
      </c>
      <c r="D59" s="284">
        <v>22</v>
      </c>
      <c r="E59" s="187" t="s">
        <v>163</v>
      </c>
      <c r="F59" s="340">
        <v>1500</v>
      </c>
      <c r="G59" s="355">
        <f t="shared" si="51"/>
        <v>33000</v>
      </c>
      <c r="H59" s="356">
        <f t="shared" si="44"/>
        <v>33000</v>
      </c>
      <c r="I59" s="357"/>
      <c r="J59" s="357"/>
      <c r="K59" s="357">
        <f t="shared" si="45"/>
        <v>0</v>
      </c>
      <c r="L59" s="357"/>
      <c r="M59" s="357"/>
      <c r="N59" s="357">
        <f t="shared" si="46"/>
        <v>0</v>
      </c>
      <c r="O59" s="358">
        <f t="shared" si="47"/>
        <v>33000</v>
      </c>
      <c r="P59" s="360">
        <f t="shared" si="35"/>
        <v>4741.3793103448279</v>
      </c>
      <c r="Q59" s="321">
        <v>1</v>
      </c>
      <c r="R59" s="331">
        <f t="shared" si="54"/>
        <v>4741.3793103448279</v>
      </c>
      <c r="S59" s="188"/>
      <c r="T59" s="188"/>
      <c r="U59" s="357">
        <f t="shared" si="48"/>
        <v>0</v>
      </c>
      <c r="V59" s="188"/>
      <c r="W59" s="188"/>
      <c r="X59" s="357">
        <f t="shared" si="49"/>
        <v>0</v>
      </c>
      <c r="Y59" s="358">
        <f t="shared" si="50"/>
        <v>4741.3793103448279</v>
      </c>
      <c r="Z59" s="184">
        <f t="shared" si="2"/>
        <v>0</v>
      </c>
    </row>
    <row r="60" spans="1:26" ht="25.5">
      <c r="A60" s="187">
        <v>3</v>
      </c>
      <c r="B60" s="328" t="s">
        <v>327</v>
      </c>
      <c r="C60" s="191" t="s">
        <v>262</v>
      </c>
      <c r="D60" s="284">
        <v>22</v>
      </c>
      <c r="E60" s="187" t="s">
        <v>163</v>
      </c>
      <c r="F60" s="340">
        <v>1500</v>
      </c>
      <c r="G60" s="355">
        <f t="shared" si="51"/>
        <v>33000</v>
      </c>
      <c r="H60" s="356">
        <f t="shared" si="44"/>
        <v>33000</v>
      </c>
      <c r="I60" s="357"/>
      <c r="J60" s="357"/>
      <c r="K60" s="357">
        <f t="shared" si="45"/>
        <v>0</v>
      </c>
      <c r="L60" s="357"/>
      <c r="M60" s="357"/>
      <c r="N60" s="357">
        <f t="shared" si="46"/>
        <v>0</v>
      </c>
      <c r="O60" s="358">
        <f t="shared" si="47"/>
        <v>33000</v>
      </c>
      <c r="P60" s="360">
        <f t="shared" si="35"/>
        <v>4741.3793103448279</v>
      </c>
      <c r="Q60" s="321">
        <v>2</v>
      </c>
      <c r="R60" s="331">
        <f t="shared" si="54"/>
        <v>4741.3793103448279</v>
      </c>
      <c r="S60" s="188"/>
      <c r="T60" s="188"/>
      <c r="U60" s="357">
        <f t="shared" si="48"/>
        <v>0</v>
      </c>
      <c r="V60" s="188"/>
      <c r="W60" s="188"/>
      <c r="X60" s="357">
        <f t="shared" si="49"/>
        <v>0</v>
      </c>
      <c r="Y60" s="358">
        <f t="shared" si="50"/>
        <v>4741.3793103448279</v>
      </c>
      <c r="Z60" s="184">
        <f t="shared" si="2"/>
        <v>0</v>
      </c>
    </row>
    <row r="61" spans="1:26" ht="25.5" hidden="1">
      <c r="A61" s="187">
        <v>3</v>
      </c>
      <c r="B61" s="328" t="s">
        <v>327</v>
      </c>
      <c r="C61" s="191" t="s">
        <v>262</v>
      </c>
      <c r="D61" s="284">
        <v>0</v>
      </c>
      <c r="E61" s="187" t="s">
        <v>163</v>
      </c>
      <c r="F61" s="340">
        <v>1500</v>
      </c>
      <c r="G61" s="355">
        <f t="shared" si="51"/>
        <v>0</v>
      </c>
      <c r="H61" s="356">
        <f t="shared" si="44"/>
        <v>0</v>
      </c>
      <c r="I61" s="357"/>
      <c r="J61" s="357"/>
      <c r="K61" s="357">
        <f t="shared" si="45"/>
        <v>0</v>
      </c>
      <c r="L61" s="357"/>
      <c r="M61" s="357"/>
      <c r="N61" s="357">
        <f t="shared" si="46"/>
        <v>0</v>
      </c>
      <c r="O61" s="358">
        <f t="shared" si="47"/>
        <v>0</v>
      </c>
      <c r="P61" s="360">
        <f t="shared" si="35"/>
        <v>0</v>
      </c>
      <c r="Q61" s="321">
        <v>3</v>
      </c>
      <c r="R61" s="331">
        <f t="shared" si="54"/>
        <v>0</v>
      </c>
      <c r="S61" s="188"/>
      <c r="T61" s="188"/>
      <c r="U61" s="357">
        <f t="shared" si="48"/>
        <v>0</v>
      </c>
      <c r="V61" s="188"/>
      <c r="W61" s="188"/>
      <c r="X61" s="357">
        <f t="shared" si="49"/>
        <v>0</v>
      </c>
      <c r="Y61" s="358">
        <f t="shared" si="50"/>
        <v>0</v>
      </c>
      <c r="Z61" s="184">
        <f t="shared" si="2"/>
        <v>0</v>
      </c>
    </row>
    <row r="62" spans="1:26" ht="25.5" hidden="1">
      <c r="A62" s="187">
        <v>3</v>
      </c>
      <c r="B62" s="328" t="s">
        <v>327</v>
      </c>
      <c r="C62" s="191" t="s">
        <v>238</v>
      </c>
      <c r="D62" s="285">
        <v>18</v>
      </c>
      <c r="E62" s="192" t="s">
        <v>172</v>
      </c>
      <c r="F62" s="337">
        <v>700</v>
      </c>
      <c r="G62" s="355">
        <f t="shared" si="51"/>
        <v>12600</v>
      </c>
      <c r="H62" s="356">
        <f t="shared" si="44"/>
        <v>12600</v>
      </c>
      <c r="I62" s="357"/>
      <c r="J62" s="357"/>
      <c r="K62" s="357">
        <f t="shared" si="45"/>
        <v>0</v>
      </c>
      <c r="L62" s="357"/>
      <c r="M62" s="357"/>
      <c r="N62" s="357">
        <f t="shared" si="46"/>
        <v>0</v>
      </c>
      <c r="O62" s="358">
        <f t="shared" si="47"/>
        <v>12600</v>
      </c>
      <c r="P62" s="359">
        <f t="shared" si="35"/>
        <v>1810.344827586207</v>
      </c>
      <c r="Q62" s="321">
        <v>1</v>
      </c>
      <c r="R62" s="188">
        <f t="shared" si="54"/>
        <v>1810.344827586207</v>
      </c>
      <c r="S62" s="188"/>
      <c r="T62" s="188"/>
      <c r="U62" s="357">
        <f t="shared" si="48"/>
        <v>0</v>
      </c>
      <c r="V62" s="188"/>
      <c r="W62" s="188"/>
      <c r="X62" s="357">
        <f t="shared" si="49"/>
        <v>0</v>
      </c>
      <c r="Y62" s="358">
        <f t="shared" si="50"/>
        <v>1810.344827586207</v>
      </c>
      <c r="Z62" s="184">
        <f t="shared" si="2"/>
        <v>0</v>
      </c>
    </row>
    <row r="63" spans="1:26" ht="25.5">
      <c r="A63" s="187">
        <v>3</v>
      </c>
      <c r="B63" s="328" t="s">
        <v>327</v>
      </c>
      <c r="C63" s="191" t="s">
        <v>238</v>
      </c>
      <c r="D63" s="285">
        <v>20</v>
      </c>
      <c r="E63" s="192" t="s">
        <v>172</v>
      </c>
      <c r="F63" s="337">
        <v>700</v>
      </c>
      <c r="G63" s="355">
        <f t="shared" si="51"/>
        <v>14000</v>
      </c>
      <c r="H63" s="356">
        <f t="shared" si="44"/>
        <v>14000</v>
      </c>
      <c r="I63" s="357"/>
      <c r="J63" s="357"/>
      <c r="K63" s="357">
        <f t="shared" si="45"/>
        <v>0</v>
      </c>
      <c r="L63" s="357"/>
      <c r="M63" s="357"/>
      <c r="N63" s="357">
        <f t="shared" si="46"/>
        <v>0</v>
      </c>
      <c r="O63" s="358">
        <f t="shared" si="47"/>
        <v>14000</v>
      </c>
      <c r="P63" s="359">
        <f t="shared" si="35"/>
        <v>2011.4942528735633</v>
      </c>
      <c r="Q63" s="321">
        <v>2</v>
      </c>
      <c r="R63" s="188">
        <f t="shared" si="54"/>
        <v>2011.4942528735633</v>
      </c>
      <c r="S63" s="188"/>
      <c r="T63" s="188"/>
      <c r="U63" s="357">
        <f t="shared" si="48"/>
        <v>0</v>
      </c>
      <c r="V63" s="188"/>
      <c r="W63" s="188"/>
      <c r="X63" s="357">
        <f t="shared" si="49"/>
        <v>0</v>
      </c>
      <c r="Y63" s="358">
        <f t="shared" si="50"/>
        <v>2011.4942528735633</v>
      </c>
      <c r="Z63" s="184">
        <f t="shared" si="2"/>
        <v>0</v>
      </c>
    </row>
    <row r="64" spans="1:26" ht="25.5" hidden="1">
      <c r="A64" s="187">
        <v>3</v>
      </c>
      <c r="B64" s="328" t="s">
        <v>327</v>
      </c>
      <c r="C64" s="191" t="s">
        <v>238</v>
      </c>
      <c r="D64" s="285">
        <v>20</v>
      </c>
      <c r="E64" s="192" t="s">
        <v>172</v>
      </c>
      <c r="F64" s="337">
        <v>700</v>
      </c>
      <c r="G64" s="355">
        <f t="shared" si="51"/>
        <v>14000</v>
      </c>
      <c r="H64" s="356">
        <f t="shared" si="44"/>
        <v>14000</v>
      </c>
      <c r="I64" s="357"/>
      <c r="J64" s="357"/>
      <c r="K64" s="357">
        <f t="shared" si="45"/>
        <v>0</v>
      </c>
      <c r="L64" s="357"/>
      <c r="M64" s="357"/>
      <c r="N64" s="357">
        <f t="shared" si="46"/>
        <v>0</v>
      </c>
      <c r="O64" s="358">
        <f t="shared" si="47"/>
        <v>14000</v>
      </c>
      <c r="P64" s="359">
        <f t="shared" si="35"/>
        <v>2011.4942528735633</v>
      </c>
      <c r="Q64" s="321">
        <v>3</v>
      </c>
      <c r="R64" s="188">
        <f t="shared" si="54"/>
        <v>2011.4942528735633</v>
      </c>
      <c r="S64" s="188"/>
      <c r="T64" s="188"/>
      <c r="U64" s="357">
        <f t="shared" si="48"/>
        <v>0</v>
      </c>
      <c r="V64" s="188"/>
      <c r="W64" s="188"/>
      <c r="X64" s="357">
        <f t="shared" si="49"/>
        <v>0</v>
      </c>
      <c r="Y64" s="358">
        <f t="shared" si="50"/>
        <v>2011.4942528735633</v>
      </c>
      <c r="Z64" s="184">
        <f t="shared" si="2"/>
        <v>0</v>
      </c>
    </row>
    <row r="65" spans="1:26" ht="25.5" hidden="1">
      <c r="A65" s="187">
        <v>3</v>
      </c>
      <c r="B65" s="328" t="s">
        <v>327</v>
      </c>
      <c r="C65" s="189" t="s">
        <v>216</v>
      </c>
      <c r="D65" s="286">
        <v>10</v>
      </c>
      <c r="E65" s="190" t="s">
        <v>184</v>
      </c>
      <c r="F65" s="339">
        <v>500</v>
      </c>
      <c r="G65" s="355">
        <f t="shared" si="51"/>
        <v>5000</v>
      </c>
      <c r="H65" s="356">
        <f t="shared" si="44"/>
        <v>5000</v>
      </c>
      <c r="I65" s="357"/>
      <c r="J65" s="357"/>
      <c r="K65" s="357">
        <f t="shared" si="45"/>
        <v>0</v>
      </c>
      <c r="L65" s="357"/>
      <c r="M65" s="357"/>
      <c r="N65" s="357">
        <f t="shared" si="46"/>
        <v>0</v>
      </c>
      <c r="O65" s="358">
        <f t="shared" si="47"/>
        <v>5000</v>
      </c>
      <c r="P65" s="359">
        <f t="shared" si="35"/>
        <v>718.39080459770116</v>
      </c>
      <c r="Q65" s="321">
        <v>1</v>
      </c>
      <c r="R65" s="188">
        <f t="shared" si="54"/>
        <v>718.39080459770116</v>
      </c>
      <c r="S65" s="188"/>
      <c r="T65" s="188"/>
      <c r="U65" s="357">
        <f t="shared" si="48"/>
        <v>0</v>
      </c>
      <c r="V65" s="188"/>
      <c r="W65" s="188"/>
      <c r="X65" s="357">
        <f t="shared" si="49"/>
        <v>0</v>
      </c>
      <c r="Y65" s="358">
        <f t="shared" si="50"/>
        <v>718.39080459770116</v>
      </c>
      <c r="Z65" s="184">
        <f t="shared" si="2"/>
        <v>0</v>
      </c>
    </row>
    <row r="66" spans="1:26" ht="25.5">
      <c r="A66" s="187">
        <v>3</v>
      </c>
      <c r="B66" s="328" t="s">
        <v>327</v>
      </c>
      <c r="C66" s="189" t="s">
        <v>216</v>
      </c>
      <c r="D66" s="286">
        <v>15</v>
      </c>
      <c r="E66" s="190" t="s">
        <v>184</v>
      </c>
      <c r="F66" s="339">
        <v>500</v>
      </c>
      <c r="G66" s="355">
        <f t="shared" si="51"/>
        <v>7500</v>
      </c>
      <c r="H66" s="356">
        <f t="shared" si="44"/>
        <v>7499.9999999999991</v>
      </c>
      <c r="I66" s="357"/>
      <c r="J66" s="357"/>
      <c r="K66" s="357">
        <f t="shared" si="45"/>
        <v>0</v>
      </c>
      <c r="L66" s="357"/>
      <c r="M66" s="357"/>
      <c r="N66" s="357">
        <f t="shared" si="46"/>
        <v>0</v>
      </c>
      <c r="O66" s="358">
        <f t="shared" si="47"/>
        <v>7499.9999999999991</v>
      </c>
      <c r="P66" s="359">
        <f t="shared" si="35"/>
        <v>1077.5862068965516</v>
      </c>
      <c r="Q66" s="321">
        <v>2</v>
      </c>
      <c r="R66" s="188">
        <f t="shared" si="54"/>
        <v>1077.5862068965516</v>
      </c>
      <c r="S66" s="188"/>
      <c r="T66" s="188"/>
      <c r="U66" s="357">
        <f t="shared" si="48"/>
        <v>0</v>
      </c>
      <c r="V66" s="188"/>
      <c r="W66" s="188"/>
      <c r="X66" s="357">
        <f t="shared" si="49"/>
        <v>0</v>
      </c>
      <c r="Y66" s="358">
        <f t="shared" si="50"/>
        <v>1077.5862068965516</v>
      </c>
      <c r="Z66" s="184">
        <f t="shared" si="2"/>
        <v>0</v>
      </c>
    </row>
    <row r="67" spans="1:26" ht="25.5" hidden="1">
      <c r="A67" s="187">
        <v>3</v>
      </c>
      <c r="B67" s="328" t="s">
        <v>327</v>
      </c>
      <c r="C67" s="189" t="s">
        <v>216</v>
      </c>
      <c r="D67" s="286">
        <v>15</v>
      </c>
      <c r="E67" s="190" t="s">
        <v>184</v>
      </c>
      <c r="F67" s="339">
        <v>500</v>
      </c>
      <c r="G67" s="355">
        <f t="shared" si="51"/>
        <v>7500</v>
      </c>
      <c r="H67" s="356">
        <f t="shared" si="44"/>
        <v>7499.9999999999991</v>
      </c>
      <c r="I67" s="357"/>
      <c r="J67" s="357"/>
      <c r="K67" s="357">
        <f t="shared" si="45"/>
        <v>0</v>
      </c>
      <c r="L67" s="357"/>
      <c r="M67" s="357"/>
      <c r="N67" s="357">
        <f t="shared" si="46"/>
        <v>0</v>
      </c>
      <c r="O67" s="358">
        <f t="shared" si="47"/>
        <v>7499.9999999999991</v>
      </c>
      <c r="P67" s="359">
        <f t="shared" si="35"/>
        <v>1077.5862068965516</v>
      </c>
      <c r="Q67" s="321">
        <v>3</v>
      </c>
      <c r="R67" s="188">
        <f t="shared" si="54"/>
        <v>1077.5862068965516</v>
      </c>
      <c r="S67" s="188"/>
      <c r="T67" s="188"/>
      <c r="U67" s="357">
        <f t="shared" si="48"/>
        <v>0</v>
      </c>
      <c r="V67" s="188"/>
      <c r="W67" s="188"/>
      <c r="X67" s="357">
        <f t="shared" si="49"/>
        <v>0</v>
      </c>
      <c r="Y67" s="358">
        <f t="shared" si="50"/>
        <v>1077.5862068965516</v>
      </c>
      <c r="Z67" s="184">
        <f t="shared" si="2"/>
        <v>0</v>
      </c>
    </row>
    <row r="68" spans="1:26" ht="25.5" hidden="1">
      <c r="A68" s="187">
        <v>3</v>
      </c>
      <c r="B68" s="328" t="s">
        <v>327</v>
      </c>
      <c r="C68" s="189" t="s">
        <v>217</v>
      </c>
      <c r="D68" s="286">
        <v>480</v>
      </c>
      <c r="E68" s="190" t="s">
        <v>80</v>
      </c>
      <c r="F68" s="339">
        <v>10</v>
      </c>
      <c r="G68" s="355">
        <f t="shared" si="51"/>
        <v>4800</v>
      </c>
      <c r="H68" s="356">
        <f t="shared" si="44"/>
        <v>0</v>
      </c>
      <c r="I68" s="357"/>
      <c r="J68" s="357"/>
      <c r="K68" s="357">
        <f t="shared" si="45"/>
        <v>0</v>
      </c>
      <c r="L68" s="357"/>
      <c r="M68" s="357">
        <f t="shared" ref="M68:M73" si="55">W68*$Y$4</f>
        <v>4800</v>
      </c>
      <c r="N68" s="357">
        <f t="shared" si="46"/>
        <v>4800</v>
      </c>
      <c r="O68" s="358">
        <f t="shared" si="47"/>
        <v>4800</v>
      </c>
      <c r="P68" s="359">
        <f t="shared" si="35"/>
        <v>689.65517241379314</v>
      </c>
      <c r="Q68" s="321">
        <v>1</v>
      </c>
      <c r="R68" s="188"/>
      <c r="S68" s="188"/>
      <c r="T68" s="188"/>
      <c r="U68" s="357">
        <f t="shared" si="48"/>
        <v>0</v>
      </c>
      <c r="V68" s="188"/>
      <c r="W68" s="188">
        <f>P68</f>
        <v>689.65517241379314</v>
      </c>
      <c r="X68" s="357">
        <f t="shared" si="49"/>
        <v>689.65517241379314</v>
      </c>
      <c r="Y68" s="358">
        <f t="shared" si="50"/>
        <v>689.65517241379314</v>
      </c>
      <c r="Z68" s="184">
        <f t="shared" si="2"/>
        <v>0</v>
      </c>
    </row>
    <row r="69" spans="1:26" ht="25.5">
      <c r="A69" s="187">
        <v>3</v>
      </c>
      <c r="B69" s="328" t="s">
        <v>327</v>
      </c>
      <c r="C69" s="189" t="s">
        <v>217</v>
      </c>
      <c r="D69" s="286">
        <v>600</v>
      </c>
      <c r="E69" s="190" t="s">
        <v>80</v>
      </c>
      <c r="F69" s="339">
        <v>10</v>
      </c>
      <c r="G69" s="355">
        <f t="shared" si="51"/>
        <v>6000</v>
      </c>
      <c r="H69" s="356">
        <f t="shared" si="44"/>
        <v>0</v>
      </c>
      <c r="I69" s="357"/>
      <c r="J69" s="357"/>
      <c r="K69" s="357">
        <f t="shared" si="45"/>
        <v>0</v>
      </c>
      <c r="L69" s="357"/>
      <c r="M69" s="357">
        <f t="shared" si="55"/>
        <v>6000</v>
      </c>
      <c r="N69" s="357">
        <f t="shared" si="46"/>
        <v>6000</v>
      </c>
      <c r="O69" s="358">
        <f t="shared" si="47"/>
        <v>6000</v>
      </c>
      <c r="P69" s="359">
        <f t="shared" si="35"/>
        <v>862.06896551724139</v>
      </c>
      <c r="Q69" s="321">
        <v>2</v>
      </c>
      <c r="R69" s="188"/>
      <c r="S69" s="188"/>
      <c r="T69" s="188"/>
      <c r="U69" s="357">
        <f t="shared" si="48"/>
        <v>0</v>
      </c>
      <c r="V69" s="188"/>
      <c r="W69" s="188">
        <f t="shared" ref="W69:W70" si="56">P69</f>
        <v>862.06896551724139</v>
      </c>
      <c r="X69" s="357">
        <f t="shared" si="49"/>
        <v>862.06896551724139</v>
      </c>
      <c r="Y69" s="358">
        <f t="shared" si="50"/>
        <v>862.06896551724139</v>
      </c>
      <c r="Z69" s="184">
        <f t="shared" si="2"/>
        <v>0</v>
      </c>
    </row>
    <row r="70" spans="1:26" ht="25.5" hidden="1">
      <c r="A70" s="187">
        <v>3</v>
      </c>
      <c r="B70" s="328" t="s">
        <v>327</v>
      </c>
      <c r="C70" s="189" t="s">
        <v>217</v>
      </c>
      <c r="D70" s="286">
        <v>600</v>
      </c>
      <c r="E70" s="190" t="s">
        <v>80</v>
      </c>
      <c r="F70" s="339">
        <v>10</v>
      </c>
      <c r="G70" s="355">
        <f t="shared" si="51"/>
        <v>6000</v>
      </c>
      <c r="H70" s="356">
        <f t="shared" si="44"/>
        <v>0</v>
      </c>
      <c r="I70" s="357"/>
      <c r="J70" s="357"/>
      <c r="K70" s="357">
        <f t="shared" si="45"/>
        <v>0</v>
      </c>
      <c r="L70" s="357"/>
      <c r="M70" s="357">
        <f t="shared" si="55"/>
        <v>6000</v>
      </c>
      <c r="N70" s="357">
        <f t="shared" si="46"/>
        <v>6000</v>
      </c>
      <c r="O70" s="358">
        <f t="shared" si="47"/>
        <v>6000</v>
      </c>
      <c r="P70" s="359">
        <f t="shared" si="35"/>
        <v>862.06896551724139</v>
      </c>
      <c r="Q70" s="321">
        <v>3</v>
      </c>
      <c r="R70" s="188"/>
      <c r="S70" s="188"/>
      <c r="T70" s="188"/>
      <c r="U70" s="357">
        <f t="shared" si="48"/>
        <v>0</v>
      </c>
      <c r="V70" s="188"/>
      <c r="W70" s="188">
        <f t="shared" si="56"/>
        <v>862.06896551724139</v>
      </c>
      <c r="X70" s="357">
        <f t="shared" si="49"/>
        <v>862.06896551724139</v>
      </c>
      <c r="Y70" s="358">
        <f t="shared" si="50"/>
        <v>862.06896551724139</v>
      </c>
      <c r="Z70" s="184">
        <f t="shared" si="2"/>
        <v>0</v>
      </c>
    </row>
    <row r="71" spans="1:26" ht="25.5" hidden="1">
      <c r="A71" s="187">
        <v>3</v>
      </c>
      <c r="B71" s="328" t="s">
        <v>327</v>
      </c>
      <c r="C71" s="191" t="s">
        <v>263</v>
      </c>
      <c r="D71" s="284">
        <v>20</v>
      </c>
      <c r="E71" s="187" t="s">
        <v>173</v>
      </c>
      <c r="F71" s="340">
        <v>1600</v>
      </c>
      <c r="G71" s="355">
        <f t="shared" si="51"/>
        <v>32000</v>
      </c>
      <c r="H71" s="356">
        <f t="shared" si="44"/>
        <v>0</v>
      </c>
      <c r="I71" s="357"/>
      <c r="J71" s="357"/>
      <c r="K71" s="357">
        <f t="shared" si="45"/>
        <v>0</v>
      </c>
      <c r="L71" s="357"/>
      <c r="M71" s="357">
        <f t="shared" si="55"/>
        <v>32000</v>
      </c>
      <c r="N71" s="357">
        <f t="shared" si="46"/>
        <v>32000</v>
      </c>
      <c r="O71" s="358">
        <f t="shared" si="47"/>
        <v>32000</v>
      </c>
      <c r="P71" s="360">
        <f t="shared" si="35"/>
        <v>4597.7011494252874</v>
      </c>
      <c r="Q71" s="321">
        <v>1</v>
      </c>
      <c r="R71" s="188"/>
      <c r="S71" s="188"/>
      <c r="T71" s="188"/>
      <c r="U71" s="357">
        <f t="shared" si="48"/>
        <v>0</v>
      </c>
      <c r="V71" s="188"/>
      <c r="W71" s="188">
        <f>P71</f>
        <v>4597.7011494252874</v>
      </c>
      <c r="X71" s="357">
        <f t="shared" si="49"/>
        <v>4597.7011494252874</v>
      </c>
      <c r="Y71" s="358">
        <f t="shared" si="50"/>
        <v>4597.7011494252874</v>
      </c>
      <c r="Z71" s="184">
        <f t="shared" si="2"/>
        <v>0</v>
      </c>
    </row>
    <row r="72" spans="1:26" ht="25.5">
      <c r="A72" s="187">
        <v>3</v>
      </c>
      <c r="B72" s="328" t="s">
        <v>327</v>
      </c>
      <c r="C72" s="191" t="s">
        <v>263</v>
      </c>
      <c r="D72" s="284">
        <v>23</v>
      </c>
      <c r="E72" s="187" t="s">
        <v>173</v>
      </c>
      <c r="F72" s="340">
        <v>1600</v>
      </c>
      <c r="G72" s="355">
        <f t="shared" si="51"/>
        <v>36800</v>
      </c>
      <c r="H72" s="356">
        <f t="shared" si="44"/>
        <v>0</v>
      </c>
      <c r="I72" s="357"/>
      <c r="J72" s="357"/>
      <c r="K72" s="357">
        <f t="shared" si="45"/>
        <v>0</v>
      </c>
      <c r="L72" s="357"/>
      <c r="M72" s="357">
        <f t="shared" si="55"/>
        <v>36800</v>
      </c>
      <c r="N72" s="357">
        <f t="shared" si="46"/>
        <v>36800</v>
      </c>
      <c r="O72" s="358">
        <f t="shared" si="47"/>
        <v>36800</v>
      </c>
      <c r="P72" s="360">
        <f t="shared" si="35"/>
        <v>5287.3563218390809</v>
      </c>
      <c r="Q72" s="321">
        <v>2</v>
      </c>
      <c r="R72" s="188"/>
      <c r="S72" s="188"/>
      <c r="T72" s="188"/>
      <c r="U72" s="357">
        <f t="shared" si="48"/>
        <v>0</v>
      </c>
      <c r="V72" s="188"/>
      <c r="W72" s="188">
        <f t="shared" ref="W72:W73" si="57">P72</f>
        <v>5287.3563218390809</v>
      </c>
      <c r="X72" s="357">
        <f t="shared" si="49"/>
        <v>5287.3563218390809</v>
      </c>
      <c r="Y72" s="358">
        <f t="shared" si="50"/>
        <v>5287.3563218390809</v>
      </c>
      <c r="Z72" s="184">
        <f t="shared" si="2"/>
        <v>0</v>
      </c>
    </row>
    <row r="73" spans="1:26" ht="25.5" hidden="1">
      <c r="A73" s="187">
        <v>3</v>
      </c>
      <c r="B73" s="328" t="s">
        <v>327</v>
      </c>
      <c r="C73" s="191" t="s">
        <v>263</v>
      </c>
      <c r="D73" s="284">
        <v>23</v>
      </c>
      <c r="E73" s="187" t="s">
        <v>173</v>
      </c>
      <c r="F73" s="340">
        <v>1600</v>
      </c>
      <c r="G73" s="355">
        <f t="shared" si="51"/>
        <v>36800</v>
      </c>
      <c r="H73" s="356">
        <f t="shared" si="44"/>
        <v>0</v>
      </c>
      <c r="I73" s="357"/>
      <c r="J73" s="357"/>
      <c r="K73" s="357">
        <f t="shared" si="45"/>
        <v>0</v>
      </c>
      <c r="L73" s="357"/>
      <c r="M73" s="357">
        <f t="shared" si="55"/>
        <v>36800</v>
      </c>
      <c r="N73" s="357">
        <f t="shared" si="46"/>
        <v>36800</v>
      </c>
      <c r="O73" s="358">
        <f t="shared" si="47"/>
        <v>36800</v>
      </c>
      <c r="P73" s="360">
        <f t="shared" si="35"/>
        <v>5287.3563218390809</v>
      </c>
      <c r="Q73" s="321">
        <v>3</v>
      </c>
      <c r="R73" s="188"/>
      <c r="S73" s="188"/>
      <c r="T73" s="188"/>
      <c r="U73" s="357">
        <f t="shared" si="48"/>
        <v>0</v>
      </c>
      <c r="V73" s="188"/>
      <c r="W73" s="188">
        <f t="shared" si="57"/>
        <v>5287.3563218390809</v>
      </c>
      <c r="X73" s="357">
        <f t="shared" si="49"/>
        <v>5287.3563218390809</v>
      </c>
      <c r="Y73" s="358">
        <f t="shared" si="50"/>
        <v>5287.3563218390809</v>
      </c>
      <c r="Z73" s="184">
        <f t="shared" ref="Z73:Z136" si="58">P73-Y73</f>
        <v>0</v>
      </c>
    </row>
    <row r="74" spans="1:26" ht="25.5" hidden="1">
      <c r="A74" s="187">
        <v>3</v>
      </c>
      <c r="B74" s="328" t="s">
        <v>327</v>
      </c>
      <c r="C74" s="191" t="s">
        <v>239</v>
      </c>
      <c r="D74" s="284">
        <v>4</v>
      </c>
      <c r="E74" s="187" t="s">
        <v>171</v>
      </c>
      <c r="F74" s="340">
        <v>250</v>
      </c>
      <c r="G74" s="355">
        <f t="shared" si="51"/>
        <v>1000</v>
      </c>
      <c r="H74" s="356">
        <f t="shared" si="44"/>
        <v>1000</v>
      </c>
      <c r="I74" s="357"/>
      <c r="J74" s="357"/>
      <c r="K74" s="357">
        <f t="shared" si="45"/>
        <v>0</v>
      </c>
      <c r="L74" s="357"/>
      <c r="M74" s="357"/>
      <c r="N74" s="357">
        <f t="shared" si="46"/>
        <v>0</v>
      </c>
      <c r="O74" s="358">
        <f t="shared" si="47"/>
        <v>1000</v>
      </c>
      <c r="P74" s="359">
        <f t="shared" si="35"/>
        <v>143.67816091954023</v>
      </c>
      <c r="Q74" s="321">
        <v>1</v>
      </c>
      <c r="R74" s="188">
        <f t="shared" si="54"/>
        <v>143.67816091954023</v>
      </c>
      <c r="S74" s="188"/>
      <c r="T74" s="188"/>
      <c r="U74" s="357">
        <f t="shared" si="48"/>
        <v>0</v>
      </c>
      <c r="V74" s="188"/>
      <c r="W74" s="188"/>
      <c r="X74" s="357">
        <f t="shared" si="49"/>
        <v>0</v>
      </c>
      <c r="Y74" s="358">
        <f t="shared" si="50"/>
        <v>143.67816091954023</v>
      </c>
      <c r="Z74" s="184">
        <f t="shared" si="58"/>
        <v>0</v>
      </c>
    </row>
    <row r="75" spans="1:26" ht="25.5">
      <c r="A75" s="187">
        <v>3</v>
      </c>
      <c r="B75" s="328" t="s">
        <v>327</v>
      </c>
      <c r="C75" s="191" t="s">
        <v>239</v>
      </c>
      <c r="D75" s="284">
        <v>5</v>
      </c>
      <c r="E75" s="187" t="s">
        <v>171</v>
      </c>
      <c r="F75" s="340">
        <v>250</v>
      </c>
      <c r="G75" s="355">
        <f t="shared" si="51"/>
        <v>1250</v>
      </c>
      <c r="H75" s="356">
        <f t="shared" si="44"/>
        <v>1250</v>
      </c>
      <c r="I75" s="357"/>
      <c r="J75" s="357"/>
      <c r="K75" s="357">
        <f t="shared" si="45"/>
        <v>0</v>
      </c>
      <c r="L75" s="357"/>
      <c r="M75" s="357"/>
      <c r="N75" s="357">
        <f t="shared" si="46"/>
        <v>0</v>
      </c>
      <c r="O75" s="358">
        <f t="shared" si="47"/>
        <v>1250</v>
      </c>
      <c r="P75" s="359">
        <f t="shared" si="35"/>
        <v>179.59770114942529</v>
      </c>
      <c r="Q75" s="321">
        <v>2</v>
      </c>
      <c r="R75" s="188">
        <f t="shared" si="54"/>
        <v>179.59770114942529</v>
      </c>
      <c r="S75" s="188"/>
      <c r="T75" s="188"/>
      <c r="U75" s="357">
        <f t="shared" si="48"/>
        <v>0</v>
      </c>
      <c r="V75" s="188"/>
      <c r="W75" s="188"/>
      <c r="X75" s="357">
        <f t="shared" si="49"/>
        <v>0</v>
      </c>
      <c r="Y75" s="358">
        <f t="shared" si="50"/>
        <v>179.59770114942529</v>
      </c>
      <c r="Z75" s="184">
        <f t="shared" si="58"/>
        <v>0</v>
      </c>
    </row>
    <row r="76" spans="1:26" ht="25.5" hidden="1">
      <c r="A76" s="187">
        <v>3</v>
      </c>
      <c r="B76" s="328" t="s">
        <v>327</v>
      </c>
      <c r="C76" s="191" t="s">
        <v>239</v>
      </c>
      <c r="D76" s="284">
        <v>5</v>
      </c>
      <c r="E76" s="187" t="s">
        <v>171</v>
      </c>
      <c r="F76" s="340">
        <v>250</v>
      </c>
      <c r="G76" s="355">
        <f t="shared" si="51"/>
        <v>1250</v>
      </c>
      <c r="H76" s="356">
        <f t="shared" si="44"/>
        <v>1250</v>
      </c>
      <c r="I76" s="357"/>
      <c r="J76" s="357"/>
      <c r="K76" s="357">
        <f t="shared" si="45"/>
        <v>0</v>
      </c>
      <c r="L76" s="357"/>
      <c r="M76" s="357"/>
      <c r="N76" s="357">
        <f t="shared" si="46"/>
        <v>0</v>
      </c>
      <c r="O76" s="358">
        <f t="shared" si="47"/>
        <v>1250</v>
      </c>
      <c r="P76" s="359">
        <f t="shared" si="35"/>
        <v>179.59770114942529</v>
      </c>
      <c r="Q76" s="321">
        <v>3</v>
      </c>
      <c r="R76" s="188">
        <f t="shared" si="54"/>
        <v>179.59770114942529</v>
      </c>
      <c r="S76" s="188"/>
      <c r="T76" s="188"/>
      <c r="U76" s="357">
        <f t="shared" si="48"/>
        <v>0</v>
      </c>
      <c r="V76" s="188"/>
      <c r="W76" s="188"/>
      <c r="X76" s="357">
        <f t="shared" si="49"/>
        <v>0</v>
      </c>
      <c r="Y76" s="358">
        <f t="shared" si="50"/>
        <v>179.59770114942529</v>
      </c>
      <c r="Z76" s="184">
        <f t="shared" si="58"/>
        <v>0</v>
      </c>
    </row>
    <row r="77" spans="1:26" ht="38.25" hidden="1">
      <c r="A77" s="187">
        <v>3</v>
      </c>
      <c r="B77" s="328" t="s">
        <v>327</v>
      </c>
      <c r="C77" s="191" t="s">
        <v>264</v>
      </c>
      <c r="D77" s="284">
        <v>22</v>
      </c>
      <c r="E77" s="187" t="s">
        <v>76</v>
      </c>
      <c r="F77" s="340">
        <v>700</v>
      </c>
      <c r="G77" s="355">
        <f t="shared" si="51"/>
        <v>15400</v>
      </c>
      <c r="H77" s="356">
        <f t="shared" si="44"/>
        <v>15400</v>
      </c>
      <c r="I77" s="357"/>
      <c r="J77" s="357"/>
      <c r="K77" s="357">
        <f t="shared" si="45"/>
        <v>0</v>
      </c>
      <c r="L77" s="357"/>
      <c r="M77" s="357"/>
      <c r="N77" s="357">
        <f t="shared" si="46"/>
        <v>0</v>
      </c>
      <c r="O77" s="358">
        <f t="shared" si="47"/>
        <v>15400</v>
      </c>
      <c r="P77" s="359">
        <f t="shared" si="35"/>
        <v>2212.6436781609195</v>
      </c>
      <c r="Q77" s="321">
        <v>1</v>
      </c>
      <c r="R77" s="331">
        <f t="shared" si="54"/>
        <v>2212.6436781609195</v>
      </c>
      <c r="S77" s="188"/>
      <c r="T77" s="188"/>
      <c r="U77" s="357">
        <f t="shared" si="48"/>
        <v>0</v>
      </c>
      <c r="V77" s="188"/>
      <c r="W77" s="188"/>
      <c r="X77" s="357">
        <f t="shared" si="49"/>
        <v>0</v>
      </c>
      <c r="Y77" s="358">
        <f t="shared" si="50"/>
        <v>2212.6436781609195</v>
      </c>
      <c r="Z77" s="184">
        <f t="shared" si="58"/>
        <v>0</v>
      </c>
    </row>
    <row r="78" spans="1:26" ht="38.25">
      <c r="A78" s="187">
        <v>3</v>
      </c>
      <c r="B78" s="328" t="s">
        <v>327</v>
      </c>
      <c r="C78" s="191" t="s">
        <v>264</v>
      </c>
      <c r="D78" s="284">
        <v>22</v>
      </c>
      <c r="E78" s="187" t="s">
        <v>76</v>
      </c>
      <c r="F78" s="340">
        <v>500</v>
      </c>
      <c r="G78" s="355">
        <f t="shared" si="51"/>
        <v>11000</v>
      </c>
      <c r="H78" s="356">
        <f t="shared" si="44"/>
        <v>11000</v>
      </c>
      <c r="I78" s="357"/>
      <c r="J78" s="357"/>
      <c r="K78" s="357">
        <f t="shared" si="45"/>
        <v>0</v>
      </c>
      <c r="L78" s="357"/>
      <c r="M78" s="357"/>
      <c r="N78" s="357">
        <f t="shared" si="46"/>
        <v>0</v>
      </c>
      <c r="O78" s="358">
        <f t="shared" si="47"/>
        <v>11000</v>
      </c>
      <c r="P78" s="359">
        <f>G78/$Y$4</f>
        <v>1580.4597701149426</v>
      </c>
      <c r="Q78" s="321">
        <v>2</v>
      </c>
      <c r="R78" s="331">
        <f t="shared" si="54"/>
        <v>1580.4597701149426</v>
      </c>
      <c r="S78" s="188"/>
      <c r="T78" s="188"/>
      <c r="U78" s="357">
        <f t="shared" si="48"/>
        <v>0</v>
      </c>
      <c r="V78" s="188"/>
      <c r="W78" s="188"/>
      <c r="X78" s="357">
        <f t="shared" si="49"/>
        <v>0</v>
      </c>
      <c r="Y78" s="358">
        <f t="shared" si="50"/>
        <v>1580.4597701149426</v>
      </c>
      <c r="Z78" s="184">
        <f t="shared" si="58"/>
        <v>0</v>
      </c>
    </row>
    <row r="79" spans="1:26" ht="38.25" hidden="1">
      <c r="A79" s="187">
        <v>3</v>
      </c>
      <c r="B79" s="328" t="s">
        <v>327</v>
      </c>
      <c r="C79" s="191" t="s">
        <v>264</v>
      </c>
      <c r="D79" s="284">
        <v>0</v>
      </c>
      <c r="E79" s="187" t="s">
        <v>76</v>
      </c>
      <c r="F79" s="340">
        <v>700</v>
      </c>
      <c r="G79" s="355">
        <f t="shared" si="51"/>
        <v>0</v>
      </c>
      <c r="H79" s="356">
        <f t="shared" si="44"/>
        <v>0</v>
      </c>
      <c r="I79" s="357"/>
      <c r="J79" s="357"/>
      <c r="K79" s="357">
        <f t="shared" si="45"/>
        <v>0</v>
      </c>
      <c r="L79" s="357"/>
      <c r="M79" s="357"/>
      <c r="N79" s="357">
        <f t="shared" si="46"/>
        <v>0</v>
      </c>
      <c r="O79" s="358">
        <f t="shared" si="47"/>
        <v>0</v>
      </c>
      <c r="P79" s="359">
        <f t="shared" ref="P79" si="59">G79/$Y$4</f>
        <v>0</v>
      </c>
      <c r="Q79" s="321">
        <v>3</v>
      </c>
      <c r="R79" s="331">
        <f t="shared" si="54"/>
        <v>0</v>
      </c>
      <c r="S79" s="188"/>
      <c r="T79" s="188"/>
      <c r="U79" s="357">
        <f t="shared" si="48"/>
        <v>0</v>
      </c>
      <c r="V79" s="188"/>
      <c r="W79" s="188"/>
      <c r="X79" s="357">
        <f t="shared" si="49"/>
        <v>0</v>
      </c>
      <c r="Y79" s="358">
        <f t="shared" si="50"/>
        <v>0</v>
      </c>
      <c r="Z79" s="184">
        <f t="shared" si="58"/>
        <v>0</v>
      </c>
    </row>
    <row r="80" spans="1:26" ht="25.5" hidden="1">
      <c r="A80" s="187">
        <v>3</v>
      </c>
      <c r="B80" s="328" t="s">
        <v>327</v>
      </c>
      <c r="C80" s="191" t="s">
        <v>95</v>
      </c>
      <c r="D80" s="284">
        <v>1</v>
      </c>
      <c r="E80" s="187" t="s">
        <v>92</v>
      </c>
      <c r="F80" s="340">
        <v>5000</v>
      </c>
      <c r="G80" s="355">
        <f>D80*F80</f>
        <v>5000</v>
      </c>
      <c r="H80" s="356">
        <f t="shared" si="44"/>
        <v>5000</v>
      </c>
      <c r="I80" s="357"/>
      <c r="J80" s="357"/>
      <c r="K80" s="357">
        <f t="shared" si="45"/>
        <v>0</v>
      </c>
      <c r="L80" s="357"/>
      <c r="M80" s="357"/>
      <c r="N80" s="357">
        <f t="shared" si="46"/>
        <v>0</v>
      </c>
      <c r="O80" s="358">
        <f t="shared" si="47"/>
        <v>5000</v>
      </c>
      <c r="P80" s="359">
        <f>G80/$Y$4</f>
        <v>718.39080459770116</v>
      </c>
      <c r="Q80" s="321">
        <v>1</v>
      </c>
      <c r="R80" s="188">
        <f>P80</f>
        <v>718.39080459770116</v>
      </c>
      <c r="S80" s="188"/>
      <c r="T80" s="188"/>
      <c r="U80" s="357">
        <f t="shared" si="48"/>
        <v>0</v>
      </c>
      <c r="V80" s="188"/>
      <c r="W80" s="188"/>
      <c r="X80" s="357">
        <f t="shared" si="49"/>
        <v>0</v>
      </c>
      <c r="Y80" s="358">
        <f t="shared" si="50"/>
        <v>718.39080459770116</v>
      </c>
      <c r="Z80" s="184">
        <f t="shared" si="58"/>
        <v>0</v>
      </c>
    </row>
    <row r="81" spans="1:26" ht="25.5">
      <c r="A81" s="187">
        <v>3</v>
      </c>
      <c r="B81" s="328" t="s">
        <v>327</v>
      </c>
      <c r="C81" s="191" t="s">
        <v>95</v>
      </c>
      <c r="D81" s="284">
        <v>1</v>
      </c>
      <c r="E81" s="187" t="s">
        <v>92</v>
      </c>
      <c r="F81" s="340">
        <v>5000</v>
      </c>
      <c r="G81" s="355">
        <f t="shared" ref="G81:G82" si="60">D81*F81</f>
        <v>5000</v>
      </c>
      <c r="H81" s="356">
        <f t="shared" si="44"/>
        <v>5000</v>
      </c>
      <c r="I81" s="357"/>
      <c r="J81" s="357"/>
      <c r="K81" s="357">
        <f t="shared" si="45"/>
        <v>0</v>
      </c>
      <c r="L81" s="357"/>
      <c r="M81" s="357"/>
      <c r="N81" s="357">
        <f t="shared" si="46"/>
        <v>0</v>
      </c>
      <c r="O81" s="358">
        <f t="shared" si="47"/>
        <v>5000</v>
      </c>
      <c r="P81" s="359">
        <f t="shared" ref="P81:P82" si="61">G81/$Y$4</f>
        <v>718.39080459770116</v>
      </c>
      <c r="Q81" s="321">
        <v>2</v>
      </c>
      <c r="R81" s="188">
        <f t="shared" ref="R81:R82" si="62">P81</f>
        <v>718.39080459770116</v>
      </c>
      <c r="S81" s="188"/>
      <c r="T81" s="188"/>
      <c r="U81" s="357">
        <f t="shared" si="48"/>
        <v>0</v>
      </c>
      <c r="V81" s="188"/>
      <c r="W81" s="188"/>
      <c r="X81" s="357">
        <f t="shared" si="49"/>
        <v>0</v>
      </c>
      <c r="Y81" s="358">
        <f t="shared" si="50"/>
        <v>718.39080459770116</v>
      </c>
      <c r="Z81" s="184">
        <f t="shared" si="58"/>
        <v>0</v>
      </c>
    </row>
    <row r="82" spans="1:26" ht="25.5" hidden="1">
      <c r="A82" s="187">
        <v>3</v>
      </c>
      <c r="B82" s="328" t="s">
        <v>327</v>
      </c>
      <c r="C82" s="191" t="s">
        <v>95</v>
      </c>
      <c r="D82" s="284">
        <v>1</v>
      </c>
      <c r="E82" s="187" t="s">
        <v>92</v>
      </c>
      <c r="F82" s="340">
        <v>5000</v>
      </c>
      <c r="G82" s="355">
        <f t="shared" si="60"/>
        <v>5000</v>
      </c>
      <c r="H82" s="356">
        <f t="shared" si="44"/>
        <v>5000</v>
      </c>
      <c r="I82" s="357"/>
      <c r="J82" s="357"/>
      <c r="K82" s="357">
        <f t="shared" si="45"/>
        <v>0</v>
      </c>
      <c r="L82" s="357"/>
      <c r="M82" s="357"/>
      <c r="N82" s="357">
        <f t="shared" si="46"/>
        <v>0</v>
      </c>
      <c r="O82" s="358">
        <f t="shared" si="47"/>
        <v>5000</v>
      </c>
      <c r="P82" s="359">
        <f t="shared" si="61"/>
        <v>718.39080459770116</v>
      </c>
      <c r="Q82" s="321">
        <v>3</v>
      </c>
      <c r="R82" s="188">
        <f t="shared" si="62"/>
        <v>718.39080459770116</v>
      </c>
      <c r="S82" s="188"/>
      <c r="T82" s="188"/>
      <c r="U82" s="357">
        <f t="shared" si="48"/>
        <v>0</v>
      </c>
      <c r="V82" s="188"/>
      <c r="W82" s="188"/>
      <c r="X82" s="357">
        <f t="shared" si="49"/>
        <v>0</v>
      </c>
      <c r="Y82" s="358">
        <f t="shared" si="50"/>
        <v>718.39080459770116</v>
      </c>
      <c r="Z82" s="184">
        <f t="shared" si="58"/>
        <v>0</v>
      </c>
    </row>
    <row r="83" spans="1:26" ht="25.5" hidden="1">
      <c r="A83" s="187">
        <v>3</v>
      </c>
      <c r="B83" s="328" t="s">
        <v>327</v>
      </c>
      <c r="C83" s="196" t="s">
        <v>201</v>
      </c>
      <c r="D83" s="286">
        <f>240*5*6*1</f>
        <v>7200</v>
      </c>
      <c r="E83" s="190" t="s">
        <v>194</v>
      </c>
      <c r="F83" s="342">
        <v>3.74</v>
      </c>
      <c r="G83" s="355">
        <f>D83*F83</f>
        <v>26928</v>
      </c>
      <c r="H83" s="356">
        <f t="shared" si="44"/>
        <v>26928</v>
      </c>
      <c r="I83" s="357"/>
      <c r="J83" s="357"/>
      <c r="K83" s="357">
        <f t="shared" si="45"/>
        <v>0</v>
      </c>
      <c r="L83" s="357"/>
      <c r="M83" s="357"/>
      <c r="N83" s="357">
        <f t="shared" si="46"/>
        <v>0</v>
      </c>
      <c r="O83" s="358">
        <f t="shared" si="47"/>
        <v>26928</v>
      </c>
      <c r="P83" s="359">
        <f>G83/$Y$4</f>
        <v>3868.9655172413795</v>
      </c>
      <c r="Q83" s="321">
        <v>1</v>
      </c>
      <c r="R83" s="188">
        <f>P83</f>
        <v>3868.9655172413795</v>
      </c>
      <c r="S83" s="188"/>
      <c r="T83" s="188"/>
      <c r="U83" s="357">
        <f t="shared" si="48"/>
        <v>0</v>
      </c>
      <c r="V83" s="188"/>
      <c r="W83" s="188"/>
      <c r="X83" s="357">
        <f t="shared" si="49"/>
        <v>0</v>
      </c>
      <c r="Y83" s="358">
        <f t="shared" si="50"/>
        <v>3868.9655172413795</v>
      </c>
      <c r="Z83" s="184">
        <f t="shared" si="58"/>
        <v>0</v>
      </c>
    </row>
    <row r="84" spans="1:26" ht="25.5">
      <c r="A84" s="187">
        <v>3</v>
      </c>
      <c r="B84" s="328" t="s">
        <v>327</v>
      </c>
      <c r="C84" s="196" t="s">
        <v>201</v>
      </c>
      <c r="D84" s="286">
        <f t="shared" ref="D84:D85" si="63">240*5*6*1</f>
        <v>7200</v>
      </c>
      <c r="E84" s="190" t="s">
        <v>194</v>
      </c>
      <c r="F84" s="342">
        <v>3.74</v>
      </c>
      <c r="G84" s="355">
        <f t="shared" ref="G84:G85" si="64">D84*F84</f>
        <v>26928</v>
      </c>
      <c r="H84" s="356">
        <f t="shared" si="44"/>
        <v>26928</v>
      </c>
      <c r="I84" s="357"/>
      <c r="J84" s="357"/>
      <c r="K84" s="357">
        <f t="shared" si="45"/>
        <v>0</v>
      </c>
      <c r="L84" s="357"/>
      <c r="M84" s="357"/>
      <c r="N84" s="357">
        <f t="shared" si="46"/>
        <v>0</v>
      </c>
      <c r="O84" s="358">
        <f t="shared" si="47"/>
        <v>26928</v>
      </c>
      <c r="P84" s="359">
        <f t="shared" ref="P84:P85" si="65">G84/$Y$4</f>
        <v>3868.9655172413795</v>
      </c>
      <c r="Q84" s="321">
        <v>2</v>
      </c>
      <c r="R84" s="188">
        <f t="shared" ref="R84:R85" si="66">P84</f>
        <v>3868.9655172413795</v>
      </c>
      <c r="S84" s="188"/>
      <c r="T84" s="188"/>
      <c r="U84" s="357">
        <f t="shared" si="48"/>
        <v>0</v>
      </c>
      <c r="V84" s="188"/>
      <c r="W84" s="188"/>
      <c r="X84" s="357">
        <f t="shared" si="49"/>
        <v>0</v>
      </c>
      <c r="Y84" s="358">
        <f t="shared" si="50"/>
        <v>3868.9655172413795</v>
      </c>
      <c r="Z84" s="184">
        <f t="shared" si="58"/>
        <v>0</v>
      </c>
    </row>
    <row r="85" spans="1:26" ht="25.5" hidden="1">
      <c r="A85" s="187">
        <v>3</v>
      </c>
      <c r="B85" s="328" t="s">
        <v>327</v>
      </c>
      <c r="C85" s="196" t="s">
        <v>201</v>
      </c>
      <c r="D85" s="286">
        <f t="shared" si="63"/>
        <v>7200</v>
      </c>
      <c r="E85" s="190" t="s">
        <v>194</v>
      </c>
      <c r="F85" s="342">
        <v>3.74</v>
      </c>
      <c r="G85" s="355">
        <f t="shared" si="64"/>
        <v>26928</v>
      </c>
      <c r="H85" s="356">
        <f t="shared" si="44"/>
        <v>26928</v>
      </c>
      <c r="I85" s="357"/>
      <c r="J85" s="357"/>
      <c r="K85" s="357">
        <f t="shared" si="45"/>
        <v>0</v>
      </c>
      <c r="L85" s="357"/>
      <c r="M85" s="357"/>
      <c r="N85" s="357">
        <f t="shared" si="46"/>
        <v>0</v>
      </c>
      <c r="O85" s="358">
        <f t="shared" si="47"/>
        <v>26928</v>
      </c>
      <c r="P85" s="359">
        <f t="shared" si="65"/>
        <v>3868.9655172413795</v>
      </c>
      <c r="Q85" s="321">
        <v>3</v>
      </c>
      <c r="R85" s="188">
        <f t="shared" si="66"/>
        <v>3868.9655172413795</v>
      </c>
      <c r="S85" s="188"/>
      <c r="T85" s="188"/>
      <c r="U85" s="357">
        <f t="shared" si="48"/>
        <v>0</v>
      </c>
      <c r="V85" s="188"/>
      <c r="W85" s="188"/>
      <c r="X85" s="357">
        <f t="shared" si="49"/>
        <v>0</v>
      </c>
      <c r="Y85" s="358">
        <f t="shared" si="50"/>
        <v>3868.9655172413795</v>
      </c>
      <c r="Z85" s="184">
        <f t="shared" si="58"/>
        <v>0</v>
      </c>
    </row>
    <row r="86" spans="1:26" hidden="1">
      <c r="A86" s="228" t="s">
        <v>328</v>
      </c>
      <c r="B86" s="327"/>
      <c r="C86" s="220"/>
      <c r="D86" s="185"/>
      <c r="E86" s="185"/>
      <c r="F86" s="186"/>
      <c r="G86" s="207">
        <f t="shared" ref="G86:P86" si="67">SUM(G87:G101)</f>
        <v>18550</v>
      </c>
      <c r="H86" s="352">
        <f t="shared" si="67"/>
        <v>17050</v>
      </c>
      <c r="I86" s="353">
        <f t="shared" si="67"/>
        <v>1500</v>
      </c>
      <c r="J86" s="353">
        <f t="shared" si="67"/>
        <v>0</v>
      </c>
      <c r="K86" s="353">
        <f t="shared" si="67"/>
        <v>1500</v>
      </c>
      <c r="L86" s="353">
        <f t="shared" si="67"/>
        <v>0</v>
      </c>
      <c r="M86" s="353">
        <f t="shared" si="67"/>
        <v>0</v>
      </c>
      <c r="N86" s="353">
        <f t="shared" ref="N86" si="68">SUM(N87:N101)</f>
        <v>0</v>
      </c>
      <c r="O86" s="354">
        <f t="shared" si="67"/>
        <v>18550</v>
      </c>
      <c r="P86" s="352">
        <f t="shared" si="67"/>
        <v>2665.2298850574716</v>
      </c>
      <c r="Q86" s="320"/>
      <c r="R86" s="181">
        <f t="shared" ref="R86:Y86" si="69">SUM(R87:R101)</f>
        <v>2449.7126436781609</v>
      </c>
      <c r="S86" s="181">
        <f t="shared" si="69"/>
        <v>215.51724137931035</v>
      </c>
      <c r="T86" s="181">
        <f t="shared" si="69"/>
        <v>0</v>
      </c>
      <c r="U86" s="353">
        <f t="shared" si="69"/>
        <v>215.51724137931035</v>
      </c>
      <c r="V86" s="181">
        <f t="shared" si="69"/>
        <v>0</v>
      </c>
      <c r="W86" s="181">
        <f t="shared" si="69"/>
        <v>0</v>
      </c>
      <c r="X86" s="353">
        <f t="shared" si="69"/>
        <v>0</v>
      </c>
      <c r="Y86" s="354">
        <f t="shared" si="69"/>
        <v>2665.2298850574716</v>
      </c>
      <c r="Z86" s="184">
        <f t="shared" si="58"/>
        <v>0</v>
      </c>
    </row>
    <row r="87" spans="1:26" hidden="1">
      <c r="A87" s="187">
        <v>3</v>
      </c>
      <c r="B87" s="328" t="s">
        <v>328</v>
      </c>
      <c r="C87" s="189" t="s">
        <v>131</v>
      </c>
      <c r="D87" s="286">
        <v>1</v>
      </c>
      <c r="E87" s="190" t="s">
        <v>132</v>
      </c>
      <c r="F87" s="339">
        <v>1500</v>
      </c>
      <c r="G87" s="355">
        <f>D87*F87</f>
        <v>1500</v>
      </c>
      <c r="H87" s="356">
        <f t="shared" ref="H87:I101" si="70">R87*$Y$4</f>
        <v>0</v>
      </c>
      <c r="I87" s="357">
        <f>S87*$Y$4</f>
        <v>1500</v>
      </c>
      <c r="J87" s="357"/>
      <c r="K87" s="357">
        <f t="shared" ref="K87:K101" si="71">I87+J87</f>
        <v>1500</v>
      </c>
      <c r="L87" s="357"/>
      <c r="M87" s="357"/>
      <c r="N87" s="357">
        <f t="shared" ref="N87:N101" si="72">L87+M87</f>
        <v>0</v>
      </c>
      <c r="O87" s="358">
        <f t="shared" ref="O87:O101" si="73">H87+K87+N87</f>
        <v>1500</v>
      </c>
      <c r="P87" s="359">
        <f>G87/$Y$4</f>
        <v>215.51724137931035</v>
      </c>
      <c r="Q87" s="321">
        <v>1</v>
      </c>
      <c r="R87" s="188"/>
      <c r="S87" s="188">
        <f>P87</f>
        <v>215.51724137931035</v>
      </c>
      <c r="T87" s="188"/>
      <c r="U87" s="357">
        <f t="shared" ref="U87:U101" si="74">S87+T87</f>
        <v>215.51724137931035</v>
      </c>
      <c r="V87" s="188"/>
      <c r="W87" s="188"/>
      <c r="X87" s="357">
        <f t="shared" ref="X87:X101" si="75">V87+W87</f>
        <v>0</v>
      </c>
      <c r="Y87" s="358">
        <f t="shared" ref="Y87:Y101" si="76">R87+U87+X87</f>
        <v>215.51724137931035</v>
      </c>
      <c r="Z87" s="184">
        <f t="shared" si="58"/>
        <v>0</v>
      </c>
    </row>
    <row r="88" spans="1:26" hidden="1">
      <c r="A88" s="187">
        <v>3</v>
      </c>
      <c r="B88" s="328" t="s">
        <v>328</v>
      </c>
      <c r="C88" s="189" t="s">
        <v>131</v>
      </c>
      <c r="D88" s="286">
        <v>0</v>
      </c>
      <c r="E88" s="190" t="s">
        <v>132</v>
      </c>
      <c r="F88" s="339">
        <v>1500</v>
      </c>
      <c r="G88" s="355">
        <f t="shared" ref="G88:G101" si="77">D88*F88</f>
        <v>0</v>
      </c>
      <c r="H88" s="356">
        <f t="shared" si="70"/>
        <v>0</v>
      </c>
      <c r="I88" s="357">
        <f t="shared" si="70"/>
        <v>0</v>
      </c>
      <c r="J88" s="357"/>
      <c r="K88" s="357">
        <f t="shared" si="71"/>
        <v>0</v>
      </c>
      <c r="L88" s="357"/>
      <c r="M88" s="357"/>
      <c r="N88" s="357">
        <f t="shared" si="72"/>
        <v>0</v>
      </c>
      <c r="O88" s="358">
        <f t="shared" si="73"/>
        <v>0</v>
      </c>
      <c r="P88" s="359">
        <f t="shared" ref="P88:P101" si="78">G88/$Y$4</f>
        <v>0</v>
      </c>
      <c r="Q88" s="321">
        <v>2</v>
      </c>
      <c r="R88" s="188"/>
      <c r="S88" s="188">
        <f t="shared" ref="S88:S89" si="79">P88</f>
        <v>0</v>
      </c>
      <c r="T88" s="188"/>
      <c r="U88" s="357">
        <f t="shared" si="74"/>
        <v>0</v>
      </c>
      <c r="V88" s="188"/>
      <c r="W88" s="188"/>
      <c r="X88" s="357">
        <f t="shared" si="75"/>
        <v>0</v>
      </c>
      <c r="Y88" s="358">
        <f t="shared" si="76"/>
        <v>0</v>
      </c>
      <c r="Z88" s="184">
        <f t="shared" si="58"/>
        <v>0</v>
      </c>
    </row>
    <row r="89" spans="1:26" hidden="1">
      <c r="A89" s="187">
        <v>3</v>
      </c>
      <c r="B89" s="328" t="s">
        <v>328</v>
      </c>
      <c r="C89" s="189" t="s">
        <v>131</v>
      </c>
      <c r="D89" s="286">
        <v>0</v>
      </c>
      <c r="E89" s="190" t="s">
        <v>132</v>
      </c>
      <c r="F89" s="339">
        <v>1500</v>
      </c>
      <c r="G89" s="355">
        <f t="shared" si="77"/>
        <v>0</v>
      </c>
      <c r="H89" s="356">
        <f t="shared" si="70"/>
        <v>0</v>
      </c>
      <c r="I89" s="357">
        <f t="shared" si="70"/>
        <v>0</v>
      </c>
      <c r="J89" s="357"/>
      <c r="K89" s="357">
        <f t="shared" si="71"/>
        <v>0</v>
      </c>
      <c r="L89" s="357"/>
      <c r="M89" s="357"/>
      <c r="N89" s="357">
        <f t="shared" si="72"/>
        <v>0</v>
      </c>
      <c r="O89" s="358">
        <f t="shared" si="73"/>
        <v>0</v>
      </c>
      <c r="P89" s="359">
        <f t="shared" si="78"/>
        <v>0</v>
      </c>
      <c r="Q89" s="321">
        <v>3</v>
      </c>
      <c r="R89" s="188"/>
      <c r="S89" s="188">
        <f t="shared" si="79"/>
        <v>0</v>
      </c>
      <c r="T89" s="188"/>
      <c r="U89" s="357">
        <f t="shared" si="74"/>
        <v>0</v>
      </c>
      <c r="V89" s="188"/>
      <c r="W89" s="188"/>
      <c r="X89" s="357">
        <f t="shared" si="75"/>
        <v>0</v>
      </c>
      <c r="Y89" s="358">
        <f t="shared" si="76"/>
        <v>0</v>
      </c>
      <c r="Z89" s="184">
        <f t="shared" si="58"/>
        <v>0</v>
      </c>
    </row>
    <row r="90" spans="1:26" hidden="1">
      <c r="A90" s="187">
        <v>3</v>
      </c>
      <c r="B90" s="328" t="s">
        <v>328</v>
      </c>
      <c r="C90" s="189" t="s">
        <v>147</v>
      </c>
      <c r="D90" s="286">
        <v>250</v>
      </c>
      <c r="E90" s="190" t="s">
        <v>148</v>
      </c>
      <c r="F90" s="339">
        <v>25</v>
      </c>
      <c r="G90" s="355">
        <f t="shared" si="77"/>
        <v>6250</v>
      </c>
      <c r="H90" s="356">
        <f t="shared" si="70"/>
        <v>6250</v>
      </c>
      <c r="I90" s="357"/>
      <c r="J90" s="357"/>
      <c r="K90" s="357">
        <f t="shared" si="71"/>
        <v>0</v>
      </c>
      <c r="L90" s="357"/>
      <c r="M90" s="357"/>
      <c r="N90" s="357">
        <f t="shared" si="72"/>
        <v>0</v>
      </c>
      <c r="O90" s="358">
        <f t="shared" si="73"/>
        <v>6250</v>
      </c>
      <c r="P90" s="359">
        <f t="shared" si="78"/>
        <v>897.9885057471264</v>
      </c>
      <c r="Q90" s="321">
        <v>1</v>
      </c>
      <c r="R90" s="188">
        <f t="shared" ref="R90:R101" si="80">P90</f>
        <v>897.9885057471264</v>
      </c>
      <c r="S90" s="188"/>
      <c r="T90" s="188"/>
      <c r="U90" s="357">
        <f t="shared" si="74"/>
        <v>0</v>
      </c>
      <c r="V90" s="188"/>
      <c r="W90" s="188"/>
      <c r="X90" s="357">
        <f t="shared" si="75"/>
        <v>0</v>
      </c>
      <c r="Y90" s="358">
        <f t="shared" si="76"/>
        <v>897.9885057471264</v>
      </c>
      <c r="Z90" s="184">
        <f t="shared" si="58"/>
        <v>0</v>
      </c>
    </row>
    <row r="91" spans="1:26" hidden="1">
      <c r="A91" s="187">
        <v>3</v>
      </c>
      <c r="B91" s="328" t="s">
        <v>328</v>
      </c>
      <c r="C91" s="189" t="s">
        <v>147</v>
      </c>
      <c r="D91" s="286">
        <v>0</v>
      </c>
      <c r="E91" s="190" t="s">
        <v>148</v>
      </c>
      <c r="F91" s="339">
        <v>25</v>
      </c>
      <c r="G91" s="355">
        <f t="shared" si="77"/>
        <v>0</v>
      </c>
      <c r="H91" s="356">
        <f t="shared" si="70"/>
        <v>0</v>
      </c>
      <c r="I91" s="357"/>
      <c r="J91" s="357"/>
      <c r="K91" s="357">
        <f t="shared" si="71"/>
        <v>0</v>
      </c>
      <c r="L91" s="357"/>
      <c r="M91" s="357"/>
      <c r="N91" s="357">
        <f t="shared" si="72"/>
        <v>0</v>
      </c>
      <c r="O91" s="358">
        <f t="shared" si="73"/>
        <v>0</v>
      </c>
      <c r="P91" s="359">
        <f t="shared" si="78"/>
        <v>0</v>
      </c>
      <c r="Q91" s="321">
        <v>2</v>
      </c>
      <c r="R91" s="188">
        <f t="shared" si="80"/>
        <v>0</v>
      </c>
      <c r="S91" s="188"/>
      <c r="T91" s="188"/>
      <c r="U91" s="357">
        <f t="shared" si="74"/>
        <v>0</v>
      </c>
      <c r="V91" s="188"/>
      <c r="W91" s="188"/>
      <c r="X91" s="357">
        <f t="shared" si="75"/>
        <v>0</v>
      </c>
      <c r="Y91" s="358">
        <f t="shared" si="76"/>
        <v>0</v>
      </c>
      <c r="Z91" s="184">
        <f t="shared" si="58"/>
        <v>0</v>
      </c>
    </row>
    <row r="92" spans="1:26" hidden="1">
      <c r="A92" s="187">
        <v>3</v>
      </c>
      <c r="B92" s="328" t="s">
        <v>328</v>
      </c>
      <c r="C92" s="189" t="s">
        <v>147</v>
      </c>
      <c r="D92" s="286">
        <v>0</v>
      </c>
      <c r="E92" s="190" t="s">
        <v>148</v>
      </c>
      <c r="F92" s="339">
        <v>25</v>
      </c>
      <c r="G92" s="355">
        <f t="shared" si="77"/>
        <v>0</v>
      </c>
      <c r="H92" s="356">
        <f t="shared" si="70"/>
        <v>0</v>
      </c>
      <c r="I92" s="357"/>
      <c r="J92" s="357"/>
      <c r="K92" s="357">
        <f t="shared" si="71"/>
        <v>0</v>
      </c>
      <c r="L92" s="357"/>
      <c r="M92" s="357"/>
      <c r="N92" s="357">
        <f t="shared" si="72"/>
        <v>0</v>
      </c>
      <c r="O92" s="358">
        <f t="shared" si="73"/>
        <v>0</v>
      </c>
      <c r="P92" s="359">
        <f t="shared" si="78"/>
        <v>0</v>
      </c>
      <c r="Q92" s="321">
        <v>3</v>
      </c>
      <c r="R92" s="188">
        <f t="shared" si="80"/>
        <v>0</v>
      </c>
      <c r="S92" s="188"/>
      <c r="T92" s="188"/>
      <c r="U92" s="357">
        <f t="shared" si="74"/>
        <v>0</v>
      </c>
      <c r="V92" s="188"/>
      <c r="W92" s="188"/>
      <c r="X92" s="357">
        <f t="shared" si="75"/>
        <v>0</v>
      </c>
      <c r="Y92" s="358">
        <f t="shared" si="76"/>
        <v>0</v>
      </c>
      <c r="Z92" s="184">
        <f t="shared" si="58"/>
        <v>0</v>
      </c>
    </row>
    <row r="93" spans="1:26" ht="25.5" hidden="1">
      <c r="A93" s="187">
        <v>3</v>
      </c>
      <c r="B93" s="328" t="s">
        <v>328</v>
      </c>
      <c r="C93" s="189" t="s">
        <v>265</v>
      </c>
      <c r="D93" s="286">
        <v>22</v>
      </c>
      <c r="E93" s="190" t="s">
        <v>134</v>
      </c>
      <c r="F93" s="339">
        <f>20*20</f>
        <v>400</v>
      </c>
      <c r="G93" s="355">
        <f t="shared" si="77"/>
        <v>8800</v>
      </c>
      <c r="H93" s="356">
        <f t="shared" si="70"/>
        <v>8800</v>
      </c>
      <c r="I93" s="357"/>
      <c r="J93" s="357"/>
      <c r="K93" s="357">
        <f t="shared" si="71"/>
        <v>0</v>
      </c>
      <c r="L93" s="357"/>
      <c r="M93" s="357"/>
      <c r="N93" s="357">
        <f t="shared" si="72"/>
        <v>0</v>
      </c>
      <c r="O93" s="358">
        <f t="shared" si="73"/>
        <v>8800</v>
      </c>
      <c r="P93" s="359">
        <f t="shared" si="78"/>
        <v>1264.367816091954</v>
      </c>
      <c r="Q93" s="321">
        <v>1</v>
      </c>
      <c r="R93" s="188">
        <f t="shared" si="80"/>
        <v>1264.367816091954</v>
      </c>
      <c r="S93" s="188"/>
      <c r="T93" s="188"/>
      <c r="U93" s="357">
        <f t="shared" si="74"/>
        <v>0</v>
      </c>
      <c r="V93" s="188"/>
      <c r="W93" s="188"/>
      <c r="X93" s="357">
        <f t="shared" si="75"/>
        <v>0</v>
      </c>
      <c r="Y93" s="358">
        <f t="shared" si="76"/>
        <v>1264.367816091954</v>
      </c>
      <c r="Z93" s="184">
        <f t="shared" si="58"/>
        <v>0</v>
      </c>
    </row>
    <row r="94" spans="1:26" ht="25.5" hidden="1">
      <c r="A94" s="187">
        <v>3</v>
      </c>
      <c r="B94" s="328" t="s">
        <v>328</v>
      </c>
      <c r="C94" s="189" t="s">
        <v>265</v>
      </c>
      <c r="D94" s="286">
        <v>0</v>
      </c>
      <c r="E94" s="190" t="s">
        <v>134</v>
      </c>
      <c r="F94" s="339">
        <f t="shared" ref="F94:F95" si="81">20*20</f>
        <v>400</v>
      </c>
      <c r="G94" s="355">
        <f t="shared" si="77"/>
        <v>0</v>
      </c>
      <c r="H94" s="356">
        <f t="shared" si="70"/>
        <v>0</v>
      </c>
      <c r="I94" s="357"/>
      <c r="J94" s="357"/>
      <c r="K94" s="357">
        <f t="shared" si="71"/>
        <v>0</v>
      </c>
      <c r="L94" s="357"/>
      <c r="M94" s="357"/>
      <c r="N94" s="357">
        <f t="shared" si="72"/>
        <v>0</v>
      </c>
      <c r="O94" s="358">
        <f t="shared" si="73"/>
        <v>0</v>
      </c>
      <c r="P94" s="359">
        <f t="shared" si="78"/>
        <v>0</v>
      </c>
      <c r="Q94" s="321">
        <v>2</v>
      </c>
      <c r="R94" s="188">
        <f t="shared" si="80"/>
        <v>0</v>
      </c>
      <c r="S94" s="188"/>
      <c r="T94" s="188"/>
      <c r="U94" s="357">
        <f t="shared" si="74"/>
        <v>0</v>
      </c>
      <c r="V94" s="188"/>
      <c r="W94" s="188"/>
      <c r="X94" s="357">
        <f t="shared" si="75"/>
        <v>0</v>
      </c>
      <c r="Y94" s="358">
        <f t="shared" si="76"/>
        <v>0</v>
      </c>
      <c r="Z94" s="184">
        <f t="shared" si="58"/>
        <v>0</v>
      </c>
    </row>
    <row r="95" spans="1:26" ht="25.5" hidden="1">
      <c r="A95" s="187">
        <v>3</v>
      </c>
      <c r="B95" s="328" t="s">
        <v>328</v>
      </c>
      <c r="C95" s="189" t="s">
        <v>265</v>
      </c>
      <c r="D95" s="286">
        <v>0</v>
      </c>
      <c r="E95" s="190" t="s">
        <v>134</v>
      </c>
      <c r="F95" s="339">
        <f t="shared" si="81"/>
        <v>400</v>
      </c>
      <c r="G95" s="355">
        <f t="shared" si="77"/>
        <v>0</v>
      </c>
      <c r="H95" s="356">
        <f t="shared" si="70"/>
        <v>0</v>
      </c>
      <c r="I95" s="357"/>
      <c r="J95" s="357"/>
      <c r="K95" s="357">
        <f t="shared" si="71"/>
        <v>0</v>
      </c>
      <c r="L95" s="357"/>
      <c r="M95" s="357"/>
      <c r="N95" s="357">
        <f t="shared" si="72"/>
        <v>0</v>
      </c>
      <c r="O95" s="358">
        <f t="shared" si="73"/>
        <v>0</v>
      </c>
      <c r="P95" s="359">
        <f t="shared" si="78"/>
        <v>0</v>
      </c>
      <c r="Q95" s="321">
        <v>3</v>
      </c>
      <c r="R95" s="188">
        <f t="shared" si="80"/>
        <v>0</v>
      </c>
      <c r="S95" s="188"/>
      <c r="T95" s="188"/>
      <c r="U95" s="357">
        <f t="shared" si="74"/>
        <v>0</v>
      </c>
      <c r="V95" s="188"/>
      <c r="W95" s="188"/>
      <c r="X95" s="357">
        <f t="shared" si="75"/>
        <v>0</v>
      </c>
      <c r="Y95" s="358">
        <f t="shared" si="76"/>
        <v>0</v>
      </c>
      <c r="Z95" s="184">
        <f t="shared" si="58"/>
        <v>0</v>
      </c>
    </row>
    <row r="96" spans="1:26" hidden="1">
      <c r="A96" s="187">
        <v>3</v>
      </c>
      <c r="B96" s="328" t="s">
        <v>328</v>
      </c>
      <c r="C96" s="189" t="s">
        <v>137</v>
      </c>
      <c r="D96" s="286">
        <v>1</v>
      </c>
      <c r="E96" s="190" t="s">
        <v>92</v>
      </c>
      <c r="F96" s="339">
        <v>1000</v>
      </c>
      <c r="G96" s="355">
        <f t="shared" si="77"/>
        <v>1000</v>
      </c>
      <c r="H96" s="356">
        <f t="shared" si="70"/>
        <v>1000</v>
      </c>
      <c r="I96" s="357"/>
      <c r="J96" s="357"/>
      <c r="K96" s="357">
        <f t="shared" si="71"/>
        <v>0</v>
      </c>
      <c r="L96" s="357"/>
      <c r="M96" s="357"/>
      <c r="N96" s="357">
        <f t="shared" si="72"/>
        <v>0</v>
      </c>
      <c r="O96" s="358">
        <f t="shared" si="73"/>
        <v>1000</v>
      </c>
      <c r="P96" s="359">
        <f t="shared" si="78"/>
        <v>143.67816091954023</v>
      </c>
      <c r="Q96" s="321">
        <v>1</v>
      </c>
      <c r="R96" s="188">
        <f t="shared" si="80"/>
        <v>143.67816091954023</v>
      </c>
      <c r="S96" s="188"/>
      <c r="T96" s="188"/>
      <c r="U96" s="357">
        <f t="shared" si="74"/>
        <v>0</v>
      </c>
      <c r="V96" s="188"/>
      <c r="W96" s="188"/>
      <c r="X96" s="357">
        <f t="shared" si="75"/>
        <v>0</v>
      </c>
      <c r="Y96" s="358">
        <f t="shared" si="76"/>
        <v>143.67816091954023</v>
      </c>
      <c r="Z96" s="184">
        <f t="shared" si="58"/>
        <v>0</v>
      </c>
    </row>
    <row r="97" spans="1:26" hidden="1">
      <c r="A97" s="187">
        <v>3</v>
      </c>
      <c r="B97" s="328" t="s">
        <v>328</v>
      </c>
      <c r="C97" s="189" t="s">
        <v>137</v>
      </c>
      <c r="D97" s="286">
        <v>0</v>
      </c>
      <c r="E97" s="190" t="s">
        <v>92</v>
      </c>
      <c r="F97" s="339">
        <v>1000</v>
      </c>
      <c r="G97" s="355">
        <f t="shared" si="77"/>
        <v>0</v>
      </c>
      <c r="H97" s="356">
        <f t="shared" si="70"/>
        <v>0</v>
      </c>
      <c r="I97" s="357"/>
      <c r="J97" s="357"/>
      <c r="K97" s="357">
        <f t="shared" si="71"/>
        <v>0</v>
      </c>
      <c r="L97" s="357"/>
      <c r="M97" s="357"/>
      <c r="N97" s="357">
        <f t="shared" si="72"/>
        <v>0</v>
      </c>
      <c r="O97" s="358">
        <f t="shared" si="73"/>
        <v>0</v>
      </c>
      <c r="P97" s="359">
        <f t="shared" si="78"/>
        <v>0</v>
      </c>
      <c r="Q97" s="321">
        <v>2</v>
      </c>
      <c r="R97" s="188">
        <f t="shared" si="80"/>
        <v>0</v>
      </c>
      <c r="S97" s="188"/>
      <c r="T97" s="188"/>
      <c r="U97" s="357">
        <f t="shared" si="74"/>
        <v>0</v>
      </c>
      <c r="V97" s="188"/>
      <c r="W97" s="188"/>
      <c r="X97" s="357">
        <f t="shared" si="75"/>
        <v>0</v>
      </c>
      <c r="Y97" s="358">
        <f t="shared" si="76"/>
        <v>0</v>
      </c>
      <c r="Z97" s="184">
        <f t="shared" si="58"/>
        <v>0</v>
      </c>
    </row>
    <row r="98" spans="1:26" hidden="1">
      <c r="A98" s="187">
        <v>3</v>
      </c>
      <c r="B98" s="328" t="s">
        <v>328</v>
      </c>
      <c r="C98" s="189" t="s">
        <v>137</v>
      </c>
      <c r="D98" s="286">
        <v>0</v>
      </c>
      <c r="E98" s="190" t="s">
        <v>92</v>
      </c>
      <c r="F98" s="339">
        <v>1000</v>
      </c>
      <c r="G98" s="355">
        <f t="shared" si="77"/>
        <v>0</v>
      </c>
      <c r="H98" s="356">
        <f t="shared" si="70"/>
        <v>0</v>
      </c>
      <c r="I98" s="357"/>
      <c r="J98" s="357"/>
      <c r="K98" s="357">
        <f t="shared" si="71"/>
        <v>0</v>
      </c>
      <c r="L98" s="357"/>
      <c r="M98" s="357"/>
      <c r="N98" s="357">
        <f t="shared" si="72"/>
        <v>0</v>
      </c>
      <c r="O98" s="358">
        <f t="shared" si="73"/>
        <v>0</v>
      </c>
      <c r="P98" s="359">
        <f t="shared" si="78"/>
        <v>0</v>
      </c>
      <c r="Q98" s="321">
        <v>3</v>
      </c>
      <c r="R98" s="188">
        <f t="shared" si="80"/>
        <v>0</v>
      </c>
      <c r="S98" s="188"/>
      <c r="T98" s="188"/>
      <c r="U98" s="357">
        <f t="shared" si="74"/>
        <v>0</v>
      </c>
      <c r="V98" s="188"/>
      <c r="W98" s="188"/>
      <c r="X98" s="357">
        <f t="shared" si="75"/>
        <v>0</v>
      </c>
      <c r="Y98" s="358">
        <f t="shared" si="76"/>
        <v>0</v>
      </c>
      <c r="Z98" s="184">
        <f t="shared" si="58"/>
        <v>0</v>
      </c>
    </row>
    <row r="99" spans="1:26" hidden="1">
      <c r="A99" s="187">
        <v>3</v>
      </c>
      <c r="B99" s="328" t="s">
        <v>328</v>
      </c>
      <c r="C99" s="189" t="s">
        <v>145</v>
      </c>
      <c r="D99" s="286">
        <v>1</v>
      </c>
      <c r="E99" s="190" t="s">
        <v>92</v>
      </c>
      <c r="F99" s="339">
        <v>1000</v>
      </c>
      <c r="G99" s="355">
        <f t="shared" si="77"/>
        <v>1000</v>
      </c>
      <c r="H99" s="356">
        <f t="shared" si="70"/>
        <v>1000</v>
      </c>
      <c r="I99" s="357"/>
      <c r="J99" s="357"/>
      <c r="K99" s="357">
        <f t="shared" si="71"/>
        <v>0</v>
      </c>
      <c r="L99" s="357"/>
      <c r="M99" s="357"/>
      <c r="N99" s="357">
        <f t="shared" si="72"/>
        <v>0</v>
      </c>
      <c r="O99" s="358">
        <f t="shared" si="73"/>
        <v>1000</v>
      </c>
      <c r="P99" s="359">
        <f t="shared" si="78"/>
        <v>143.67816091954023</v>
      </c>
      <c r="Q99" s="321">
        <v>1</v>
      </c>
      <c r="R99" s="188">
        <f t="shared" si="80"/>
        <v>143.67816091954023</v>
      </c>
      <c r="S99" s="188"/>
      <c r="T99" s="188"/>
      <c r="U99" s="357">
        <f t="shared" si="74"/>
        <v>0</v>
      </c>
      <c r="V99" s="188"/>
      <c r="W99" s="188"/>
      <c r="X99" s="357">
        <f t="shared" si="75"/>
        <v>0</v>
      </c>
      <c r="Y99" s="358">
        <f t="shared" si="76"/>
        <v>143.67816091954023</v>
      </c>
      <c r="Z99" s="184">
        <f t="shared" si="58"/>
        <v>0</v>
      </c>
    </row>
    <row r="100" spans="1:26" hidden="1">
      <c r="A100" s="187">
        <v>3</v>
      </c>
      <c r="B100" s="328" t="s">
        <v>328</v>
      </c>
      <c r="C100" s="189" t="s">
        <v>145</v>
      </c>
      <c r="D100" s="286">
        <v>0</v>
      </c>
      <c r="E100" s="190" t="s">
        <v>92</v>
      </c>
      <c r="F100" s="339">
        <v>1000</v>
      </c>
      <c r="G100" s="355">
        <f t="shared" si="77"/>
        <v>0</v>
      </c>
      <c r="H100" s="356">
        <f t="shared" si="70"/>
        <v>0</v>
      </c>
      <c r="I100" s="357"/>
      <c r="J100" s="357"/>
      <c r="K100" s="357">
        <f t="shared" si="71"/>
        <v>0</v>
      </c>
      <c r="L100" s="357"/>
      <c r="M100" s="357"/>
      <c r="N100" s="357">
        <f t="shared" si="72"/>
        <v>0</v>
      </c>
      <c r="O100" s="358">
        <f t="shared" si="73"/>
        <v>0</v>
      </c>
      <c r="P100" s="359">
        <f t="shared" si="78"/>
        <v>0</v>
      </c>
      <c r="Q100" s="321">
        <v>2</v>
      </c>
      <c r="R100" s="188">
        <f t="shared" si="80"/>
        <v>0</v>
      </c>
      <c r="S100" s="188"/>
      <c r="T100" s="188"/>
      <c r="U100" s="357">
        <f t="shared" si="74"/>
        <v>0</v>
      </c>
      <c r="V100" s="188"/>
      <c r="W100" s="188"/>
      <c r="X100" s="357">
        <f t="shared" si="75"/>
        <v>0</v>
      </c>
      <c r="Y100" s="358">
        <f t="shared" si="76"/>
        <v>0</v>
      </c>
      <c r="Z100" s="184">
        <f t="shared" si="58"/>
        <v>0</v>
      </c>
    </row>
    <row r="101" spans="1:26" hidden="1">
      <c r="A101" s="187">
        <v>3</v>
      </c>
      <c r="B101" s="328" t="s">
        <v>328</v>
      </c>
      <c r="C101" s="189" t="s">
        <v>145</v>
      </c>
      <c r="D101" s="286">
        <v>0</v>
      </c>
      <c r="E101" s="190" t="s">
        <v>92</v>
      </c>
      <c r="F101" s="339">
        <v>1000</v>
      </c>
      <c r="G101" s="355">
        <f t="shared" si="77"/>
        <v>0</v>
      </c>
      <c r="H101" s="356">
        <f t="shared" si="70"/>
        <v>0</v>
      </c>
      <c r="I101" s="357"/>
      <c r="J101" s="357"/>
      <c r="K101" s="357">
        <f t="shared" si="71"/>
        <v>0</v>
      </c>
      <c r="L101" s="357"/>
      <c r="M101" s="357"/>
      <c r="N101" s="357">
        <f t="shared" si="72"/>
        <v>0</v>
      </c>
      <c r="O101" s="358">
        <f t="shared" si="73"/>
        <v>0</v>
      </c>
      <c r="P101" s="359">
        <f t="shared" si="78"/>
        <v>0</v>
      </c>
      <c r="Q101" s="321">
        <v>3</v>
      </c>
      <c r="R101" s="188">
        <f t="shared" si="80"/>
        <v>0</v>
      </c>
      <c r="S101" s="188"/>
      <c r="T101" s="188"/>
      <c r="U101" s="357">
        <f t="shared" si="74"/>
        <v>0</v>
      </c>
      <c r="V101" s="188"/>
      <c r="W101" s="188"/>
      <c r="X101" s="357">
        <f t="shared" si="75"/>
        <v>0</v>
      </c>
      <c r="Y101" s="358">
        <f t="shared" si="76"/>
        <v>0</v>
      </c>
      <c r="Z101" s="184">
        <f t="shared" si="58"/>
        <v>0</v>
      </c>
    </row>
    <row r="102" spans="1:26" hidden="1">
      <c r="A102" s="228" t="s">
        <v>329</v>
      </c>
      <c r="B102" s="327"/>
      <c r="C102" s="220"/>
      <c r="D102" s="185"/>
      <c r="E102" s="185"/>
      <c r="F102" s="186"/>
      <c r="G102" s="207">
        <f t="shared" ref="G102:P102" si="82">SUM(G103:G126)</f>
        <v>236500</v>
      </c>
      <c r="H102" s="352">
        <f t="shared" si="82"/>
        <v>236500</v>
      </c>
      <c r="I102" s="353">
        <f t="shared" si="82"/>
        <v>0</v>
      </c>
      <c r="J102" s="353">
        <f t="shared" si="82"/>
        <v>0</v>
      </c>
      <c r="K102" s="353">
        <f t="shared" si="82"/>
        <v>0</v>
      </c>
      <c r="L102" s="353">
        <f t="shared" si="82"/>
        <v>0</v>
      </c>
      <c r="M102" s="353">
        <f t="shared" si="82"/>
        <v>0</v>
      </c>
      <c r="N102" s="353">
        <f t="shared" si="82"/>
        <v>0</v>
      </c>
      <c r="O102" s="354">
        <f t="shared" si="82"/>
        <v>236500</v>
      </c>
      <c r="P102" s="352">
        <f t="shared" si="82"/>
        <v>33979.885057471263</v>
      </c>
      <c r="Q102" s="320"/>
      <c r="R102" s="181">
        <f t="shared" ref="R102:Y102" si="83">SUM(R103:R126)</f>
        <v>33979.885057471263</v>
      </c>
      <c r="S102" s="181">
        <f t="shared" si="83"/>
        <v>0</v>
      </c>
      <c r="T102" s="181">
        <f t="shared" si="83"/>
        <v>0</v>
      </c>
      <c r="U102" s="353">
        <f t="shared" si="83"/>
        <v>0</v>
      </c>
      <c r="V102" s="181">
        <f t="shared" si="83"/>
        <v>0</v>
      </c>
      <c r="W102" s="181">
        <f t="shared" si="83"/>
        <v>0</v>
      </c>
      <c r="X102" s="353">
        <f t="shared" si="83"/>
        <v>0</v>
      </c>
      <c r="Y102" s="354">
        <f t="shared" si="83"/>
        <v>33979.885057471263</v>
      </c>
      <c r="Z102" s="184">
        <f t="shared" si="58"/>
        <v>0</v>
      </c>
    </row>
    <row r="103" spans="1:26" hidden="1">
      <c r="A103" s="187">
        <v>3</v>
      </c>
      <c r="B103" s="328" t="s">
        <v>329</v>
      </c>
      <c r="C103" s="191" t="s">
        <v>174</v>
      </c>
      <c r="D103" s="284">
        <v>84</v>
      </c>
      <c r="E103" s="187" t="s">
        <v>175</v>
      </c>
      <c r="F103" s="340">
        <v>800</v>
      </c>
      <c r="G103" s="355">
        <f>D103*F103</f>
        <v>67200</v>
      </c>
      <c r="H103" s="356">
        <f t="shared" ref="H103:H126" si="84">R103*$Y$4</f>
        <v>67200</v>
      </c>
      <c r="I103" s="357"/>
      <c r="J103" s="357"/>
      <c r="K103" s="357">
        <f t="shared" ref="K103:K126" si="85">I103+J103</f>
        <v>0</v>
      </c>
      <c r="L103" s="357"/>
      <c r="M103" s="357"/>
      <c r="N103" s="357">
        <f t="shared" ref="N103:N126" si="86">L103+M103</f>
        <v>0</v>
      </c>
      <c r="O103" s="358">
        <f t="shared" ref="O103:O126" si="87">H103+K103+N103</f>
        <v>67200</v>
      </c>
      <c r="P103" s="359">
        <f>G103/$Y$4</f>
        <v>9655.1724137931033</v>
      </c>
      <c r="Q103" s="321">
        <v>1</v>
      </c>
      <c r="R103" s="188">
        <f>P103</f>
        <v>9655.1724137931033</v>
      </c>
      <c r="S103" s="188"/>
      <c r="T103" s="188"/>
      <c r="U103" s="357">
        <f t="shared" ref="U103:U126" si="88">S103+T103</f>
        <v>0</v>
      </c>
      <c r="V103" s="188"/>
      <c r="W103" s="188"/>
      <c r="X103" s="357">
        <f t="shared" ref="X103:X126" si="89">V103+W103</f>
        <v>0</v>
      </c>
      <c r="Y103" s="358">
        <f t="shared" ref="Y103:Y126" si="90">R103+U103+X103</f>
        <v>9655.1724137931033</v>
      </c>
      <c r="Z103" s="184">
        <f t="shared" si="58"/>
        <v>0</v>
      </c>
    </row>
    <row r="104" spans="1:26">
      <c r="A104" s="187">
        <v>3</v>
      </c>
      <c r="B104" s="328" t="s">
        <v>329</v>
      </c>
      <c r="C104" s="191" t="s">
        <v>174</v>
      </c>
      <c r="D104" s="284">
        <v>44</v>
      </c>
      <c r="E104" s="187" t="s">
        <v>175</v>
      </c>
      <c r="F104" s="340">
        <v>800</v>
      </c>
      <c r="G104" s="355">
        <f t="shared" ref="G104" si="91">D104*F104</f>
        <v>35200</v>
      </c>
      <c r="H104" s="356">
        <f t="shared" si="84"/>
        <v>35200</v>
      </c>
      <c r="I104" s="357"/>
      <c r="J104" s="357"/>
      <c r="K104" s="357">
        <f t="shared" si="85"/>
        <v>0</v>
      </c>
      <c r="L104" s="357"/>
      <c r="M104" s="357"/>
      <c r="N104" s="357">
        <f t="shared" si="86"/>
        <v>0</v>
      </c>
      <c r="O104" s="358">
        <f t="shared" si="87"/>
        <v>35200</v>
      </c>
      <c r="P104" s="359">
        <f t="shared" ref="P104" si="92">G104/$Y$4</f>
        <v>5057.4712643678158</v>
      </c>
      <c r="Q104" s="321">
        <v>2</v>
      </c>
      <c r="R104" s="331">
        <f t="shared" ref="R104" si="93">P104</f>
        <v>5057.4712643678158</v>
      </c>
      <c r="S104" s="188"/>
      <c r="T104" s="188"/>
      <c r="U104" s="357">
        <f t="shared" si="88"/>
        <v>0</v>
      </c>
      <c r="V104" s="188"/>
      <c r="W104" s="188"/>
      <c r="X104" s="357">
        <f t="shared" si="89"/>
        <v>0</v>
      </c>
      <c r="Y104" s="358">
        <f t="shared" si="90"/>
        <v>5057.4712643678158</v>
      </c>
      <c r="Z104" s="184">
        <f t="shared" si="58"/>
        <v>0</v>
      </c>
    </row>
    <row r="105" spans="1:26" hidden="1">
      <c r="A105" s="187">
        <v>3</v>
      </c>
      <c r="B105" s="328" t="s">
        <v>329</v>
      </c>
      <c r="C105" s="191" t="s">
        <v>174</v>
      </c>
      <c r="D105" s="284">
        <v>22</v>
      </c>
      <c r="E105" s="187" t="s">
        <v>175</v>
      </c>
      <c r="F105" s="340">
        <v>800</v>
      </c>
      <c r="G105" s="355">
        <f>D105*F105</f>
        <v>17600</v>
      </c>
      <c r="H105" s="356">
        <f t="shared" si="84"/>
        <v>17600</v>
      </c>
      <c r="I105" s="357"/>
      <c r="J105" s="357"/>
      <c r="K105" s="357">
        <f t="shared" si="85"/>
        <v>0</v>
      </c>
      <c r="L105" s="357"/>
      <c r="M105" s="357"/>
      <c r="N105" s="357">
        <f t="shared" si="86"/>
        <v>0</v>
      </c>
      <c r="O105" s="358">
        <f t="shared" si="87"/>
        <v>17600</v>
      </c>
      <c r="P105" s="359">
        <f>G105/$Y$4</f>
        <v>2528.7356321839079</v>
      </c>
      <c r="Q105" s="321">
        <v>3</v>
      </c>
      <c r="R105" s="331">
        <f>P105</f>
        <v>2528.7356321839079</v>
      </c>
      <c r="S105" s="188"/>
      <c r="T105" s="188"/>
      <c r="U105" s="357">
        <f t="shared" si="88"/>
        <v>0</v>
      </c>
      <c r="V105" s="188"/>
      <c r="W105" s="188"/>
      <c r="X105" s="357">
        <f t="shared" si="89"/>
        <v>0</v>
      </c>
      <c r="Y105" s="358">
        <f t="shared" si="90"/>
        <v>2528.7356321839079</v>
      </c>
      <c r="Z105" s="184">
        <f t="shared" si="58"/>
        <v>0</v>
      </c>
    </row>
    <row r="106" spans="1:26" hidden="1">
      <c r="A106" s="187">
        <v>3</v>
      </c>
      <c r="B106" s="328" t="s">
        <v>329</v>
      </c>
      <c r="C106" s="191" t="s">
        <v>176</v>
      </c>
      <c r="D106" s="284">
        <f>400</f>
        <v>400</v>
      </c>
      <c r="E106" s="187" t="s">
        <v>177</v>
      </c>
      <c r="F106" s="340">
        <v>25</v>
      </c>
      <c r="G106" s="355">
        <f t="shared" ref="G106:G126" si="94">D106*F106</f>
        <v>10000</v>
      </c>
      <c r="H106" s="356">
        <f t="shared" si="84"/>
        <v>10000</v>
      </c>
      <c r="I106" s="357"/>
      <c r="J106" s="357"/>
      <c r="K106" s="357">
        <f t="shared" si="85"/>
        <v>0</v>
      </c>
      <c r="L106" s="357"/>
      <c r="M106" s="357"/>
      <c r="N106" s="357">
        <f t="shared" si="86"/>
        <v>0</v>
      </c>
      <c r="O106" s="358">
        <f t="shared" si="87"/>
        <v>10000</v>
      </c>
      <c r="P106" s="359">
        <f t="shared" ref="P106:P126" si="95">G106/$Y$4</f>
        <v>1436.7816091954023</v>
      </c>
      <c r="Q106" s="321">
        <v>1</v>
      </c>
      <c r="R106" s="188">
        <f t="shared" ref="R106:R126" si="96">P106</f>
        <v>1436.7816091954023</v>
      </c>
      <c r="S106" s="188"/>
      <c r="T106" s="188"/>
      <c r="U106" s="357">
        <f t="shared" si="88"/>
        <v>0</v>
      </c>
      <c r="V106" s="188"/>
      <c r="W106" s="188"/>
      <c r="X106" s="357">
        <f t="shared" si="89"/>
        <v>0</v>
      </c>
      <c r="Y106" s="358">
        <f t="shared" si="90"/>
        <v>1436.7816091954023</v>
      </c>
      <c r="Z106" s="184">
        <f t="shared" si="58"/>
        <v>0</v>
      </c>
    </row>
    <row r="107" spans="1:26">
      <c r="A107" s="187">
        <v>3</v>
      </c>
      <c r="B107" s="328" t="s">
        <v>329</v>
      </c>
      <c r="C107" s="191" t="s">
        <v>176</v>
      </c>
      <c r="D107" s="284">
        <f>400</f>
        <v>400</v>
      </c>
      <c r="E107" s="187" t="s">
        <v>177</v>
      </c>
      <c r="F107" s="340">
        <v>25</v>
      </c>
      <c r="G107" s="355">
        <f t="shared" si="94"/>
        <v>10000</v>
      </c>
      <c r="H107" s="356">
        <f t="shared" si="84"/>
        <v>10000</v>
      </c>
      <c r="I107" s="357"/>
      <c r="J107" s="357"/>
      <c r="K107" s="357">
        <f t="shared" si="85"/>
        <v>0</v>
      </c>
      <c r="L107" s="357"/>
      <c r="M107" s="357"/>
      <c r="N107" s="357">
        <f t="shared" si="86"/>
        <v>0</v>
      </c>
      <c r="O107" s="358">
        <f t="shared" si="87"/>
        <v>10000</v>
      </c>
      <c r="P107" s="359">
        <f t="shared" si="95"/>
        <v>1436.7816091954023</v>
      </c>
      <c r="Q107" s="321">
        <v>2</v>
      </c>
      <c r="R107" s="188">
        <f t="shared" si="96"/>
        <v>1436.7816091954023</v>
      </c>
      <c r="S107" s="188"/>
      <c r="T107" s="188"/>
      <c r="U107" s="357">
        <f t="shared" si="88"/>
        <v>0</v>
      </c>
      <c r="V107" s="188"/>
      <c r="W107" s="188"/>
      <c r="X107" s="357">
        <f t="shared" si="89"/>
        <v>0</v>
      </c>
      <c r="Y107" s="358">
        <f t="shared" si="90"/>
        <v>1436.7816091954023</v>
      </c>
      <c r="Z107" s="184">
        <f t="shared" si="58"/>
        <v>0</v>
      </c>
    </row>
    <row r="108" spans="1:26" hidden="1">
      <c r="A108" s="187">
        <v>3</v>
      </c>
      <c r="B108" s="328" t="s">
        <v>329</v>
      </c>
      <c r="C108" s="191" t="s">
        <v>176</v>
      </c>
      <c r="D108" s="284">
        <f>400</f>
        <v>400</v>
      </c>
      <c r="E108" s="187" t="s">
        <v>177</v>
      </c>
      <c r="F108" s="340">
        <v>25</v>
      </c>
      <c r="G108" s="355">
        <f t="shared" si="94"/>
        <v>10000</v>
      </c>
      <c r="H108" s="356">
        <f t="shared" si="84"/>
        <v>10000</v>
      </c>
      <c r="I108" s="357"/>
      <c r="J108" s="357"/>
      <c r="K108" s="357">
        <f t="shared" si="85"/>
        <v>0</v>
      </c>
      <c r="L108" s="357"/>
      <c r="M108" s="357"/>
      <c r="N108" s="357">
        <f t="shared" si="86"/>
        <v>0</v>
      </c>
      <c r="O108" s="358">
        <f t="shared" si="87"/>
        <v>10000</v>
      </c>
      <c r="P108" s="359">
        <f t="shared" si="95"/>
        <v>1436.7816091954023</v>
      </c>
      <c r="Q108" s="321">
        <v>3</v>
      </c>
      <c r="R108" s="188">
        <f t="shared" si="96"/>
        <v>1436.7816091954023</v>
      </c>
      <c r="S108" s="188"/>
      <c r="T108" s="188"/>
      <c r="U108" s="357">
        <f t="shared" si="88"/>
        <v>0</v>
      </c>
      <c r="V108" s="188"/>
      <c r="W108" s="188"/>
      <c r="X108" s="357">
        <f t="shared" si="89"/>
        <v>0</v>
      </c>
      <c r="Y108" s="358">
        <f t="shared" si="90"/>
        <v>1436.7816091954023</v>
      </c>
      <c r="Z108" s="184">
        <f t="shared" si="58"/>
        <v>0</v>
      </c>
    </row>
    <row r="109" spans="1:26" hidden="1">
      <c r="A109" s="187">
        <v>3</v>
      </c>
      <c r="B109" s="328" t="s">
        <v>329</v>
      </c>
      <c r="C109" s="289" t="s">
        <v>218</v>
      </c>
      <c r="D109" s="284">
        <f>10</f>
        <v>10</v>
      </c>
      <c r="E109" s="187" t="s">
        <v>155</v>
      </c>
      <c r="F109" s="340">
        <v>150</v>
      </c>
      <c r="G109" s="355">
        <f t="shared" si="94"/>
        <v>1500</v>
      </c>
      <c r="H109" s="356">
        <f t="shared" si="84"/>
        <v>1500</v>
      </c>
      <c r="I109" s="357"/>
      <c r="J109" s="357"/>
      <c r="K109" s="357">
        <f t="shared" si="85"/>
        <v>0</v>
      </c>
      <c r="L109" s="357"/>
      <c r="M109" s="357"/>
      <c r="N109" s="357">
        <f t="shared" si="86"/>
        <v>0</v>
      </c>
      <c r="O109" s="358">
        <f t="shared" si="87"/>
        <v>1500</v>
      </c>
      <c r="P109" s="359">
        <f t="shared" si="95"/>
        <v>215.51724137931035</v>
      </c>
      <c r="Q109" s="321">
        <v>1</v>
      </c>
      <c r="R109" s="188">
        <f t="shared" si="96"/>
        <v>215.51724137931035</v>
      </c>
      <c r="S109" s="188"/>
      <c r="T109" s="188"/>
      <c r="U109" s="357">
        <f t="shared" si="88"/>
        <v>0</v>
      </c>
      <c r="V109" s="188"/>
      <c r="W109" s="188"/>
      <c r="X109" s="357">
        <f t="shared" si="89"/>
        <v>0</v>
      </c>
      <c r="Y109" s="358">
        <f t="shared" si="90"/>
        <v>215.51724137931035</v>
      </c>
      <c r="Z109" s="184">
        <f t="shared" si="58"/>
        <v>0</v>
      </c>
    </row>
    <row r="110" spans="1:26">
      <c r="A110" s="187">
        <v>3</v>
      </c>
      <c r="B110" s="328" t="s">
        <v>329</v>
      </c>
      <c r="C110" s="289" t="s">
        <v>218</v>
      </c>
      <c r="D110" s="284">
        <f>10</f>
        <v>10</v>
      </c>
      <c r="E110" s="187" t="s">
        <v>155</v>
      </c>
      <c r="F110" s="340">
        <v>150</v>
      </c>
      <c r="G110" s="355">
        <f t="shared" si="94"/>
        <v>1500</v>
      </c>
      <c r="H110" s="356">
        <f t="shared" si="84"/>
        <v>1500</v>
      </c>
      <c r="I110" s="357"/>
      <c r="J110" s="357"/>
      <c r="K110" s="357">
        <f t="shared" si="85"/>
        <v>0</v>
      </c>
      <c r="L110" s="357"/>
      <c r="M110" s="357"/>
      <c r="N110" s="357">
        <f t="shared" si="86"/>
        <v>0</v>
      </c>
      <c r="O110" s="358">
        <f t="shared" si="87"/>
        <v>1500</v>
      </c>
      <c r="P110" s="359">
        <f t="shared" si="95"/>
        <v>215.51724137931035</v>
      </c>
      <c r="Q110" s="321">
        <v>2</v>
      </c>
      <c r="R110" s="188">
        <f t="shared" si="96"/>
        <v>215.51724137931035</v>
      </c>
      <c r="S110" s="188"/>
      <c r="T110" s="188"/>
      <c r="U110" s="357">
        <f t="shared" si="88"/>
        <v>0</v>
      </c>
      <c r="V110" s="188"/>
      <c r="W110" s="188"/>
      <c r="X110" s="357">
        <f t="shared" si="89"/>
        <v>0</v>
      </c>
      <c r="Y110" s="358">
        <f t="shared" si="90"/>
        <v>215.51724137931035</v>
      </c>
      <c r="Z110" s="184">
        <f t="shared" si="58"/>
        <v>0</v>
      </c>
    </row>
    <row r="111" spans="1:26" hidden="1">
      <c r="A111" s="187">
        <v>3</v>
      </c>
      <c r="B111" s="328" t="s">
        <v>329</v>
      </c>
      <c r="C111" s="289" t="s">
        <v>218</v>
      </c>
      <c r="D111" s="284">
        <f>10</f>
        <v>10</v>
      </c>
      <c r="E111" s="187" t="s">
        <v>155</v>
      </c>
      <c r="F111" s="340">
        <v>150</v>
      </c>
      <c r="G111" s="355">
        <f t="shared" si="94"/>
        <v>1500</v>
      </c>
      <c r="H111" s="356">
        <f t="shared" si="84"/>
        <v>1500</v>
      </c>
      <c r="I111" s="357"/>
      <c r="J111" s="357"/>
      <c r="K111" s="357">
        <f t="shared" si="85"/>
        <v>0</v>
      </c>
      <c r="L111" s="357"/>
      <c r="M111" s="357"/>
      <c r="N111" s="357">
        <f t="shared" si="86"/>
        <v>0</v>
      </c>
      <c r="O111" s="358">
        <f t="shared" si="87"/>
        <v>1500</v>
      </c>
      <c r="P111" s="359">
        <f t="shared" si="95"/>
        <v>215.51724137931035</v>
      </c>
      <c r="Q111" s="321">
        <v>3</v>
      </c>
      <c r="R111" s="188">
        <f t="shared" si="96"/>
        <v>215.51724137931035</v>
      </c>
      <c r="S111" s="188"/>
      <c r="T111" s="188"/>
      <c r="U111" s="357">
        <f t="shared" si="88"/>
        <v>0</v>
      </c>
      <c r="V111" s="188"/>
      <c r="W111" s="188"/>
      <c r="X111" s="357">
        <f t="shared" si="89"/>
        <v>0</v>
      </c>
      <c r="Y111" s="358">
        <f t="shared" si="90"/>
        <v>215.51724137931035</v>
      </c>
      <c r="Z111" s="184">
        <f t="shared" si="58"/>
        <v>0</v>
      </c>
    </row>
    <row r="112" spans="1:26" hidden="1">
      <c r="A112" s="187">
        <v>3</v>
      </c>
      <c r="B112" s="328" t="s">
        <v>329</v>
      </c>
      <c r="C112" s="191" t="s">
        <v>168</v>
      </c>
      <c r="D112" s="284">
        <f>1</f>
        <v>1</v>
      </c>
      <c r="E112" s="187" t="s">
        <v>169</v>
      </c>
      <c r="F112" s="340">
        <v>3000</v>
      </c>
      <c r="G112" s="355">
        <f t="shared" si="94"/>
        <v>3000</v>
      </c>
      <c r="H112" s="356">
        <f t="shared" si="84"/>
        <v>3000</v>
      </c>
      <c r="I112" s="357"/>
      <c r="J112" s="357"/>
      <c r="K112" s="357">
        <f t="shared" si="85"/>
        <v>0</v>
      </c>
      <c r="L112" s="357"/>
      <c r="M112" s="357"/>
      <c r="N112" s="357">
        <f t="shared" si="86"/>
        <v>0</v>
      </c>
      <c r="O112" s="358">
        <f t="shared" si="87"/>
        <v>3000</v>
      </c>
      <c r="P112" s="359">
        <f t="shared" si="95"/>
        <v>431.0344827586207</v>
      </c>
      <c r="Q112" s="321">
        <v>1</v>
      </c>
      <c r="R112" s="188">
        <f t="shared" si="96"/>
        <v>431.0344827586207</v>
      </c>
      <c r="S112" s="188"/>
      <c r="T112" s="188"/>
      <c r="U112" s="357">
        <f t="shared" si="88"/>
        <v>0</v>
      </c>
      <c r="V112" s="188"/>
      <c r="W112" s="188"/>
      <c r="X112" s="357">
        <f t="shared" si="89"/>
        <v>0</v>
      </c>
      <c r="Y112" s="358">
        <f t="shared" si="90"/>
        <v>431.0344827586207</v>
      </c>
      <c r="Z112" s="184">
        <f t="shared" si="58"/>
        <v>0</v>
      </c>
    </row>
    <row r="113" spans="1:26">
      <c r="A113" s="187">
        <v>3</v>
      </c>
      <c r="B113" s="328" t="s">
        <v>329</v>
      </c>
      <c r="C113" s="191" t="s">
        <v>168</v>
      </c>
      <c r="D113" s="284">
        <f>1</f>
        <v>1</v>
      </c>
      <c r="E113" s="187" t="s">
        <v>169</v>
      </c>
      <c r="F113" s="340">
        <v>3000</v>
      </c>
      <c r="G113" s="355">
        <f t="shared" si="94"/>
        <v>3000</v>
      </c>
      <c r="H113" s="356">
        <f t="shared" si="84"/>
        <v>3000</v>
      </c>
      <c r="I113" s="357"/>
      <c r="J113" s="357"/>
      <c r="K113" s="357">
        <f t="shared" si="85"/>
        <v>0</v>
      </c>
      <c r="L113" s="357"/>
      <c r="M113" s="357"/>
      <c r="N113" s="357">
        <f t="shared" si="86"/>
        <v>0</v>
      </c>
      <c r="O113" s="358">
        <f t="shared" si="87"/>
        <v>3000</v>
      </c>
      <c r="P113" s="359">
        <f t="shared" si="95"/>
        <v>431.0344827586207</v>
      </c>
      <c r="Q113" s="321">
        <v>2</v>
      </c>
      <c r="R113" s="188">
        <f t="shared" si="96"/>
        <v>431.0344827586207</v>
      </c>
      <c r="S113" s="188"/>
      <c r="T113" s="188"/>
      <c r="U113" s="357">
        <f t="shared" si="88"/>
        <v>0</v>
      </c>
      <c r="V113" s="188"/>
      <c r="W113" s="188"/>
      <c r="X113" s="357">
        <f t="shared" si="89"/>
        <v>0</v>
      </c>
      <c r="Y113" s="358">
        <f t="shared" si="90"/>
        <v>431.0344827586207</v>
      </c>
      <c r="Z113" s="184">
        <f t="shared" si="58"/>
        <v>0</v>
      </c>
    </row>
    <row r="114" spans="1:26" hidden="1">
      <c r="A114" s="187">
        <v>3</v>
      </c>
      <c r="B114" s="328" t="s">
        <v>329</v>
      </c>
      <c r="C114" s="191" t="s">
        <v>168</v>
      </c>
      <c r="D114" s="284">
        <f>1</f>
        <v>1</v>
      </c>
      <c r="E114" s="187" t="s">
        <v>169</v>
      </c>
      <c r="F114" s="340">
        <v>3000</v>
      </c>
      <c r="G114" s="355">
        <f t="shared" si="94"/>
        <v>3000</v>
      </c>
      <c r="H114" s="356">
        <f t="shared" si="84"/>
        <v>3000</v>
      </c>
      <c r="I114" s="357"/>
      <c r="J114" s="357"/>
      <c r="K114" s="357">
        <f t="shared" si="85"/>
        <v>0</v>
      </c>
      <c r="L114" s="357"/>
      <c r="M114" s="357"/>
      <c r="N114" s="357">
        <f t="shared" si="86"/>
        <v>0</v>
      </c>
      <c r="O114" s="358">
        <f t="shared" si="87"/>
        <v>3000</v>
      </c>
      <c r="P114" s="359">
        <f t="shared" si="95"/>
        <v>431.0344827586207</v>
      </c>
      <c r="Q114" s="321">
        <v>3</v>
      </c>
      <c r="R114" s="188">
        <f t="shared" si="96"/>
        <v>431.0344827586207</v>
      </c>
      <c r="S114" s="188"/>
      <c r="T114" s="188"/>
      <c r="U114" s="357">
        <f t="shared" si="88"/>
        <v>0</v>
      </c>
      <c r="V114" s="188"/>
      <c r="W114" s="188"/>
      <c r="X114" s="357">
        <f t="shared" si="89"/>
        <v>0</v>
      </c>
      <c r="Y114" s="358">
        <f t="shared" si="90"/>
        <v>431.0344827586207</v>
      </c>
      <c r="Z114" s="184">
        <f t="shared" si="58"/>
        <v>0</v>
      </c>
    </row>
    <row r="115" spans="1:26" hidden="1">
      <c r="A115" s="187">
        <v>3</v>
      </c>
      <c r="B115" s="328" t="s">
        <v>329</v>
      </c>
      <c r="C115" s="191" t="s">
        <v>178</v>
      </c>
      <c r="D115" s="284">
        <v>60</v>
      </c>
      <c r="E115" s="187" t="s">
        <v>170</v>
      </c>
      <c r="F115" s="340">
        <v>400</v>
      </c>
      <c r="G115" s="355">
        <f t="shared" si="94"/>
        <v>24000</v>
      </c>
      <c r="H115" s="356">
        <f t="shared" si="84"/>
        <v>24000</v>
      </c>
      <c r="I115" s="357"/>
      <c r="J115" s="357"/>
      <c r="K115" s="357">
        <f t="shared" si="85"/>
        <v>0</v>
      </c>
      <c r="L115" s="357"/>
      <c r="M115" s="357"/>
      <c r="N115" s="357">
        <f t="shared" si="86"/>
        <v>0</v>
      </c>
      <c r="O115" s="358">
        <f t="shared" si="87"/>
        <v>24000</v>
      </c>
      <c r="P115" s="359">
        <f t="shared" si="95"/>
        <v>3448.2758620689656</v>
      </c>
      <c r="Q115" s="321">
        <v>1</v>
      </c>
      <c r="R115" s="188">
        <f t="shared" si="96"/>
        <v>3448.2758620689656</v>
      </c>
      <c r="S115" s="188"/>
      <c r="T115" s="188"/>
      <c r="U115" s="357">
        <f t="shared" si="88"/>
        <v>0</v>
      </c>
      <c r="V115" s="188"/>
      <c r="W115" s="188"/>
      <c r="X115" s="357">
        <f t="shared" si="89"/>
        <v>0</v>
      </c>
      <c r="Y115" s="358">
        <f t="shared" si="90"/>
        <v>3448.2758620689656</v>
      </c>
      <c r="Z115" s="184">
        <f t="shared" si="58"/>
        <v>0</v>
      </c>
    </row>
    <row r="116" spans="1:26">
      <c r="A116" s="187">
        <v>3</v>
      </c>
      <c r="B116" s="328" t="s">
        <v>329</v>
      </c>
      <c r="C116" s="191" t="s">
        <v>178</v>
      </c>
      <c r="D116" s="284">
        <f>30</f>
        <v>30</v>
      </c>
      <c r="E116" s="187" t="s">
        <v>170</v>
      </c>
      <c r="F116" s="340">
        <v>400</v>
      </c>
      <c r="G116" s="355">
        <f t="shared" si="94"/>
        <v>12000</v>
      </c>
      <c r="H116" s="356">
        <f t="shared" si="84"/>
        <v>12000</v>
      </c>
      <c r="I116" s="357"/>
      <c r="J116" s="357"/>
      <c r="K116" s="357">
        <f t="shared" si="85"/>
        <v>0</v>
      </c>
      <c r="L116" s="357"/>
      <c r="M116" s="357"/>
      <c r="N116" s="357">
        <f t="shared" si="86"/>
        <v>0</v>
      </c>
      <c r="O116" s="358">
        <f t="shared" si="87"/>
        <v>12000</v>
      </c>
      <c r="P116" s="359">
        <f t="shared" si="95"/>
        <v>1724.1379310344828</v>
      </c>
      <c r="Q116" s="321">
        <v>2</v>
      </c>
      <c r="R116" s="188">
        <f t="shared" si="96"/>
        <v>1724.1379310344828</v>
      </c>
      <c r="S116" s="188"/>
      <c r="T116" s="188"/>
      <c r="U116" s="357">
        <f t="shared" si="88"/>
        <v>0</v>
      </c>
      <c r="V116" s="188"/>
      <c r="W116" s="188"/>
      <c r="X116" s="357">
        <f t="shared" si="89"/>
        <v>0</v>
      </c>
      <c r="Y116" s="358">
        <f t="shared" si="90"/>
        <v>1724.1379310344828</v>
      </c>
      <c r="Z116" s="184">
        <f t="shared" si="58"/>
        <v>0</v>
      </c>
    </row>
    <row r="117" spans="1:26" hidden="1">
      <c r="A117" s="187">
        <v>3</v>
      </c>
      <c r="B117" s="328" t="s">
        <v>329</v>
      </c>
      <c r="C117" s="191" t="s">
        <v>178</v>
      </c>
      <c r="D117" s="284">
        <v>0</v>
      </c>
      <c r="E117" s="187" t="s">
        <v>170</v>
      </c>
      <c r="F117" s="340">
        <v>400</v>
      </c>
      <c r="G117" s="355">
        <f t="shared" si="94"/>
        <v>0</v>
      </c>
      <c r="H117" s="356">
        <f t="shared" si="84"/>
        <v>0</v>
      </c>
      <c r="I117" s="357"/>
      <c r="J117" s="357"/>
      <c r="K117" s="357">
        <f t="shared" si="85"/>
        <v>0</v>
      </c>
      <c r="L117" s="357"/>
      <c r="M117" s="357"/>
      <c r="N117" s="357">
        <f t="shared" si="86"/>
        <v>0</v>
      </c>
      <c r="O117" s="358">
        <f t="shared" si="87"/>
        <v>0</v>
      </c>
      <c r="P117" s="359">
        <f t="shared" si="95"/>
        <v>0</v>
      </c>
      <c r="Q117" s="321">
        <v>3</v>
      </c>
      <c r="R117" s="188">
        <f t="shared" si="96"/>
        <v>0</v>
      </c>
      <c r="S117" s="188"/>
      <c r="T117" s="188"/>
      <c r="U117" s="357">
        <f t="shared" si="88"/>
        <v>0</v>
      </c>
      <c r="V117" s="188"/>
      <c r="W117" s="188"/>
      <c r="X117" s="357">
        <f t="shared" si="89"/>
        <v>0</v>
      </c>
      <c r="Y117" s="358">
        <f t="shared" si="90"/>
        <v>0</v>
      </c>
      <c r="Z117" s="184">
        <f t="shared" si="58"/>
        <v>0</v>
      </c>
    </row>
    <row r="118" spans="1:26" hidden="1">
      <c r="A118" s="187">
        <v>3</v>
      </c>
      <c r="B118" s="328" t="s">
        <v>329</v>
      </c>
      <c r="C118" s="191" t="s">
        <v>179</v>
      </c>
      <c r="D118" s="284">
        <f>1</f>
        <v>1</v>
      </c>
      <c r="E118" s="187" t="s">
        <v>92</v>
      </c>
      <c r="F118" s="340">
        <v>6000</v>
      </c>
      <c r="G118" s="355">
        <f t="shared" si="94"/>
        <v>6000</v>
      </c>
      <c r="H118" s="356">
        <f t="shared" si="84"/>
        <v>6000</v>
      </c>
      <c r="I118" s="357"/>
      <c r="J118" s="357"/>
      <c r="K118" s="357">
        <f t="shared" si="85"/>
        <v>0</v>
      </c>
      <c r="L118" s="357"/>
      <c r="M118" s="357"/>
      <c r="N118" s="357">
        <f t="shared" si="86"/>
        <v>0</v>
      </c>
      <c r="O118" s="358">
        <f t="shared" si="87"/>
        <v>6000</v>
      </c>
      <c r="P118" s="359">
        <f t="shared" si="95"/>
        <v>862.06896551724139</v>
      </c>
      <c r="Q118" s="321">
        <v>1</v>
      </c>
      <c r="R118" s="188">
        <f t="shared" si="96"/>
        <v>862.06896551724139</v>
      </c>
      <c r="S118" s="188"/>
      <c r="T118" s="188"/>
      <c r="U118" s="357">
        <f t="shared" si="88"/>
        <v>0</v>
      </c>
      <c r="V118" s="188"/>
      <c r="W118" s="188"/>
      <c r="X118" s="357">
        <f t="shared" si="89"/>
        <v>0</v>
      </c>
      <c r="Y118" s="358">
        <f t="shared" si="90"/>
        <v>862.06896551724139</v>
      </c>
      <c r="Z118" s="184">
        <f t="shared" si="58"/>
        <v>0</v>
      </c>
    </row>
    <row r="119" spans="1:26">
      <c r="A119" s="187">
        <v>3</v>
      </c>
      <c r="B119" s="328" t="s">
        <v>329</v>
      </c>
      <c r="C119" s="191" t="s">
        <v>179</v>
      </c>
      <c r="D119" s="284">
        <f>1</f>
        <v>1</v>
      </c>
      <c r="E119" s="187" t="s">
        <v>92</v>
      </c>
      <c r="F119" s="340">
        <v>6000</v>
      </c>
      <c r="G119" s="355">
        <f t="shared" si="94"/>
        <v>6000</v>
      </c>
      <c r="H119" s="356">
        <f t="shared" si="84"/>
        <v>6000</v>
      </c>
      <c r="I119" s="357"/>
      <c r="J119" s="357"/>
      <c r="K119" s="357">
        <f t="shared" si="85"/>
        <v>0</v>
      </c>
      <c r="L119" s="357"/>
      <c r="M119" s="357"/>
      <c r="N119" s="357">
        <f t="shared" si="86"/>
        <v>0</v>
      </c>
      <c r="O119" s="358">
        <f t="shared" si="87"/>
        <v>6000</v>
      </c>
      <c r="P119" s="359">
        <f t="shared" si="95"/>
        <v>862.06896551724139</v>
      </c>
      <c r="Q119" s="321">
        <v>2</v>
      </c>
      <c r="R119" s="188">
        <f t="shared" si="96"/>
        <v>862.06896551724139</v>
      </c>
      <c r="S119" s="188"/>
      <c r="T119" s="188"/>
      <c r="U119" s="357">
        <f t="shared" si="88"/>
        <v>0</v>
      </c>
      <c r="V119" s="188"/>
      <c r="W119" s="188"/>
      <c r="X119" s="357">
        <f t="shared" si="89"/>
        <v>0</v>
      </c>
      <c r="Y119" s="358">
        <f t="shared" si="90"/>
        <v>862.06896551724139</v>
      </c>
      <c r="Z119" s="184">
        <f t="shared" si="58"/>
        <v>0</v>
      </c>
    </row>
    <row r="120" spans="1:26" hidden="1">
      <c r="A120" s="187">
        <v>3</v>
      </c>
      <c r="B120" s="328" t="s">
        <v>329</v>
      </c>
      <c r="C120" s="191" t="s">
        <v>179</v>
      </c>
      <c r="D120" s="284">
        <f>1</f>
        <v>1</v>
      </c>
      <c r="E120" s="187" t="s">
        <v>92</v>
      </c>
      <c r="F120" s="340">
        <v>6000</v>
      </c>
      <c r="G120" s="355">
        <f t="shared" si="94"/>
        <v>6000</v>
      </c>
      <c r="H120" s="356">
        <f t="shared" si="84"/>
        <v>6000</v>
      </c>
      <c r="I120" s="357"/>
      <c r="J120" s="357"/>
      <c r="K120" s="357">
        <f t="shared" si="85"/>
        <v>0</v>
      </c>
      <c r="L120" s="357"/>
      <c r="M120" s="357"/>
      <c r="N120" s="357">
        <f t="shared" si="86"/>
        <v>0</v>
      </c>
      <c r="O120" s="358">
        <f t="shared" si="87"/>
        <v>6000</v>
      </c>
      <c r="P120" s="359">
        <f t="shared" si="95"/>
        <v>862.06896551724139</v>
      </c>
      <c r="Q120" s="321">
        <v>3</v>
      </c>
      <c r="R120" s="188">
        <f t="shared" si="96"/>
        <v>862.06896551724139</v>
      </c>
      <c r="S120" s="188"/>
      <c r="T120" s="188"/>
      <c r="U120" s="357">
        <f t="shared" si="88"/>
        <v>0</v>
      </c>
      <c r="V120" s="188"/>
      <c r="W120" s="188"/>
      <c r="X120" s="357">
        <f t="shared" si="89"/>
        <v>0</v>
      </c>
      <c r="Y120" s="358">
        <f t="shared" si="90"/>
        <v>862.06896551724139</v>
      </c>
      <c r="Z120" s="184">
        <f t="shared" si="58"/>
        <v>0</v>
      </c>
    </row>
    <row r="121" spans="1:26" hidden="1">
      <c r="A121" s="187">
        <v>3</v>
      </c>
      <c r="B121" s="328" t="s">
        <v>329</v>
      </c>
      <c r="C121" s="191" t="s">
        <v>266</v>
      </c>
      <c r="D121" s="284">
        <f>1</f>
        <v>1</v>
      </c>
      <c r="E121" s="187" t="s">
        <v>92</v>
      </c>
      <c r="F121" s="340">
        <v>3000</v>
      </c>
      <c r="G121" s="355">
        <f t="shared" si="94"/>
        <v>3000</v>
      </c>
      <c r="H121" s="356">
        <f t="shared" si="84"/>
        <v>3000</v>
      </c>
      <c r="I121" s="357"/>
      <c r="J121" s="357"/>
      <c r="K121" s="357">
        <f t="shared" si="85"/>
        <v>0</v>
      </c>
      <c r="L121" s="357"/>
      <c r="M121" s="357"/>
      <c r="N121" s="357">
        <f t="shared" si="86"/>
        <v>0</v>
      </c>
      <c r="O121" s="358">
        <f t="shared" si="87"/>
        <v>3000</v>
      </c>
      <c r="P121" s="359">
        <f t="shared" si="95"/>
        <v>431.0344827586207</v>
      </c>
      <c r="Q121" s="321">
        <v>1</v>
      </c>
      <c r="R121" s="188">
        <f t="shared" si="96"/>
        <v>431.0344827586207</v>
      </c>
      <c r="S121" s="188"/>
      <c r="T121" s="188"/>
      <c r="U121" s="357">
        <f t="shared" si="88"/>
        <v>0</v>
      </c>
      <c r="V121" s="188"/>
      <c r="W121" s="188"/>
      <c r="X121" s="357">
        <f t="shared" si="89"/>
        <v>0</v>
      </c>
      <c r="Y121" s="358">
        <f t="shared" si="90"/>
        <v>431.0344827586207</v>
      </c>
      <c r="Z121" s="184">
        <f t="shared" si="58"/>
        <v>0</v>
      </c>
    </row>
    <row r="122" spans="1:26">
      <c r="A122" s="187">
        <v>3</v>
      </c>
      <c r="B122" s="328" t="s">
        <v>329</v>
      </c>
      <c r="C122" s="191" t="s">
        <v>266</v>
      </c>
      <c r="D122" s="284">
        <f>1</f>
        <v>1</v>
      </c>
      <c r="E122" s="187" t="s">
        <v>92</v>
      </c>
      <c r="F122" s="340">
        <v>3000</v>
      </c>
      <c r="G122" s="355">
        <f t="shared" si="94"/>
        <v>3000</v>
      </c>
      <c r="H122" s="356">
        <f t="shared" si="84"/>
        <v>3000</v>
      </c>
      <c r="I122" s="357"/>
      <c r="J122" s="357"/>
      <c r="K122" s="357">
        <f t="shared" si="85"/>
        <v>0</v>
      </c>
      <c r="L122" s="357"/>
      <c r="M122" s="357"/>
      <c r="N122" s="357">
        <f t="shared" si="86"/>
        <v>0</v>
      </c>
      <c r="O122" s="358">
        <f t="shared" si="87"/>
        <v>3000</v>
      </c>
      <c r="P122" s="359">
        <f t="shared" si="95"/>
        <v>431.0344827586207</v>
      </c>
      <c r="Q122" s="321">
        <v>2</v>
      </c>
      <c r="R122" s="188">
        <f t="shared" si="96"/>
        <v>431.0344827586207</v>
      </c>
      <c r="S122" s="188"/>
      <c r="T122" s="188"/>
      <c r="U122" s="357">
        <f t="shared" si="88"/>
        <v>0</v>
      </c>
      <c r="V122" s="188"/>
      <c r="W122" s="188"/>
      <c r="X122" s="357">
        <f t="shared" si="89"/>
        <v>0</v>
      </c>
      <c r="Y122" s="358">
        <f t="shared" si="90"/>
        <v>431.0344827586207</v>
      </c>
      <c r="Z122" s="184">
        <f t="shared" si="58"/>
        <v>0</v>
      </c>
    </row>
    <row r="123" spans="1:26" hidden="1">
      <c r="A123" s="187">
        <v>3</v>
      </c>
      <c r="B123" s="328" t="s">
        <v>329</v>
      </c>
      <c r="C123" s="191" t="s">
        <v>266</v>
      </c>
      <c r="D123" s="284">
        <f>1</f>
        <v>1</v>
      </c>
      <c r="E123" s="187" t="s">
        <v>92</v>
      </c>
      <c r="F123" s="340">
        <v>3000</v>
      </c>
      <c r="G123" s="355">
        <f t="shared" si="94"/>
        <v>3000</v>
      </c>
      <c r="H123" s="356">
        <f t="shared" si="84"/>
        <v>3000</v>
      </c>
      <c r="I123" s="357"/>
      <c r="J123" s="357"/>
      <c r="K123" s="357">
        <f t="shared" si="85"/>
        <v>0</v>
      </c>
      <c r="L123" s="357"/>
      <c r="M123" s="357"/>
      <c r="N123" s="357">
        <f t="shared" si="86"/>
        <v>0</v>
      </c>
      <c r="O123" s="358">
        <f t="shared" si="87"/>
        <v>3000</v>
      </c>
      <c r="P123" s="359">
        <f t="shared" si="95"/>
        <v>431.0344827586207</v>
      </c>
      <c r="Q123" s="321">
        <v>3</v>
      </c>
      <c r="R123" s="188">
        <f t="shared" si="96"/>
        <v>431.0344827586207</v>
      </c>
      <c r="S123" s="188"/>
      <c r="T123" s="188"/>
      <c r="U123" s="357">
        <f t="shared" si="88"/>
        <v>0</v>
      </c>
      <c r="V123" s="188"/>
      <c r="W123" s="188"/>
      <c r="X123" s="357">
        <f t="shared" si="89"/>
        <v>0</v>
      </c>
      <c r="Y123" s="358">
        <f t="shared" si="90"/>
        <v>431.0344827586207</v>
      </c>
      <c r="Z123" s="184">
        <f t="shared" si="58"/>
        <v>0</v>
      </c>
    </row>
    <row r="124" spans="1:26" hidden="1">
      <c r="A124" s="187">
        <v>3</v>
      </c>
      <c r="B124" s="328" t="s">
        <v>329</v>
      </c>
      <c r="C124" s="191" t="s">
        <v>180</v>
      </c>
      <c r="D124" s="284">
        <v>1</v>
      </c>
      <c r="E124" s="187" t="s">
        <v>76</v>
      </c>
      <c r="F124" s="340">
        <v>10000</v>
      </c>
      <c r="G124" s="355">
        <f t="shared" si="94"/>
        <v>10000</v>
      </c>
      <c r="H124" s="356">
        <f t="shared" si="84"/>
        <v>10000</v>
      </c>
      <c r="I124" s="357"/>
      <c r="J124" s="357"/>
      <c r="K124" s="357">
        <f t="shared" si="85"/>
        <v>0</v>
      </c>
      <c r="L124" s="357"/>
      <c r="M124" s="357"/>
      <c r="N124" s="357">
        <f t="shared" si="86"/>
        <v>0</v>
      </c>
      <c r="O124" s="358">
        <f t="shared" si="87"/>
        <v>10000</v>
      </c>
      <c r="P124" s="359">
        <f t="shared" si="95"/>
        <v>1436.7816091954023</v>
      </c>
      <c r="Q124" s="321">
        <v>1</v>
      </c>
      <c r="R124" s="188">
        <f t="shared" si="96"/>
        <v>1436.7816091954023</v>
      </c>
      <c r="S124" s="188"/>
      <c r="T124" s="188"/>
      <c r="U124" s="357">
        <f t="shared" si="88"/>
        <v>0</v>
      </c>
      <c r="V124" s="188"/>
      <c r="W124" s="188"/>
      <c r="X124" s="357">
        <f t="shared" si="89"/>
        <v>0</v>
      </c>
      <c r="Y124" s="358">
        <f t="shared" si="90"/>
        <v>1436.7816091954023</v>
      </c>
      <c r="Z124" s="184">
        <f t="shared" si="58"/>
        <v>0</v>
      </c>
    </row>
    <row r="125" spans="1:26" hidden="1">
      <c r="A125" s="187">
        <v>3</v>
      </c>
      <c r="B125" s="328" t="s">
        <v>329</v>
      </c>
      <c r="C125" s="191" t="s">
        <v>180</v>
      </c>
      <c r="D125" s="284">
        <v>0</v>
      </c>
      <c r="E125" s="187" t="s">
        <v>76</v>
      </c>
      <c r="F125" s="340">
        <v>10000</v>
      </c>
      <c r="G125" s="355">
        <f t="shared" si="94"/>
        <v>0</v>
      </c>
      <c r="H125" s="356">
        <f t="shared" si="84"/>
        <v>0</v>
      </c>
      <c r="I125" s="357"/>
      <c r="J125" s="357"/>
      <c r="K125" s="357">
        <f t="shared" si="85"/>
        <v>0</v>
      </c>
      <c r="L125" s="357"/>
      <c r="M125" s="357"/>
      <c r="N125" s="357">
        <f t="shared" si="86"/>
        <v>0</v>
      </c>
      <c r="O125" s="358">
        <f t="shared" si="87"/>
        <v>0</v>
      </c>
      <c r="P125" s="359">
        <f t="shared" si="95"/>
        <v>0</v>
      </c>
      <c r="Q125" s="321">
        <v>2</v>
      </c>
      <c r="R125" s="188">
        <f t="shared" si="96"/>
        <v>0</v>
      </c>
      <c r="S125" s="188"/>
      <c r="T125" s="188"/>
      <c r="U125" s="357">
        <f t="shared" si="88"/>
        <v>0</v>
      </c>
      <c r="V125" s="188"/>
      <c r="W125" s="188"/>
      <c r="X125" s="357">
        <f t="shared" si="89"/>
        <v>0</v>
      </c>
      <c r="Y125" s="358">
        <f t="shared" si="90"/>
        <v>0</v>
      </c>
      <c r="Z125" s="184">
        <f t="shared" si="58"/>
        <v>0</v>
      </c>
    </row>
    <row r="126" spans="1:26" hidden="1">
      <c r="A126" s="187">
        <v>3</v>
      </c>
      <c r="B126" s="328" t="s">
        <v>329</v>
      </c>
      <c r="C126" s="191" t="s">
        <v>180</v>
      </c>
      <c r="D126" s="284">
        <v>0</v>
      </c>
      <c r="E126" s="187" t="s">
        <v>76</v>
      </c>
      <c r="F126" s="340">
        <v>10000</v>
      </c>
      <c r="G126" s="355">
        <f t="shared" si="94"/>
        <v>0</v>
      </c>
      <c r="H126" s="356">
        <f t="shared" si="84"/>
        <v>0</v>
      </c>
      <c r="I126" s="357"/>
      <c r="J126" s="357"/>
      <c r="K126" s="357">
        <f t="shared" si="85"/>
        <v>0</v>
      </c>
      <c r="L126" s="357"/>
      <c r="M126" s="357"/>
      <c r="N126" s="357">
        <f t="shared" si="86"/>
        <v>0</v>
      </c>
      <c r="O126" s="358">
        <f t="shared" si="87"/>
        <v>0</v>
      </c>
      <c r="P126" s="359">
        <f t="shared" si="95"/>
        <v>0</v>
      </c>
      <c r="Q126" s="321">
        <v>3</v>
      </c>
      <c r="R126" s="188">
        <f t="shared" si="96"/>
        <v>0</v>
      </c>
      <c r="S126" s="188"/>
      <c r="T126" s="188"/>
      <c r="U126" s="357">
        <f t="shared" si="88"/>
        <v>0</v>
      </c>
      <c r="V126" s="188"/>
      <c r="W126" s="188"/>
      <c r="X126" s="357">
        <f t="shared" si="89"/>
        <v>0</v>
      </c>
      <c r="Y126" s="358">
        <f t="shared" si="90"/>
        <v>0</v>
      </c>
      <c r="Z126" s="184">
        <f t="shared" si="58"/>
        <v>0</v>
      </c>
    </row>
    <row r="127" spans="1:26" hidden="1">
      <c r="A127" s="219" t="s">
        <v>330</v>
      </c>
      <c r="B127" s="326"/>
      <c r="C127" s="220"/>
      <c r="D127" s="185"/>
      <c r="E127" s="185"/>
      <c r="F127" s="186"/>
      <c r="G127" s="207">
        <f t="shared" ref="G127:P127" si="97">SUM(G128:G139)</f>
        <v>30600</v>
      </c>
      <c r="H127" s="352">
        <f t="shared" si="97"/>
        <v>30600</v>
      </c>
      <c r="I127" s="353">
        <f t="shared" si="97"/>
        <v>0</v>
      </c>
      <c r="J127" s="353">
        <f t="shared" si="97"/>
        <v>0</v>
      </c>
      <c r="K127" s="353">
        <f t="shared" si="97"/>
        <v>0</v>
      </c>
      <c r="L127" s="353">
        <f t="shared" si="97"/>
        <v>0</v>
      </c>
      <c r="M127" s="353">
        <f t="shared" si="97"/>
        <v>0</v>
      </c>
      <c r="N127" s="353">
        <f t="shared" si="97"/>
        <v>0</v>
      </c>
      <c r="O127" s="354">
        <f t="shared" si="97"/>
        <v>30600</v>
      </c>
      <c r="P127" s="352">
        <f t="shared" si="97"/>
        <v>4396.5517241379303</v>
      </c>
      <c r="Q127" s="320"/>
      <c r="R127" s="181">
        <f t="shared" ref="R127:Y127" si="98">SUM(R128:R139)</f>
        <v>4396.5517241379303</v>
      </c>
      <c r="S127" s="181">
        <f t="shared" si="98"/>
        <v>0</v>
      </c>
      <c r="T127" s="181">
        <f t="shared" si="98"/>
        <v>0</v>
      </c>
      <c r="U127" s="353">
        <f t="shared" si="98"/>
        <v>0</v>
      </c>
      <c r="V127" s="181">
        <f t="shared" si="98"/>
        <v>0</v>
      </c>
      <c r="W127" s="181">
        <f t="shared" si="98"/>
        <v>0</v>
      </c>
      <c r="X127" s="353">
        <f t="shared" si="98"/>
        <v>0</v>
      </c>
      <c r="Y127" s="354">
        <f t="shared" si="98"/>
        <v>4396.5517241379303</v>
      </c>
      <c r="Z127" s="184">
        <f t="shared" si="58"/>
        <v>0</v>
      </c>
    </row>
    <row r="128" spans="1:26" ht="25.5" hidden="1">
      <c r="A128" s="187">
        <v>3</v>
      </c>
      <c r="B128" s="328" t="s">
        <v>330</v>
      </c>
      <c r="C128" s="189" t="s">
        <v>267</v>
      </c>
      <c r="D128" s="286">
        <f>1</f>
        <v>1</v>
      </c>
      <c r="E128" s="190" t="s">
        <v>79</v>
      </c>
      <c r="F128" s="339">
        <f>25*200</f>
        <v>5000</v>
      </c>
      <c r="G128" s="355">
        <f>D128*F128</f>
        <v>5000</v>
      </c>
      <c r="H128" s="356">
        <f t="shared" ref="H128:H139" si="99">R128*$Y$4</f>
        <v>5000</v>
      </c>
      <c r="I128" s="357"/>
      <c r="J128" s="357"/>
      <c r="K128" s="357">
        <f t="shared" ref="K128:K139" si="100">I128+J128</f>
        <v>0</v>
      </c>
      <c r="L128" s="357"/>
      <c r="M128" s="357"/>
      <c r="N128" s="357">
        <f t="shared" ref="N128:N139" si="101">L128+M128</f>
        <v>0</v>
      </c>
      <c r="O128" s="358">
        <f t="shared" ref="O128:O139" si="102">H128+K128+N128</f>
        <v>5000</v>
      </c>
      <c r="P128" s="359">
        <f>G128/$Y$4</f>
        <v>718.39080459770116</v>
      </c>
      <c r="Q128" s="321">
        <v>1</v>
      </c>
      <c r="R128" s="188">
        <f>P128</f>
        <v>718.39080459770116</v>
      </c>
      <c r="S128" s="188"/>
      <c r="T128" s="188"/>
      <c r="U128" s="357">
        <f t="shared" ref="U128:U139" si="103">S128+T128</f>
        <v>0</v>
      </c>
      <c r="V128" s="188"/>
      <c r="W128" s="188"/>
      <c r="X128" s="357">
        <f t="shared" ref="X128:X139" si="104">V128+W128</f>
        <v>0</v>
      </c>
      <c r="Y128" s="358">
        <f t="shared" ref="Y128:Y139" si="105">R128+U128+X128</f>
        <v>718.39080459770116</v>
      </c>
      <c r="Z128" s="184">
        <f t="shared" si="58"/>
        <v>0</v>
      </c>
    </row>
    <row r="129" spans="1:26" ht="25.5">
      <c r="A129" s="187">
        <v>3</v>
      </c>
      <c r="B129" s="328" t="s">
        <v>330</v>
      </c>
      <c r="C129" s="189" t="s">
        <v>267</v>
      </c>
      <c r="D129" s="286">
        <f>1</f>
        <v>1</v>
      </c>
      <c r="E129" s="190" t="s">
        <v>79</v>
      </c>
      <c r="F129" s="339">
        <f t="shared" ref="F129:F130" si="106">25*200</f>
        <v>5000</v>
      </c>
      <c r="G129" s="355">
        <f t="shared" ref="G129:G139" si="107">D129*F129</f>
        <v>5000</v>
      </c>
      <c r="H129" s="356">
        <f t="shared" si="99"/>
        <v>5000</v>
      </c>
      <c r="I129" s="357"/>
      <c r="J129" s="357"/>
      <c r="K129" s="357">
        <f t="shared" si="100"/>
        <v>0</v>
      </c>
      <c r="L129" s="357"/>
      <c r="M129" s="357"/>
      <c r="N129" s="357">
        <f t="shared" si="101"/>
        <v>0</v>
      </c>
      <c r="O129" s="358">
        <f t="shared" si="102"/>
        <v>5000</v>
      </c>
      <c r="P129" s="359">
        <f t="shared" ref="P129:P139" si="108">G129/$Y$4</f>
        <v>718.39080459770116</v>
      </c>
      <c r="Q129" s="321">
        <v>2</v>
      </c>
      <c r="R129" s="188">
        <f t="shared" ref="R129:R139" si="109">P129</f>
        <v>718.39080459770116</v>
      </c>
      <c r="S129" s="188"/>
      <c r="T129" s="188"/>
      <c r="U129" s="357">
        <f t="shared" si="103"/>
        <v>0</v>
      </c>
      <c r="V129" s="188"/>
      <c r="W129" s="188"/>
      <c r="X129" s="357">
        <f t="shared" si="104"/>
        <v>0</v>
      </c>
      <c r="Y129" s="358">
        <f t="shared" si="105"/>
        <v>718.39080459770116</v>
      </c>
      <c r="Z129" s="184">
        <f t="shared" si="58"/>
        <v>0</v>
      </c>
    </row>
    <row r="130" spans="1:26" ht="25.5" hidden="1">
      <c r="A130" s="187">
        <v>3</v>
      </c>
      <c r="B130" s="328" t="s">
        <v>330</v>
      </c>
      <c r="C130" s="189" t="s">
        <v>267</v>
      </c>
      <c r="D130" s="286">
        <f>1</f>
        <v>1</v>
      </c>
      <c r="E130" s="190" t="s">
        <v>79</v>
      </c>
      <c r="F130" s="339">
        <f t="shared" si="106"/>
        <v>5000</v>
      </c>
      <c r="G130" s="355">
        <f t="shared" si="107"/>
        <v>5000</v>
      </c>
      <c r="H130" s="356">
        <f t="shared" si="99"/>
        <v>5000</v>
      </c>
      <c r="I130" s="357"/>
      <c r="J130" s="357"/>
      <c r="K130" s="357">
        <f t="shared" si="100"/>
        <v>0</v>
      </c>
      <c r="L130" s="357"/>
      <c r="M130" s="357"/>
      <c r="N130" s="357">
        <f t="shared" si="101"/>
        <v>0</v>
      </c>
      <c r="O130" s="358">
        <f t="shared" si="102"/>
        <v>5000</v>
      </c>
      <c r="P130" s="359">
        <f t="shared" si="108"/>
        <v>718.39080459770116</v>
      </c>
      <c r="Q130" s="321">
        <v>3</v>
      </c>
      <c r="R130" s="188">
        <f t="shared" si="109"/>
        <v>718.39080459770116</v>
      </c>
      <c r="S130" s="188"/>
      <c r="T130" s="188"/>
      <c r="U130" s="357">
        <f t="shared" si="103"/>
        <v>0</v>
      </c>
      <c r="V130" s="188"/>
      <c r="W130" s="188"/>
      <c r="X130" s="357">
        <f t="shared" si="104"/>
        <v>0</v>
      </c>
      <c r="Y130" s="358">
        <f t="shared" si="105"/>
        <v>718.39080459770116</v>
      </c>
      <c r="Z130" s="184">
        <f t="shared" si="58"/>
        <v>0</v>
      </c>
    </row>
    <row r="131" spans="1:26" ht="25.5" hidden="1">
      <c r="A131" s="187">
        <v>3</v>
      </c>
      <c r="B131" s="328" t="s">
        <v>330</v>
      </c>
      <c r="C131" s="189" t="s">
        <v>240</v>
      </c>
      <c r="D131" s="286">
        <v>25</v>
      </c>
      <c r="E131" s="190" t="s">
        <v>144</v>
      </c>
      <c r="F131" s="339">
        <f>3*40</f>
        <v>120</v>
      </c>
      <c r="G131" s="355">
        <f t="shared" si="107"/>
        <v>3000</v>
      </c>
      <c r="H131" s="356">
        <f t="shared" si="99"/>
        <v>3000</v>
      </c>
      <c r="I131" s="357"/>
      <c r="J131" s="357"/>
      <c r="K131" s="357">
        <f t="shared" si="100"/>
        <v>0</v>
      </c>
      <c r="L131" s="357"/>
      <c r="M131" s="357"/>
      <c r="N131" s="357">
        <f t="shared" si="101"/>
        <v>0</v>
      </c>
      <c r="O131" s="358">
        <f t="shared" si="102"/>
        <v>3000</v>
      </c>
      <c r="P131" s="359">
        <f t="shared" si="108"/>
        <v>431.0344827586207</v>
      </c>
      <c r="Q131" s="321">
        <v>1</v>
      </c>
      <c r="R131" s="188">
        <f t="shared" si="109"/>
        <v>431.0344827586207</v>
      </c>
      <c r="S131" s="188"/>
      <c r="T131" s="188"/>
      <c r="U131" s="357">
        <f t="shared" si="103"/>
        <v>0</v>
      </c>
      <c r="V131" s="188"/>
      <c r="W131" s="188"/>
      <c r="X131" s="357">
        <f t="shared" si="104"/>
        <v>0</v>
      </c>
      <c r="Y131" s="358">
        <f t="shared" si="105"/>
        <v>431.0344827586207</v>
      </c>
      <c r="Z131" s="184">
        <f t="shared" si="58"/>
        <v>0</v>
      </c>
    </row>
    <row r="132" spans="1:26" ht="25.5">
      <c r="A132" s="187">
        <v>3</v>
      </c>
      <c r="B132" s="328" t="s">
        <v>330</v>
      </c>
      <c r="C132" s="189" t="s">
        <v>240</v>
      </c>
      <c r="D132" s="286">
        <v>25</v>
      </c>
      <c r="E132" s="190" t="s">
        <v>144</v>
      </c>
      <c r="F132" s="339">
        <f t="shared" ref="F132:F133" si="110">3*40</f>
        <v>120</v>
      </c>
      <c r="G132" s="355">
        <f t="shared" si="107"/>
        <v>3000</v>
      </c>
      <c r="H132" s="356">
        <f t="shared" si="99"/>
        <v>3000</v>
      </c>
      <c r="I132" s="357"/>
      <c r="J132" s="357"/>
      <c r="K132" s="357">
        <f t="shared" si="100"/>
        <v>0</v>
      </c>
      <c r="L132" s="357"/>
      <c r="M132" s="357"/>
      <c r="N132" s="357">
        <f t="shared" si="101"/>
        <v>0</v>
      </c>
      <c r="O132" s="358">
        <f t="shared" si="102"/>
        <v>3000</v>
      </c>
      <c r="P132" s="359">
        <f t="shared" si="108"/>
        <v>431.0344827586207</v>
      </c>
      <c r="Q132" s="321">
        <v>2</v>
      </c>
      <c r="R132" s="188">
        <f t="shared" si="109"/>
        <v>431.0344827586207</v>
      </c>
      <c r="S132" s="188"/>
      <c r="T132" s="188"/>
      <c r="U132" s="357">
        <f t="shared" si="103"/>
        <v>0</v>
      </c>
      <c r="V132" s="188"/>
      <c r="W132" s="188"/>
      <c r="X132" s="357">
        <f t="shared" si="104"/>
        <v>0</v>
      </c>
      <c r="Y132" s="358">
        <f t="shared" si="105"/>
        <v>431.0344827586207</v>
      </c>
      <c r="Z132" s="184">
        <f t="shared" si="58"/>
        <v>0</v>
      </c>
    </row>
    <row r="133" spans="1:26" ht="25.5" hidden="1">
      <c r="A133" s="187">
        <v>3</v>
      </c>
      <c r="B133" s="328" t="s">
        <v>330</v>
      </c>
      <c r="C133" s="189" t="s">
        <v>240</v>
      </c>
      <c r="D133" s="286">
        <v>25</v>
      </c>
      <c r="E133" s="190" t="s">
        <v>144</v>
      </c>
      <c r="F133" s="339">
        <f t="shared" si="110"/>
        <v>120</v>
      </c>
      <c r="G133" s="355">
        <f t="shared" si="107"/>
        <v>3000</v>
      </c>
      <c r="H133" s="356">
        <f t="shared" si="99"/>
        <v>3000</v>
      </c>
      <c r="I133" s="357"/>
      <c r="J133" s="357"/>
      <c r="K133" s="357">
        <f t="shared" si="100"/>
        <v>0</v>
      </c>
      <c r="L133" s="357"/>
      <c r="M133" s="357"/>
      <c r="N133" s="357">
        <f t="shared" si="101"/>
        <v>0</v>
      </c>
      <c r="O133" s="358">
        <f t="shared" si="102"/>
        <v>3000</v>
      </c>
      <c r="P133" s="359">
        <f t="shared" si="108"/>
        <v>431.0344827586207</v>
      </c>
      <c r="Q133" s="321">
        <v>3</v>
      </c>
      <c r="R133" s="188">
        <f t="shared" si="109"/>
        <v>431.0344827586207</v>
      </c>
      <c r="S133" s="188"/>
      <c r="T133" s="188"/>
      <c r="U133" s="357">
        <f t="shared" si="103"/>
        <v>0</v>
      </c>
      <c r="V133" s="188"/>
      <c r="W133" s="188"/>
      <c r="X133" s="357">
        <f t="shared" si="104"/>
        <v>0</v>
      </c>
      <c r="Y133" s="358">
        <f t="shared" si="105"/>
        <v>431.0344827586207</v>
      </c>
      <c r="Z133" s="184">
        <f t="shared" si="58"/>
        <v>0</v>
      </c>
    </row>
    <row r="134" spans="1:26" ht="25.5" hidden="1">
      <c r="A134" s="187">
        <v>3</v>
      </c>
      <c r="B134" s="328" t="s">
        <v>330</v>
      </c>
      <c r="C134" s="189" t="s">
        <v>268</v>
      </c>
      <c r="D134" s="286">
        <v>25</v>
      </c>
      <c r="E134" s="190" t="s">
        <v>144</v>
      </c>
      <c r="F134" s="339">
        <f>2*40</f>
        <v>80</v>
      </c>
      <c r="G134" s="355">
        <f t="shared" si="107"/>
        <v>2000</v>
      </c>
      <c r="H134" s="356">
        <f t="shared" si="99"/>
        <v>2000</v>
      </c>
      <c r="I134" s="357"/>
      <c r="J134" s="357"/>
      <c r="K134" s="357">
        <f t="shared" si="100"/>
        <v>0</v>
      </c>
      <c r="L134" s="357"/>
      <c r="M134" s="357"/>
      <c r="N134" s="357">
        <f t="shared" si="101"/>
        <v>0</v>
      </c>
      <c r="O134" s="358">
        <f t="shared" si="102"/>
        <v>2000</v>
      </c>
      <c r="P134" s="359">
        <f t="shared" si="108"/>
        <v>287.35632183908046</v>
      </c>
      <c r="Q134" s="321">
        <v>1</v>
      </c>
      <c r="R134" s="188">
        <f t="shared" si="109"/>
        <v>287.35632183908046</v>
      </c>
      <c r="S134" s="188"/>
      <c r="T134" s="188"/>
      <c r="U134" s="357">
        <f t="shared" si="103"/>
        <v>0</v>
      </c>
      <c r="V134" s="188"/>
      <c r="W134" s="188"/>
      <c r="X134" s="357">
        <f t="shared" si="104"/>
        <v>0</v>
      </c>
      <c r="Y134" s="358">
        <f t="shared" si="105"/>
        <v>287.35632183908046</v>
      </c>
      <c r="Z134" s="184">
        <f t="shared" si="58"/>
        <v>0</v>
      </c>
    </row>
    <row r="135" spans="1:26" ht="25.5">
      <c r="A135" s="187">
        <v>3</v>
      </c>
      <c r="B135" s="328" t="s">
        <v>330</v>
      </c>
      <c r="C135" s="189" t="s">
        <v>268</v>
      </c>
      <c r="D135" s="286">
        <v>25</v>
      </c>
      <c r="E135" s="190" t="s">
        <v>144</v>
      </c>
      <c r="F135" s="339">
        <f t="shared" ref="F135:F136" si="111">2*40</f>
        <v>80</v>
      </c>
      <c r="G135" s="355">
        <f t="shared" si="107"/>
        <v>2000</v>
      </c>
      <c r="H135" s="356">
        <f t="shared" si="99"/>
        <v>2000</v>
      </c>
      <c r="I135" s="357"/>
      <c r="J135" s="357"/>
      <c r="K135" s="357">
        <f t="shared" si="100"/>
        <v>0</v>
      </c>
      <c r="L135" s="357"/>
      <c r="M135" s="357"/>
      <c r="N135" s="357">
        <f t="shared" si="101"/>
        <v>0</v>
      </c>
      <c r="O135" s="358">
        <f t="shared" si="102"/>
        <v>2000</v>
      </c>
      <c r="P135" s="359">
        <f t="shared" si="108"/>
        <v>287.35632183908046</v>
      </c>
      <c r="Q135" s="321">
        <v>2</v>
      </c>
      <c r="R135" s="188">
        <f t="shared" si="109"/>
        <v>287.35632183908046</v>
      </c>
      <c r="S135" s="188"/>
      <c r="T135" s="188"/>
      <c r="U135" s="357">
        <f t="shared" si="103"/>
        <v>0</v>
      </c>
      <c r="V135" s="188"/>
      <c r="W135" s="188"/>
      <c r="X135" s="357">
        <f t="shared" si="104"/>
        <v>0</v>
      </c>
      <c r="Y135" s="358">
        <f t="shared" si="105"/>
        <v>287.35632183908046</v>
      </c>
      <c r="Z135" s="184">
        <f t="shared" si="58"/>
        <v>0</v>
      </c>
    </row>
    <row r="136" spans="1:26" ht="25.5" hidden="1">
      <c r="A136" s="187">
        <v>3</v>
      </c>
      <c r="B136" s="328" t="s">
        <v>330</v>
      </c>
      <c r="C136" s="189" t="s">
        <v>268</v>
      </c>
      <c r="D136" s="286">
        <v>25</v>
      </c>
      <c r="E136" s="190" t="s">
        <v>144</v>
      </c>
      <c r="F136" s="339">
        <f t="shared" si="111"/>
        <v>80</v>
      </c>
      <c r="G136" s="355">
        <f t="shared" si="107"/>
        <v>2000</v>
      </c>
      <c r="H136" s="356">
        <f t="shared" si="99"/>
        <v>2000</v>
      </c>
      <c r="I136" s="357"/>
      <c r="J136" s="357"/>
      <c r="K136" s="357">
        <f t="shared" si="100"/>
        <v>0</v>
      </c>
      <c r="L136" s="357"/>
      <c r="M136" s="357"/>
      <c r="N136" s="357">
        <f t="shared" si="101"/>
        <v>0</v>
      </c>
      <c r="O136" s="358">
        <f t="shared" si="102"/>
        <v>2000</v>
      </c>
      <c r="P136" s="359">
        <f t="shared" si="108"/>
        <v>287.35632183908046</v>
      </c>
      <c r="Q136" s="321">
        <v>3</v>
      </c>
      <c r="R136" s="188">
        <f t="shared" si="109"/>
        <v>287.35632183908046</v>
      </c>
      <c r="S136" s="188"/>
      <c r="T136" s="188"/>
      <c r="U136" s="357">
        <f t="shared" si="103"/>
        <v>0</v>
      </c>
      <c r="V136" s="188"/>
      <c r="W136" s="188"/>
      <c r="X136" s="357">
        <f t="shared" si="104"/>
        <v>0</v>
      </c>
      <c r="Y136" s="358">
        <f t="shared" si="105"/>
        <v>287.35632183908046</v>
      </c>
      <c r="Z136" s="184">
        <f t="shared" si="58"/>
        <v>0</v>
      </c>
    </row>
    <row r="137" spans="1:26" ht="25.5" hidden="1">
      <c r="A137" s="187">
        <v>3</v>
      </c>
      <c r="B137" s="328" t="s">
        <v>330</v>
      </c>
      <c r="C137" s="189" t="s">
        <v>185</v>
      </c>
      <c r="D137" s="286">
        <f>1</f>
        <v>1</v>
      </c>
      <c r="E137" s="190" t="s">
        <v>186</v>
      </c>
      <c r="F137" s="339">
        <v>200</v>
      </c>
      <c r="G137" s="355">
        <f t="shared" si="107"/>
        <v>200</v>
      </c>
      <c r="H137" s="356">
        <f t="shared" si="99"/>
        <v>200</v>
      </c>
      <c r="I137" s="357"/>
      <c r="J137" s="357"/>
      <c r="K137" s="357">
        <f t="shared" si="100"/>
        <v>0</v>
      </c>
      <c r="L137" s="357"/>
      <c r="M137" s="357"/>
      <c r="N137" s="357">
        <f t="shared" si="101"/>
        <v>0</v>
      </c>
      <c r="O137" s="358">
        <f t="shared" si="102"/>
        <v>200</v>
      </c>
      <c r="P137" s="359">
        <f t="shared" si="108"/>
        <v>28.735632183908045</v>
      </c>
      <c r="Q137" s="321">
        <v>1</v>
      </c>
      <c r="R137" s="188">
        <f t="shared" si="109"/>
        <v>28.735632183908045</v>
      </c>
      <c r="S137" s="188"/>
      <c r="T137" s="188"/>
      <c r="U137" s="357">
        <f t="shared" si="103"/>
        <v>0</v>
      </c>
      <c r="V137" s="188"/>
      <c r="W137" s="188"/>
      <c r="X137" s="357">
        <f t="shared" si="104"/>
        <v>0</v>
      </c>
      <c r="Y137" s="358">
        <f t="shared" si="105"/>
        <v>28.735632183908045</v>
      </c>
      <c r="Z137" s="184">
        <f t="shared" ref="Z137:Z206" si="112">P137-Y137</f>
        <v>0</v>
      </c>
    </row>
    <row r="138" spans="1:26" ht="25.5">
      <c r="A138" s="187">
        <v>3</v>
      </c>
      <c r="B138" s="328" t="s">
        <v>330</v>
      </c>
      <c r="C138" s="189" t="s">
        <v>185</v>
      </c>
      <c r="D138" s="286">
        <f>1</f>
        <v>1</v>
      </c>
      <c r="E138" s="190" t="s">
        <v>186</v>
      </c>
      <c r="F138" s="339">
        <v>200</v>
      </c>
      <c r="G138" s="355">
        <f t="shared" si="107"/>
        <v>200</v>
      </c>
      <c r="H138" s="356">
        <f t="shared" si="99"/>
        <v>200</v>
      </c>
      <c r="I138" s="357"/>
      <c r="J138" s="357"/>
      <c r="K138" s="357">
        <f t="shared" si="100"/>
        <v>0</v>
      </c>
      <c r="L138" s="357"/>
      <c r="M138" s="357"/>
      <c r="N138" s="357">
        <f t="shared" si="101"/>
        <v>0</v>
      </c>
      <c r="O138" s="358">
        <f t="shared" si="102"/>
        <v>200</v>
      </c>
      <c r="P138" s="359">
        <f t="shared" si="108"/>
        <v>28.735632183908045</v>
      </c>
      <c r="Q138" s="321">
        <v>2</v>
      </c>
      <c r="R138" s="188">
        <f t="shared" si="109"/>
        <v>28.735632183908045</v>
      </c>
      <c r="S138" s="188"/>
      <c r="T138" s="188"/>
      <c r="U138" s="357">
        <f t="shared" si="103"/>
        <v>0</v>
      </c>
      <c r="V138" s="188"/>
      <c r="W138" s="188"/>
      <c r="X138" s="357">
        <f t="shared" si="104"/>
        <v>0</v>
      </c>
      <c r="Y138" s="358">
        <f t="shared" si="105"/>
        <v>28.735632183908045</v>
      </c>
      <c r="Z138" s="184">
        <f t="shared" si="112"/>
        <v>0</v>
      </c>
    </row>
    <row r="139" spans="1:26" ht="25.5" hidden="1">
      <c r="A139" s="187">
        <v>3</v>
      </c>
      <c r="B139" s="328" t="s">
        <v>330</v>
      </c>
      <c r="C139" s="189" t="s">
        <v>185</v>
      </c>
      <c r="D139" s="286">
        <f>1</f>
        <v>1</v>
      </c>
      <c r="E139" s="190" t="s">
        <v>186</v>
      </c>
      <c r="F139" s="339">
        <v>200</v>
      </c>
      <c r="G139" s="355">
        <f t="shared" si="107"/>
        <v>200</v>
      </c>
      <c r="H139" s="356">
        <f t="shared" si="99"/>
        <v>200</v>
      </c>
      <c r="I139" s="357"/>
      <c r="J139" s="357"/>
      <c r="K139" s="357">
        <f t="shared" si="100"/>
        <v>0</v>
      </c>
      <c r="L139" s="357"/>
      <c r="M139" s="357"/>
      <c r="N139" s="357">
        <f t="shared" si="101"/>
        <v>0</v>
      </c>
      <c r="O139" s="358">
        <f t="shared" si="102"/>
        <v>200</v>
      </c>
      <c r="P139" s="359">
        <f t="shared" si="108"/>
        <v>28.735632183908045</v>
      </c>
      <c r="Q139" s="321">
        <v>3</v>
      </c>
      <c r="R139" s="188">
        <f t="shared" si="109"/>
        <v>28.735632183908045</v>
      </c>
      <c r="S139" s="188"/>
      <c r="T139" s="188"/>
      <c r="U139" s="357">
        <f t="shared" si="103"/>
        <v>0</v>
      </c>
      <c r="V139" s="188"/>
      <c r="W139" s="188"/>
      <c r="X139" s="357">
        <f t="shared" si="104"/>
        <v>0</v>
      </c>
      <c r="Y139" s="358">
        <f t="shared" si="105"/>
        <v>28.735632183908045</v>
      </c>
      <c r="Z139" s="184">
        <f t="shared" si="112"/>
        <v>0</v>
      </c>
    </row>
    <row r="140" spans="1:26" hidden="1">
      <c r="A140" s="221" t="s">
        <v>82</v>
      </c>
      <c r="B140" s="325"/>
      <c r="C140" s="222"/>
      <c r="D140" s="283"/>
      <c r="E140" s="283"/>
      <c r="F140" s="223"/>
      <c r="G140" s="209">
        <f t="shared" ref="G140:P140" si="113">G141+G157+G167+G189+G199+G206+G210</f>
        <v>940170</v>
      </c>
      <c r="H140" s="210">
        <f t="shared" si="113"/>
        <v>651250</v>
      </c>
      <c r="I140" s="211">
        <f t="shared" si="113"/>
        <v>3000</v>
      </c>
      <c r="J140" s="211">
        <f t="shared" si="113"/>
        <v>0</v>
      </c>
      <c r="K140" s="211">
        <f t="shared" si="113"/>
        <v>3000</v>
      </c>
      <c r="L140" s="211">
        <f t="shared" si="113"/>
        <v>70400</v>
      </c>
      <c r="M140" s="211">
        <f t="shared" si="113"/>
        <v>215520</v>
      </c>
      <c r="N140" s="211">
        <f t="shared" si="113"/>
        <v>285920</v>
      </c>
      <c r="O140" s="212">
        <f t="shared" si="113"/>
        <v>940170</v>
      </c>
      <c r="P140" s="280">
        <f t="shared" si="113"/>
        <v>135081.89655172414</v>
      </c>
      <c r="Q140" s="319"/>
      <c r="R140" s="366">
        <f t="shared" ref="R140:Y140" si="114">R141+R157+R167+R189+R199+R206+R210</f>
        <v>93570.402298850589</v>
      </c>
      <c r="S140" s="366">
        <f t="shared" si="114"/>
        <v>431.0344827586207</v>
      </c>
      <c r="T140" s="366">
        <f t="shared" si="114"/>
        <v>0</v>
      </c>
      <c r="U140" s="367">
        <f t="shared" si="114"/>
        <v>431.0344827586207</v>
      </c>
      <c r="V140" s="366">
        <f t="shared" si="114"/>
        <v>10114.942528735632</v>
      </c>
      <c r="W140" s="366">
        <f t="shared" si="114"/>
        <v>30965.517241379304</v>
      </c>
      <c r="X140" s="367">
        <f t="shared" si="114"/>
        <v>41080.45977011494</v>
      </c>
      <c r="Y140" s="368">
        <f t="shared" si="114"/>
        <v>135081.89655172414</v>
      </c>
      <c r="Z140" s="184">
        <f t="shared" si="112"/>
        <v>0</v>
      </c>
    </row>
    <row r="141" spans="1:26" hidden="1">
      <c r="A141" s="219" t="s">
        <v>363</v>
      </c>
      <c r="B141" s="326"/>
      <c r="C141" s="220"/>
      <c r="D141" s="185"/>
      <c r="E141" s="185"/>
      <c r="F141" s="186"/>
      <c r="G141" s="207">
        <f t="shared" ref="G141:P141" si="115">SUM(G142:G156)</f>
        <v>35100</v>
      </c>
      <c r="H141" s="352">
        <f t="shared" si="115"/>
        <v>32100</v>
      </c>
      <c r="I141" s="353">
        <f t="shared" si="115"/>
        <v>3000</v>
      </c>
      <c r="J141" s="353">
        <f t="shared" si="115"/>
        <v>0</v>
      </c>
      <c r="K141" s="353">
        <f t="shared" ref="K141" si="116">SUM(K142:K156)</f>
        <v>3000</v>
      </c>
      <c r="L141" s="353">
        <f t="shared" si="115"/>
        <v>0</v>
      </c>
      <c r="M141" s="353">
        <f t="shared" si="115"/>
        <v>0</v>
      </c>
      <c r="N141" s="353">
        <f t="shared" si="115"/>
        <v>0</v>
      </c>
      <c r="O141" s="354">
        <f t="shared" si="115"/>
        <v>35100</v>
      </c>
      <c r="P141" s="352">
        <f t="shared" si="115"/>
        <v>5043.1034482758623</v>
      </c>
      <c r="Q141" s="320"/>
      <c r="R141" s="181">
        <f t="shared" ref="R141:Y141" si="117">SUM(R142:R156)</f>
        <v>4612.0689655172418</v>
      </c>
      <c r="S141" s="181">
        <f t="shared" si="117"/>
        <v>431.0344827586207</v>
      </c>
      <c r="T141" s="181">
        <f t="shared" si="117"/>
        <v>0</v>
      </c>
      <c r="U141" s="353">
        <f t="shared" si="117"/>
        <v>431.0344827586207</v>
      </c>
      <c r="V141" s="181">
        <f t="shared" si="117"/>
        <v>0</v>
      </c>
      <c r="W141" s="181">
        <f t="shared" si="117"/>
        <v>0</v>
      </c>
      <c r="X141" s="353">
        <f t="shared" si="117"/>
        <v>0</v>
      </c>
      <c r="Y141" s="354">
        <f t="shared" si="117"/>
        <v>5043.1034482758623</v>
      </c>
      <c r="Z141" s="184">
        <f t="shared" si="112"/>
        <v>0</v>
      </c>
    </row>
    <row r="142" spans="1:26" ht="25.5" hidden="1">
      <c r="A142" s="187">
        <v>3</v>
      </c>
      <c r="B142" s="328" t="s">
        <v>363</v>
      </c>
      <c r="C142" s="189" t="s">
        <v>131</v>
      </c>
      <c r="D142" s="286">
        <v>1500</v>
      </c>
      <c r="E142" s="190" t="s">
        <v>132</v>
      </c>
      <c r="F142" s="339">
        <v>2</v>
      </c>
      <c r="G142" s="355">
        <f>D142*F142</f>
        <v>3000</v>
      </c>
      <c r="H142" s="356">
        <f t="shared" ref="H142:I156" si="118">R142*$Y$4</f>
        <v>0</v>
      </c>
      <c r="I142" s="357">
        <f>S142*$Y$4</f>
        <v>3000</v>
      </c>
      <c r="J142" s="357"/>
      <c r="K142" s="357">
        <f t="shared" ref="K142:K156" si="119">I142+J142</f>
        <v>3000</v>
      </c>
      <c r="L142" s="357"/>
      <c r="M142" s="357"/>
      <c r="N142" s="357">
        <f t="shared" ref="N142:N156" si="120">L142+M142</f>
        <v>0</v>
      </c>
      <c r="O142" s="358">
        <f t="shared" ref="O142:O156" si="121">H142+K142+N142</f>
        <v>3000</v>
      </c>
      <c r="P142" s="359">
        <f>G142/$Y$4</f>
        <v>431.0344827586207</v>
      </c>
      <c r="Q142" s="321">
        <v>1</v>
      </c>
      <c r="R142" s="188"/>
      <c r="S142" s="188">
        <f>P142</f>
        <v>431.0344827586207</v>
      </c>
      <c r="T142" s="188"/>
      <c r="U142" s="357">
        <f t="shared" ref="U142:U156" si="122">S142+T142</f>
        <v>431.0344827586207</v>
      </c>
      <c r="V142" s="188"/>
      <c r="W142" s="188"/>
      <c r="X142" s="357">
        <f t="shared" ref="X142:X156" si="123">V142+W142</f>
        <v>0</v>
      </c>
      <c r="Y142" s="358">
        <f t="shared" ref="Y142:Y156" si="124">R142+U142+X142</f>
        <v>431.0344827586207</v>
      </c>
      <c r="Z142" s="184">
        <f t="shared" si="112"/>
        <v>0</v>
      </c>
    </row>
    <row r="143" spans="1:26" ht="25.5" hidden="1">
      <c r="A143" s="187">
        <v>3</v>
      </c>
      <c r="B143" s="328" t="s">
        <v>363</v>
      </c>
      <c r="C143" s="189" t="s">
        <v>131</v>
      </c>
      <c r="D143" s="286">
        <v>0</v>
      </c>
      <c r="E143" s="190" t="s">
        <v>132</v>
      </c>
      <c r="F143" s="339">
        <v>2</v>
      </c>
      <c r="G143" s="355">
        <f>D143*F143</f>
        <v>0</v>
      </c>
      <c r="H143" s="356">
        <f t="shared" si="118"/>
        <v>0</v>
      </c>
      <c r="I143" s="357">
        <f>S143*$Y$4</f>
        <v>0</v>
      </c>
      <c r="J143" s="357"/>
      <c r="K143" s="357">
        <f t="shared" si="119"/>
        <v>0</v>
      </c>
      <c r="L143" s="357"/>
      <c r="M143" s="357"/>
      <c r="N143" s="357">
        <f t="shared" si="120"/>
        <v>0</v>
      </c>
      <c r="O143" s="358">
        <f t="shared" si="121"/>
        <v>0</v>
      </c>
      <c r="P143" s="359">
        <f>G143/$Y$4</f>
        <v>0</v>
      </c>
      <c r="Q143" s="321">
        <v>2</v>
      </c>
      <c r="R143" s="188"/>
      <c r="S143" s="188">
        <f>P143</f>
        <v>0</v>
      </c>
      <c r="T143" s="188"/>
      <c r="U143" s="357">
        <f t="shared" si="122"/>
        <v>0</v>
      </c>
      <c r="V143" s="188"/>
      <c r="W143" s="188"/>
      <c r="X143" s="357">
        <f t="shared" si="123"/>
        <v>0</v>
      </c>
      <c r="Y143" s="358">
        <f t="shared" si="124"/>
        <v>0</v>
      </c>
      <c r="Z143" s="184">
        <f t="shared" si="112"/>
        <v>0</v>
      </c>
    </row>
    <row r="144" spans="1:26" ht="25.5" hidden="1">
      <c r="A144" s="187">
        <v>3</v>
      </c>
      <c r="B144" s="328" t="s">
        <v>363</v>
      </c>
      <c r="C144" s="189" t="s">
        <v>131</v>
      </c>
      <c r="D144" s="286">
        <v>0</v>
      </c>
      <c r="E144" s="190" t="s">
        <v>132</v>
      </c>
      <c r="F144" s="339">
        <v>2</v>
      </c>
      <c r="G144" s="355">
        <f t="shared" ref="G144:G156" si="125">D144*F144</f>
        <v>0</v>
      </c>
      <c r="H144" s="356">
        <f t="shared" si="118"/>
        <v>0</v>
      </c>
      <c r="I144" s="357">
        <f t="shared" si="118"/>
        <v>0</v>
      </c>
      <c r="J144" s="357"/>
      <c r="K144" s="357">
        <f t="shared" si="119"/>
        <v>0</v>
      </c>
      <c r="L144" s="357"/>
      <c r="M144" s="357"/>
      <c r="N144" s="357">
        <f t="shared" si="120"/>
        <v>0</v>
      </c>
      <c r="O144" s="358">
        <f t="shared" si="121"/>
        <v>0</v>
      </c>
      <c r="P144" s="359">
        <f t="shared" ref="P144:P156" si="126">G144/$Y$4</f>
        <v>0</v>
      </c>
      <c r="Q144" s="321">
        <v>3</v>
      </c>
      <c r="R144" s="188"/>
      <c r="S144" s="188">
        <f t="shared" ref="S144" si="127">P144</f>
        <v>0</v>
      </c>
      <c r="T144" s="188"/>
      <c r="U144" s="357">
        <f t="shared" si="122"/>
        <v>0</v>
      </c>
      <c r="V144" s="188"/>
      <c r="W144" s="188"/>
      <c r="X144" s="357">
        <f t="shared" si="123"/>
        <v>0</v>
      </c>
      <c r="Y144" s="358">
        <f t="shared" si="124"/>
        <v>0</v>
      </c>
      <c r="Z144" s="184">
        <f t="shared" si="112"/>
        <v>0</v>
      </c>
    </row>
    <row r="145" spans="1:26" ht="25.5" hidden="1">
      <c r="A145" s="187">
        <v>3</v>
      </c>
      <c r="B145" s="328" t="s">
        <v>363</v>
      </c>
      <c r="C145" s="189" t="s">
        <v>147</v>
      </c>
      <c r="D145" s="286">
        <v>500</v>
      </c>
      <c r="E145" s="190" t="s">
        <v>148</v>
      </c>
      <c r="F145" s="339">
        <v>25</v>
      </c>
      <c r="G145" s="355">
        <f t="shared" si="125"/>
        <v>12500</v>
      </c>
      <c r="H145" s="356">
        <f t="shared" si="118"/>
        <v>12500</v>
      </c>
      <c r="I145" s="357"/>
      <c r="J145" s="357"/>
      <c r="K145" s="357">
        <f t="shared" si="119"/>
        <v>0</v>
      </c>
      <c r="L145" s="357"/>
      <c r="M145" s="357"/>
      <c r="N145" s="357">
        <f t="shared" si="120"/>
        <v>0</v>
      </c>
      <c r="O145" s="358">
        <f t="shared" si="121"/>
        <v>12500</v>
      </c>
      <c r="P145" s="359">
        <f t="shared" si="126"/>
        <v>1795.9770114942528</v>
      </c>
      <c r="Q145" s="321">
        <v>1</v>
      </c>
      <c r="R145" s="188">
        <f t="shared" ref="R145:R156" si="128">P145</f>
        <v>1795.9770114942528</v>
      </c>
      <c r="S145" s="188"/>
      <c r="T145" s="188"/>
      <c r="U145" s="357">
        <f t="shared" si="122"/>
        <v>0</v>
      </c>
      <c r="V145" s="188"/>
      <c r="W145" s="188"/>
      <c r="X145" s="357">
        <f t="shared" si="123"/>
        <v>0</v>
      </c>
      <c r="Y145" s="358">
        <f t="shared" si="124"/>
        <v>1795.9770114942528</v>
      </c>
      <c r="Z145" s="184">
        <f t="shared" si="112"/>
        <v>0</v>
      </c>
    </row>
    <row r="146" spans="1:26" ht="25.5" hidden="1">
      <c r="A146" s="187">
        <v>3</v>
      </c>
      <c r="B146" s="328" t="s">
        <v>363</v>
      </c>
      <c r="C146" s="189" t="s">
        <v>147</v>
      </c>
      <c r="D146" s="286">
        <v>0</v>
      </c>
      <c r="E146" s="190" t="s">
        <v>148</v>
      </c>
      <c r="F146" s="339">
        <v>25</v>
      </c>
      <c r="G146" s="355">
        <f t="shared" si="125"/>
        <v>0</v>
      </c>
      <c r="H146" s="356">
        <f t="shared" si="118"/>
        <v>0</v>
      </c>
      <c r="I146" s="357"/>
      <c r="J146" s="357"/>
      <c r="K146" s="357">
        <f t="shared" si="119"/>
        <v>0</v>
      </c>
      <c r="L146" s="357"/>
      <c r="M146" s="357"/>
      <c r="N146" s="357">
        <f t="shared" si="120"/>
        <v>0</v>
      </c>
      <c r="O146" s="358">
        <f t="shared" si="121"/>
        <v>0</v>
      </c>
      <c r="P146" s="359">
        <f t="shared" si="126"/>
        <v>0</v>
      </c>
      <c r="Q146" s="321">
        <v>2</v>
      </c>
      <c r="R146" s="188">
        <f t="shared" si="128"/>
        <v>0</v>
      </c>
      <c r="S146" s="188"/>
      <c r="T146" s="188"/>
      <c r="U146" s="357">
        <f t="shared" si="122"/>
        <v>0</v>
      </c>
      <c r="V146" s="188"/>
      <c r="W146" s="188"/>
      <c r="X146" s="357">
        <f t="shared" si="123"/>
        <v>0</v>
      </c>
      <c r="Y146" s="358">
        <f t="shared" si="124"/>
        <v>0</v>
      </c>
      <c r="Z146" s="184">
        <f t="shared" si="112"/>
        <v>0</v>
      </c>
    </row>
    <row r="147" spans="1:26" ht="25.5" hidden="1">
      <c r="A147" s="187">
        <v>3</v>
      </c>
      <c r="B147" s="328" t="s">
        <v>363</v>
      </c>
      <c r="C147" s="189" t="s">
        <v>147</v>
      </c>
      <c r="D147" s="286">
        <v>0</v>
      </c>
      <c r="E147" s="190" t="s">
        <v>148</v>
      </c>
      <c r="F147" s="339">
        <v>25</v>
      </c>
      <c r="G147" s="355">
        <f t="shared" si="125"/>
        <v>0</v>
      </c>
      <c r="H147" s="356">
        <f t="shared" si="118"/>
        <v>0</v>
      </c>
      <c r="I147" s="357"/>
      <c r="J147" s="357"/>
      <c r="K147" s="357">
        <f t="shared" si="119"/>
        <v>0</v>
      </c>
      <c r="L147" s="357"/>
      <c r="M147" s="357"/>
      <c r="N147" s="357">
        <f t="shared" si="120"/>
        <v>0</v>
      </c>
      <c r="O147" s="358">
        <f t="shared" si="121"/>
        <v>0</v>
      </c>
      <c r="P147" s="359">
        <f t="shared" si="126"/>
        <v>0</v>
      </c>
      <c r="Q147" s="321">
        <v>3</v>
      </c>
      <c r="R147" s="188">
        <f t="shared" si="128"/>
        <v>0</v>
      </c>
      <c r="S147" s="188"/>
      <c r="T147" s="188"/>
      <c r="U147" s="357">
        <f t="shared" si="122"/>
        <v>0</v>
      </c>
      <c r="V147" s="188"/>
      <c r="W147" s="188"/>
      <c r="X147" s="357">
        <f t="shared" si="123"/>
        <v>0</v>
      </c>
      <c r="Y147" s="358">
        <f t="shared" si="124"/>
        <v>0</v>
      </c>
      <c r="Z147" s="184">
        <f t="shared" si="112"/>
        <v>0</v>
      </c>
    </row>
    <row r="148" spans="1:26" ht="25.5" hidden="1">
      <c r="A148" s="187">
        <v>3</v>
      </c>
      <c r="B148" s="328" t="s">
        <v>363</v>
      </c>
      <c r="C148" s="189" t="s">
        <v>261</v>
      </c>
      <c r="D148" s="286">
        <v>44</v>
      </c>
      <c r="E148" s="190" t="s">
        <v>134</v>
      </c>
      <c r="F148" s="339">
        <f>20*20</f>
        <v>400</v>
      </c>
      <c r="G148" s="355">
        <f t="shared" si="125"/>
        <v>17600</v>
      </c>
      <c r="H148" s="356">
        <f t="shared" si="118"/>
        <v>17600</v>
      </c>
      <c r="I148" s="357"/>
      <c r="J148" s="357"/>
      <c r="K148" s="357">
        <f t="shared" si="119"/>
        <v>0</v>
      </c>
      <c r="L148" s="357"/>
      <c r="M148" s="357"/>
      <c r="N148" s="357">
        <f t="shared" si="120"/>
        <v>0</v>
      </c>
      <c r="O148" s="358">
        <f t="shared" si="121"/>
        <v>17600</v>
      </c>
      <c r="P148" s="359">
        <f t="shared" si="126"/>
        <v>2528.7356321839079</v>
      </c>
      <c r="Q148" s="321">
        <v>1</v>
      </c>
      <c r="R148" s="331">
        <f t="shared" si="128"/>
        <v>2528.7356321839079</v>
      </c>
      <c r="S148" s="188"/>
      <c r="T148" s="188"/>
      <c r="U148" s="357">
        <f t="shared" si="122"/>
        <v>0</v>
      </c>
      <c r="V148" s="188"/>
      <c r="W148" s="188"/>
      <c r="X148" s="357">
        <f t="shared" si="123"/>
        <v>0</v>
      </c>
      <c r="Y148" s="358">
        <f t="shared" si="124"/>
        <v>2528.7356321839079</v>
      </c>
      <c r="Z148" s="184">
        <f t="shared" si="112"/>
        <v>0</v>
      </c>
    </row>
    <row r="149" spans="1:26" ht="25.5" hidden="1">
      <c r="A149" s="187">
        <v>3</v>
      </c>
      <c r="B149" s="328" t="s">
        <v>363</v>
      </c>
      <c r="C149" s="189" t="s">
        <v>261</v>
      </c>
      <c r="D149" s="286">
        <v>0</v>
      </c>
      <c r="E149" s="190" t="s">
        <v>134</v>
      </c>
      <c r="F149" s="339">
        <f t="shared" ref="F149:F150" si="129">20*20</f>
        <v>400</v>
      </c>
      <c r="G149" s="355">
        <f t="shared" si="125"/>
        <v>0</v>
      </c>
      <c r="H149" s="356">
        <f t="shared" si="118"/>
        <v>0</v>
      </c>
      <c r="I149" s="357"/>
      <c r="J149" s="357"/>
      <c r="K149" s="357">
        <f t="shared" si="119"/>
        <v>0</v>
      </c>
      <c r="L149" s="357"/>
      <c r="M149" s="357"/>
      <c r="N149" s="357">
        <f t="shared" si="120"/>
        <v>0</v>
      </c>
      <c r="O149" s="358">
        <f t="shared" si="121"/>
        <v>0</v>
      </c>
      <c r="P149" s="359">
        <f t="shared" si="126"/>
        <v>0</v>
      </c>
      <c r="Q149" s="321">
        <v>2</v>
      </c>
      <c r="R149" s="188">
        <f t="shared" si="128"/>
        <v>0</v>
      </c>
      <c r="S149" s="188"/>
      <c r="T149" s="188"/>
      <c r="U149" s="357">
        <f t="shared" si="122"/>
        <v>0</v>
      </c>
      <c r="V149" s="188"/>
      <c r="W149" s="188"/>
      <c r="X149" s="357">
        <f t="shared" si="123"/>
        <v>0</v>
      </c>
      <c r="Y149" s="358">
        <f t="shared" si="124"/>
        <v>0</v>
      </c>
      <c r="Z149" s="184">
        <f t="shared" si="112"/>
        <v>0</v>
      </c>
    </row>
    <row r="150" spans="1:26" ht="25.5" hidden="1">
      <c r="A150" s="187">
        <v>3</v>
      </c>
      <c r="B150" s="328" t="s">
        <v>363</v>
      </c>
      <c r="C150" s="189" t="s">
        <v>261</v>
      </c>
      <c r="D150" s="286">
        <v>0</v>
      </c>
      <c r="E150" s="190" t="s">
        <v>134</v>
      </c>
      <c r="F150" s="339">
        <f t="shared" si="129"/>
        <v>400</v>
      </c>
      <c r="G150" s="355">
        <f t="shared" si="125"/>
        <v>0</v>
      </c>
      <c r="H150" s="356">
        <f t="shared" si="118"/>
        <v>0</v>
      </c>
      <c r="I150" s="357"/>
      <c r="J150" s="357"/>
      <c r="K150" s="357">
        <f t="shared" si="119"/>
        <v>0</v>
      </c>
      <c r="L150" s="357"/>
      <c r="M150" s="357"/>
      <c r="N150" s="357">
        <f t="shared" si="120"/>
        <v>0</v>
      </c>
      <c r="O150" s="358">
        <f t="shared" si="121"/>
        <v>0</v>
      </c>
      <c r="P150" s="359">
        <f t="shared" si="126"/>
        <v>0</v>
      </c>
      <c r="Q150" s="321">
        <v>3</v>
      </c>
      <c r="R150" s="188">
        <f t="shared" si="128"/>
        <v>0</v>
      </c>
      <c r="S150" s="188"/>
      <c r="T150" s="188"/>
      <c r="U150" s="357">
        <f t="shared" si="122"/>
        <v>0</v>
      </c>
      <c r="V150" s="188"/>
      <c r="W150" s="188"/>
      <c r="X150" s="357">
        <f t="shared" si="123"/>
        <v>0</v>
      </c>
      <c r="Y150" s="358">
        <f t="shared" si="124"/>
        <v>0</v>
      </c>
      <c r="Z150" s="184">
        <f t="shared" si="112"/>
        <v>0</v>
      </c>
    </row>
    <row r="151" spans="1:26" ht="25.5" hidden="1">
      <c r="A151" s="187">
        <v>3</v>
      </c>
      <c r="B151" s="328" t="s">
        <v>363</v>
      </c>
      <c r="C151" s="189" t="s">
        <v>137</v>
      </c>
      <c r="D151" s="286">
        <v>1</v>
      </c>
      <c r="E151" s="190" t="s">
        <v>92</v>
      </c>
      <c r="F151" s="339">
        <v>1000</v>
      </c>
      <c r="G151" s="355">
        <f t="shared" si="125"/>
        <v>1000</v>
      </c>
      <c r="H151" s="356">
        <f t="shared" si="118"/>
        <v>1000</v>
      </c>
      <c r="I151" s="357"/>
      <c r="J151" s="357"/>
      <c r="K151" s="357">
        <f t="shared" si="119"/>
        <v>0</v>
      </c>
      <c r="L151" s="357"/>
      <c r="M151" s="357"/>
      <c r="N151" s="357">
        <f t="shared" si="120"/>
        <v>0</v>
      </c>
      <c r="O151" s="358">
        <f t="shared" si="121"/>
        <v>1000</v>
      </c>
      <c r="P151" s="359">
        <f t="shared" si="126"/>
        <v>143.67816091954023</v>
      </c>
      <c r="Q151" s="321">
        <v>1</v>
      </c>
      <c r="R151" s="188">
        <f t="shared" si="128"/>
        <v>143.67816091954023</v>
      </c>
      <c r="S151" s="188"/>
      <c r="T151" s="188"/>
      <c r="U151" s="357">
        <f t="shared" si="122"/>
        <v>0</v>
      </c>
      <c r="V151" s="188"/>
      <c r="W151" s="188"/>
      <c r="X151" s="357">
        <f t="shared" si="123"/>
        <v>0</v>
      </c>
      <c r="Y151" s="358">
        <f t="shared" si="124"/>
        <v>143.67816091954023</v>
      </c>
      <c r="Z151" s="184">
        <f t="shared" si="112"/>
        <v>0</v>
      </c>
    </row>
    <row r="152" spans="1:26" ht="25.5" hidden="1">
      <c r="A152" s="187">
        <v>3</v>
      </c>
      <c r="B152" s="328" t="s">
        <v>363</v>
      </c>
      <c r="C152" s="189" t="s">
        <v>137</v>
      </c>
      <c r="D152" s="286">
        <v>0</v>
      </c>
      <c r="E152" s="190" t="s">
        <v>92</v>
      </c>
      <c r="F152" s="339">
        <v>1000</v>
      </c>
      <c r="G152" s="355">
        <f t="shared" si="125"/>
        <v>0</v>
      </c>
      <c r="H152" s="356">
        <f t="shared" si="118"/>
        <v>0</v>
      </c>
      <c r="I152" s="357"/>
      <c r="J152" s="357"/>
      <c r="K152" s="357">
        <f t="shared" si="119"/>
        <v>0</v>
      </c>
      <c r="L152" s="357"/>
      <c r="M152" s="357"/>
      <c r="N152" s="357">
        <f t="shared" si="120"/>
        <v>0</v>
      </c>
      <c r="O152" s="358">
        <f t="shared" si="121"/>
        <v>0</v>
      </c>
      <c r="P152" s="359">
        <f t="shared" si="126"/>
        <v>0</v>
      </c>
      <c r="Q152" s="321">
        <v>2</v>
      </c>
      <c r="R152" s="188">
        <f t="shared" si="128"/>
        <v>0</v>
      </c>
      <c r="S152" s="188"/>
      <c r="T152" s="188"/>
      <c r="U152" s="357">
        <f t="shared" si="122"/>
        <v>0</v>
      </c>
      <c r="V152" s="188"/>
      <c r="W152" s="188"/>
      <c r="X152" s="357">
        <f t="shared" si="123"/>
        <v>0</v>
      </c>
      <c r="Y152" s="358">
        <f t="shared" si="124"/>
        <v>0</v>
      </c>
      <c r="Z152" s="184">
        <f t="shared" si="112"/>
        <v>0</v>
      </c>
    </row>
    <row r="153" spans="1:26" ht="25.5" hidden="1">
      <c r="A153" s="187">
        <v>3</v>
      </c>
      <c r="B153" s="328" t="s">
        <v>363</v>
      </c>
      <c r="C153" s="189" t="s">
        <v>137</v>
      </c>
      <c r="D153" s="286">
        <v>0</v>
      </c>
      <c r="E153" s="190" t="s">
        <v>92</v>
      </c>
      <c r="F153" s="339">
        <v>1000</v>
      </c>
      <c r="G153" s="355">
        <f t="shared" si="125"/>
        <v>0</v>
      </c>
      <c r="H153" s="356">
        <f t="shared" si="118"/>
        <v>0</v>
      </c>
      <c r="I153" s="357"/>
      <c r="J153" s="357"/>
      <c r="K153" s="357">
        <f t="shared" si="119"/>
        <v>0</v>
      </c>
      <c r="L153" s="357"/>
      <c r="M153" s="357"/>
      <c r="N153" s="357">
        <f t="shared" si="120"/>
        <v>0</v>
      </c>
      <c r="O153" s="358">
        <f t="shared" si="121"/>
        <v>0</v>
      </c>
      <c r="P153" s="359">
        <f t="shared" si="126"/>
        <v>0</v>
      </c>
      <c r="Q153" s="321">
        <v>3</v>
      </c>
      <c r="R153" s="188">
        <f t="shared" si="128"/>
        <v>0</v>
      </c>
      <c r="S153" s="188"/>
      <c r="T153" s="188"/>
      <c r="U153" s="357">
        <f t="shared" si="122"/>
        <v>0</v>
      </c>
      <c r="V153" s="188"/>
      <c r="W153" s="188"/>
      <c r="X153" s="357">
        <f t="shared" si="123"/>
        <v>0</v>
      </c>
      <c r="Y153" s="358">
        <f t="shared" si="124"/>
        <v>0</v>
      </c>
      <c r="Z153" s="184">
        <f t="shared" si="112"/>
        <v>0</v>
      </c>
    </row>
    <row r="154" spans="1:26" ht="25.5" hidden="1">
      <c r="A154" s="187">
        <v>3</v>
      </c>
      <c r="B154" s="328" t="s">
        <v>363</v>
      </c>
      <c r="C154" s="189" t="s">
        <v>145</v>
      </c>
      <c r="D154" s="286">
        <v>1</v>
      </c>
      <c r="E154" s="190" t="s">
        <v>92</v>
      </c>
      <c r="F154" s="339">
        <v>1000</v>
      </c>
      <c r="G154" s="355">
        <f t="shared" si="125"/>
        <v>1000</v>
      </c>
      <c r="H154" s="356">
        <f t="shared" si="118"/>
        <v>1000</v>
      </c>
      <c r="I154" s="357"/>
      <c r="J154" s="357"/>
      <c r="K154" s="357">
        <f t="shared" si="119"/>
        <v>0</v>
      </c>
      <c r="L154" s="357"/>
      <c r="M154" s="357"/>
      <c r="N154" s="357">
        <f t="shared" si="120"/>
        <v>0</v>
      </c>
      <c r="O154" s="358">
        <f t="shared" si="121"/>
        <v>1000</v>
      </c>
      <c r="P154" s="359">
        <f t="shared" si="126"/>
        <v>143.67816091954023</v>
      </c>
      <c r="Q154" s="321">
        <v>1</v>
      </c>
      <c r="R154" s="188">
        <f t="shared" si="128"/>
        <v>143.67816091954023</v>
      </c>
      <c r="S154" s="188"/>
      <c r="T154" s="188"/>
      <c r="U154" s="357">
        <f t="shared" si="122"/>
        <v>0</v>
      </c>
      <c r="V154" s="188"/>
      <c r="W154" s="188"/>
      <c r="X154" s="357">
        <f t="shared" si="123"/>
        <v>0</v>
      </c>
      <c r="Y154" s="358">
        <f t="shared" si="124"/>
        <v>143.67816091954023</v>
      </c>
      <c r="Z154" s="184">
        <f t="shared" si="112"/>
        <v>0</v>
      </c>
    </row>
    <row r="155" spans="1:26" ht="25.5" hidden="1">
      <c r="A155" s="187">
        <v>3</v>
      </c>
      <c r="B155" s="328" t="s">
        <v>363</v>
      </c>
      <c r="C155" s="189" t="s">
        <v>145</v>
      </c>
      <c r="D155" s="286">
        <v>0</v>
      </c>
      <c r="E155" s="190" t="s">
        <v>92</v>
      </c>
      <c r="F155" s="339">
        <v>1000</v>
      </c>
      <c r="G155" s="355">
        <f t="shared" si="125"/>
        <v>0</v>
      </c>
      <c r="H155" s="356">
        <f t="shared" si="118"/>
        <v>0</v>
      </c>
      <c r="I155" s="357"/>
      <c r="J155" s="357"/>
      <c r="K155" s="357">
        <f t="shared" si="119"/>
        <v>0</v>
      </c>
      <c r="L155" s="357"/>
      <c r="M155" s="357"/>
      <c r="N155" s="357">
        <f t="shared" si="120"/>
        <v>0</v>
      </c>
      <c r="O155" s="358">
        <f t="shared" si="121"/>
        <v>0</v>
      </c>
      <c r="P155" s="359">
        <f t="shared" si="126"/>
        <v>0</v>
      </c>
      <c r="Q155" s="321">
        <v>2</v>
      </c>
      <c r="R155" s="188">
        <f t="shared" si="128"/>
        <v>0</v>
      </c>
      <c r="S155" s="188"/>
      <c r="T155" s="188"/>
      <c r="U155" s="357">
        <f t="shared" si="122"/>
        <v>0</v>
      </c>
      <c r="V155" s="188"/>
      <c r="W155" s="188"/>
      <c r="X155" s="357">
        <f t="shared" si="123"/>
        <v>0</v>
      </c>
      <c r="Y155" s="358">
        <f t="shared" si="124"/>
        <v>0</v>
      </c>
      <c r="Z155" s="184">
        <f t="shared" si="112"/>
        <v>0</v>
      </c>
    </row>
    <row r="156" spans="1:26" ht="25.5" hidden="1">
      <c r="A156" s="187">
        <v>3</v>
      </c>
      <c r="B156" s="328" t="s">
        <v>363</v>
      </c>
      <c r="C156" s="189" t="s">
        <v>145</v>
      </c>
      <c r="D156" s="286">
        <v>0</v>
      </c>
      <c r="E156" s="190" t="s">
        <v>92</v>
      </c>
      <c r="F156" s="339">
        <v>1000</v>
      </c>
      <c r="G156" s="355">
        <f t="shared" si="125"/>
        <v>0</v>
      </c>
      <c r="H156" s="356">
        <f t="shared" si="118"/>
        <v>0</v>
      </c>
      <c r="I156" s="357"/>
      <c r="J156" s="357"/>
      <c r="K156" s="357">
        <f t="shared" si="119"/>
        <v>0</v>
      </c>
      <c r="L156" s="357"/>
      <c r="M156" s="357"/>
      <c r="N156" s="357">
        <f t="shared" si="120"/>
        <v>0</v>
      </c>
      <c r="O156" s="358">
        <f t="shared" si="121"/>
        <v>0</v>
      </c>
      <c r="P156" s="359">
        <f t="shared" si="126"/>
        <v>0</v>
      </c>
      <c r="Q156" s="321">
        <v>3</v>
      </c>
      <c r="R156" s="188">
        <f t="shared" si="128"/>
        <v>0</v>
      </c>
      <c r="S156" s="188"/>
      <c r="T156" s="188"/>
      <c r="U156" s="357">
        <f t="shared" si="122"/>
        <v>0</v>
      </c>
      <c r="V156" s="188"/>
      <c r="W156" s="188"/>
      <c r="X156" s="357">
        <f t="shared" si="123"/>
        <v>0</v>
      </c>
      <c r="Y156" s="358">
        <f t="shared" si="124"/>
        <v>0</v>
      </c>
      <c r="Z156" s="184">
        <f t="shared" si="112"/>
        <v>0</v>
      </c>
    </row>
    <row r="157" spans="1:26" hidden="1">
      <c r="A157" s="219" t="s">
        <v>120</v>
      </c>
      <c r="B157" s="326"/>
      <c r="C157" s="220"/>
      <c r="D157" s="179"/>
      <c r="E157" s="179"/>
      <c r="F157" s="180"/>
      <c r="G157" s="207">
        <f>SUM(G158:G166)</f>
        <v>222000</v>
      </c>
      <c r="H157" s="352">
        <f t="shared" ref="H157:Y157" si="130">SUM(H158:H166)</f>
        <v>80400</v>
      </c>
      <c r="I157" s="353">
        <f t="shared" si="130"/>
        <v>0</v>
      </c>
      <c r="J157" s="353">
        <f t="shared" si="130"/>
        <v>0</v>
      </c>
      <c r="K157" s="353">
        <f t="shared" si="130"/>
        <v>0</v>
      </c>
      <c r="L157" s="353">
        <f t="shared" si="130"/>
        <v>0</v>
      </c>
      <c r="M157" s="353">
        <f t="shared" si="130"/>
        <v>141600</v>
      </c>
      <c r="N157" s="353">
        <f t="shared" si="130"/>
        <v>141600</v>
      </c>
      <c r="O157" s="354">
        <f t="shared" si="130"/>
        <v>222000</v>
      </c>
      <c r="P157" s="352">
        <f t="shared" si="130"/>
        <v>31896.551724137928</v>
      </c>
      <c r="Q157" s="320"/>
      <c r="R157" s="181">
        <f t="shared" si="130"/>
        <v>11551.724137931033</v>
      </c>
      <c r="S157" s="181">
        <f t="shared" si="130"/>
        <v>0</v>
      </c>
      <c r="T157" s="181">
        <f t="shared" si="130"/>
        <v>0</v>
      </c>
      <c r="U157" s="353">
        <f t="shared" si="130"/>
        <v>0</v>
      </c>
      <c r="V157" s="181">
        <f t="shared" si="130"/>
        <v>0</v>
      </c>
      <c r="W157" s="181">
        <f t="shared" si="130"/>
        <v>20344.827586206895</v>
      </c>
      <c r="X157" s="353">
        <f t="shared" si="130"/>
        <v>20344.827586206895</v>
      </c>
      <c r="Y157" s="354">
        <f t="shared" si="130"/>
        <v>31896.551724137928</v>
      </c>
      <c r="Z157" s="184">
        <f t="shared" si="112"/>
        <v>0</v>
      </c>
    </row>
    <row r="158" spans="1:26" ht="38.25" hidden="1">
      <c r="A158" s="187">
        <v>3</v>
      </c>
      <c r="B158" s="328" t="s">
        <v>120</v>
      </c>
      <c r="C158" s="189" t="s">
        <v>162</v>
      </c>
      <c r="D158" s="286">
        <v>22</v>
      </c>
      <c r="E158" s="190" t="s">
        <v>163</v>
      </c>
      <c r="F158" s="339">
        <v>1200</v>
      </c>
      <c r="G158" s="355">
        <f t="shared" ref="G158:G166" si="131">D158*F158</f>
        <v>26400</v>
      </c>
      <c r="H158" s="356">
        <f t="shared" ref="H158:H166" si="132">R158*$Y$4</f>
        <v>26400</v>
      </c>
      <c r="I158" s="357"/>
      <c r="J158" s="357"/>
      <c r="K158" s="357">
        <f t="shared" ref="K158:K166" si="133">I158+J158</f>
        <v>0</v>
      </c>
      <c r="L158" s="357"/>
      <c r="M158" s="357"/>
      <c r="N158" s="357">
        <f t="shared" ref="N158:N166" si="134">L158+M158</f>
        <v>0</v>
      </c>
      <c r="O158" s="358">
        <f t="shared" ref="O158:O166" si="135">H158+K158+N158</f>
        <v>26400</v>
      </c>
      <c r="P158" s="359">
        <f t="shared" ref="P158:P166" si="136">G158/$Y$4</f>
        <v>3793.1034482758619</v>
      </c>
      <c r="Q158" s="321">
        <v>1</v>
      </c>
      <c r="R158" s="188">
        <f t="shared" ref="R158:R160" si="137">P158</f>
        <v>3793.1034482758619</v>
      </c>
      <c r="S158" s="188"/>
      <c r="T158" s="188"/>
      <c r="U158" s="357">
        <f t="shared" ref="U158:U166" si="138">S158+T158</f>
        <v>0</v>
      </c>
      <c r="V158" s="188"/>
      <c r="W158" s="188"/>
      <c r="X158" s="357">
        <f t="shared" ref="X158:X166" si="139">V158+W158</f>
        <v>0</v>
      </c>
      <c r="Y158" s="358">
        <f t="shared" ref="Y158:Y166" si="140">R158+U158+X158</f>
        <v>3793.1034482758619</v>
      </c>
      <c r="Z158" s="184">
        <f t="shared" si="112"/>
        <v>0</v>
      </c>
    </row>
    <row r="159" spans="1:26" ht="38.25" hidden="1">
      <c r="A159" s="187">
        <v>3</v>
      </c>
      <c r="B159" s="328" t="s">
        <v>120</v>
      </c>
      <c r="C159" s="189" t="s">
        <v>162</v>
      </c>
      <c r="D159" s="286">
        <v>0</v>
      </c>
      <c r="E159" s="190" t="s">
        <v>163</v>
      </c>
      <c r="F159" s="339">
        <v>1200</v>
      </c>
      <c r="G159" s="355">
        <f t="shared" si="131"/>
        <v>0</v>
      </c>
      <c r="H159" s="356">
        <f t="shared" si="132"/>
        <v>0</v>
      </c>
      <c r="I159" s="357"/>
      <c r="J159" s="357"/>
      <c r="K159" s="357">
        <f t="shared" si="133"/>
        <v>0</v>
      </c>
      <c r="L159" s="357"/>
      <c r="M159" s="357"/>
      <c r="N159" s="357">
        <f t="shared" si="134"/>
        <v>0</v>
      </c>
      <c r="O159" s="358">
        <f t="shared" si="135"/>
        <v>0</v>
      </c>
      <c r="P159" s="359">
        <f t="shared" si="136"/>
        <v>0</v>
      </c>
      <c r="Q159" s="321">
        <v>2</v>
      </c>
      <c r="R159" s="188">
        <f t="shared" si="137"/>
        <v>0</v>
      </c>
      <c r="S159" s="188"/>
      <c r="T159" s="188"/>
      <c r="U159" s="357">
        <f t="shared" si="138"/>
        <v>0</v>
      </c>
      <c r="V159" s="188"/>
      <c r="W159" s="188"/>
      <c r="X159" s="357">
        <f t="shared" si="139"/>
        <v>0</v>
      </c>
      <c r="Y159" s="358">
        <f t="shared" si="140"/>
        <v>0</v>
      </c>
      <c r="Z159" s="184">
        <f t="shared" si="112"/>
        <v>0</v>
      </c>
    </row>
    <row r="160" spans="1:26" ht="38.25" hidden="1">
      <c r="A160" s="187">
        <v>3</v>
      </c>
      <c r="B160" s="328" t="s">
        <v>120</v>
      </c>
      <c r="C160" s="189" t="s">
        <v>162</v>
      </c>
      <c r="D160" s="286">
        <v>0</v>
      </c>
      <c r="E160" s="190" t="s">
        <v>163</v>
      </c>
      <c r="F160" s="339">
        <v>1200</v>
      </c>
      <c r="G160" s="355">
        <f t="shared" si="131"/>
        <v>0</v>
      </c>
      <c r="H160" s="356">
        <f t="shared" si="132"/>
        <v>0</v>
      </c>
      <c r="I160" s="357"/>
      <c r="J160" s="357"/>
      <c r="K160" s="357">
        <f t="shared" si="133"/>
        <v>0</v>
      </c>
      <c r="L160" s="357"/>
      <c r="M160" s="357"/>
      <c r="N160" s="357">
        <f t="shared" si="134"/>
        <v>0</v>
      </c>
      <c r="O160" s="358">
        <f t="shared" si="135"/>
        <v>0</v>
      </c>
      <c r="P160" s="359">
        <f t="shared" si="136"/>
        <v>0</v>
      </c>
      <c r="Q160" s="321">
        <v>3</v>
      </c>
      <c r="R160" s="331">
        <f t="shared" si="137"/>
        <v>0</v>
      </c>
      <c r="S160" s="188"/>
      <c r="T160" s="188"/>
      <c r="U160" s="357">
        <f t="shared" si="138"/>
        <v>0</v>
      </c>
      <c r="V160" s="188"/>
      <c r="W160" s="188"/>
      <c r="X160" s="357">
        <f t="shared" si="139"/>
        <v>0</v>
      </c>
      <c r="Y160" s="358">
        <f t="shared" si="140"/>
        <v>0</v>
      </c>
      <c r="Z160" s="184">
        <f t="shared" si="112"/>
        <v>0</v>
      </c>
    </row>
    <row r="161" spans="1:26" ht="38.25" hidden="1">
      <c r="A161" s="187">
        <v>3</v>
      </c>
      <c r="B161" s="328" t="s">
        <v>120</v>
      </c>
      <c r="C161" s="189" t="s">
        <v>241</v>
      </c>
      <c r="D161" s="284">
        <v>150</v>
      </c>
      <c r="E161" s="187" t="s">
        <v>170</v>
      </c>
      <c r="F161" s="340">
        <v>200</v>
      </c>
      <c r="G161" s="355">
        <f t="shared" si="131"/>
        <v>30000</v>
      </c>
      <c r="H161" s="356">
        <f t="shared" si="132"/>
        <v>17999.999999999996</v>
      </c>
      <c r="I161" s="357"/>
      <c r="J161" s="357"/>
      <c r="K161" s="357">
        <f t="shared" si="133"/>
        <v>0</v>
      </c>
      <c r="L161" s="357"/>
      <c r="M161" s="357">
        <f t="shared" ref="M161:M166" si="141">W161*$Y$4</f>
        <v>12000</v>
      </c>
      <c r="N161" s="357">
        <f t="shared" si="134"/>
        <v>12000</v>
      </c>
      <c r="O161" s="358">
        <f t="shared" si="135"/>
        <v>29999.999999999996</v>
      </c>
      <c r="P161" s="359">
        <f t="shared" si="136"/>
        <v>4310.3448275862065</v>
      </c>
      <c r="Q161" s="321">
        <v>1</v>
      </c>
      <c r="R161" s="331">
        <f>P161*0.6</f>
        <v>2586.2068965517237</v>
      </c>
      <c r="S161" s="188"/>
      <c r="T161" s="188"/>
      <c r="U161" s="357">
        <f t="shared" si="138"/>
        <v>0</v>
      </c>
      <c r="V161" s="188"/>
      <c r="W161" s="188">
        <f>P161*0.4</f>
        <v>1724.1379310344828</v>
      </c>
      <c r="X161" s="357">
        <f t="shared" si="139"/>
        <v>1724.1379310344828</v>
      </c>
      <c r="Y161" s="358">
        <f t="shared" si="140"/>
        <v>4310.3448275862065</v>
      </c>
      <c r="Z161" s="184">
        <f t="shared" si="112"/>
        <v>0</v>
      </c>
    </row>
    <row r="162" spans="1:26" ht="38.25">
      <c r="A162" s="187">
        <v>3</v>
      </c>
      <c r="B162" s="328" t="s">
        <v>120</v>
      </c>
      <c r="C162" s="189" t="s">
        <v>241</v>
      </c>
      <c r="D162" s="284">
        <v>150</v>
      </c>
      <c r="E162" s="187" t="s">
        <v>170</v>
      </c>
      <c r="F162" s="340">
        <v>200</v>
      </c>
      <c r="G162" s="355">
        <f t="shared" si="131"/>
        <v>30000</v>
      </c>
      <c r="H162" s="356">
        <f t="shared" si="132"/>
        <v>17999.999999999996</v>
      </c>
      <c r="I162" s="357"/>
      <c r="J162" s="357"/>
      <c r="K162" s="357">
        <f t="shared" si="133"/>
        <v>0</v>
      </c>
      <c r="L162" s="357"/>
      <c r="M162" s="357">
        <f t="shared" si="141"/>
        <v>12000</v>
      </c>
      <c r="N162" s="357">
        <f t="shared" si="134"/>
        <v>12000</v>
      </c>
      <c r="O162" s="358">
        <f t="shared" si="135"/>
        <v>29999.999999999996</v>
      </c>
      <c r="P162" s="359">
        <f t="shared" si="136"/>
        <v>4310.3448275862065</v>
      </c>
      <c r="Q162" s="321">
        <v>2</v>
      </c>
      <c r="R162" s="331">
        <f t="shared" ref="R162:R163" si="142">P162*0.6</f>
        <v>2586.2068965517237</v>
      </c>
      <c r="S162" s="188"/>
      <c r="T162" s="188"/>
      <c r="U162" s="357">
        <f t="shared" si="138"/>
        <v>0</v>
      </c>
      <c r="V162" s="188"/>
      <c r="W162" s="188">
        <f t="shared" ref="W162:W163" si="143">P162*0.4</f>
        <v>1724.1379310344828</v>
      </c>
      <c r="X162" s="357">
        <f t="shared" si="139"/>
        <v>1724.1379310344828</v>
      </c>
      <c r="Y162" s="358">
        <f t="shared" si="140"/>
        <v>4310.3448275862065</v>
      </c>
      <c r="Z162" s="184">
        <f t="shared" si="112"/>
        <v>0</v>
      </c>
    </row>
    <row r="163" spans="1:26" ht="38.25" hidden="1">
      <c r="A163" s="187">
        <v>3</v>
      </c>
      <c r="B163" s="328" t="s">
        <v>120</v>
      </c>
      <c r="C163" s="189" t="s">
        <v>241</v>
      </c>
      <c r="D163" s="284">
        <v>150</v>
      </c>
      <c r="E163" s="187" t="s">
        <v>170</v>
      </c>
      <c r="F163" s="340">
        <v>200</v>
      </c>
      <c r="G163" s="355">
        <f t="shared" si="131"/>
        <v>30000</v>
      </c>
      <c r="H163" s="356">
        <f t="shared" si="132"/>
        <v>17999.999999999996</v>
      </c>
      <c r="I163" s="357"/>
      <c r="J163" s="357"/>
      <c r="K163" s="357">
        <f t="shared" si="133"/>
        <v>0</v>
      </c>
      <c r="L163" s="357"/>
      <c r="M163" s="357">
        <f t="shared" si="141"/>
        <v>12000</v>
      </c>
      <c r="N163" s="357">
        <f t="shared" si="134"/>
        <v>12000</v>
      </c>
      <c r="O163" s="358">
        <f t="shared" si="135"/>
        <v>29999.999999999996</v>
      </c>
      <c r="P163" s="359">
        <f t="shared" si="136"/>
        <v>4310.3448275862065</v>
      </c>
      <c r="Q163" s="321">
        <v>3</v>
      </c>
      <c r="R163" s="331">
        <f t="shared" si="142"/>
        <v>2586.2068965517237</v>
      </c>
      <c r="S163" s="188"/>
      <c r="T163" s="188"/>
      <c r="U163" s="357">
        <f t="shared" si="138"/>
        <v>0</v>
      </c>
      <c r="V163" s="188"/>
      <c r="W163" s="188">
        <f t="shared" si="143"/>
        <v>1724.1379310344828</v>
      </c>
      <c r="X163" s="357">
        <f t="shared" si="139"/>
        <v>1724.1379310344828</v>
      </c>
      <c r="Y163" s="358">
        <f t="shared" si="140"/>
        <v>4310.3448275862065</v>
      </c>
      <c r="Z163" s="184">
        <f t="shared" si="112"/>
        <v>0</v>
      </c>
    </row>
    <row r="164" spans="1:26" ht="38.25" hidden="1">
      <c r="A164" s="187">
        <v>3</v>
      </c>
      <c r="B164" s="328" t="s">
        <v>120</v>
      </c>
      <c r="C164" s="191" t="s">
        <v>263</v>
      </c>
      <c r="D164" s="284">
        <f>22</f>
        <v>22</v>
      </c>
      <c r="E164" s="187" t="s">
        <v>173</v>
      </c>
      <c r="F164" s="340">
        <v>1600</v>
      </c>
      <c r="G164" s="355">
        <f t="shared" si="131"/>
        <v>35200</v>
      </c>
      <c r="H164" s="356">
        <f t="shared" si="132"/>
        <v>0</v>
      </c>
      <c r="I164" s="357"/>
      <c r="J164" s="357"/>
      <c r="K164" s="357">
        <f t="shared" si="133"/>
        <v>0</v>
      </c>
      <c r="L164" s="357"/>
      <c r="M164" s="357">
        <f t="shared" si="141"/>
        <v>35200</v>
      </c>
      <c r="N164" s="357">
        <f t="shared" si="134"/>
        <v>35200</v>
      </c>
      <c r="O164" s="358">
        <f t="shared" si="135"/>
        <v>35200</v>
      </c>
      <c r="P164" s="359">
        <f t="shared" si="136"/>
        <v>5057.4712643678158</v>
      </c>
      <c r="Q164" s="321">
        <v>1</v>
      </c>
      <c r="R164" s="188"/>
      <c r="S164" s="188"/>
      <c r="T164" s="188"/>
      <c r="U164" s="357">
        <f t="shared" si="138"/>
        <v>0</v>
      </c>
      <c r="V164" s="188"/>
      <c r="W164" s="188">
        <f t="shared" ref="W164:W165" si="144">P164</f>
        <v>5057.4712643678158</v>
      </c>
      <c r="X164" s="357">
        <f t="shared" si="139"/>
        <v>5057.4712643678158</v>
      </c>
      <c r="Y164" s="358">
        <f t="shared" si="140"/>
        <v>5057.4712643678158</v>
      </c>
      <c r="Z164" s="184">
        <f t="shared" si="112"/>
        <v>0</v>
      </c>
    </row>
    <row r="165" spans="1:26" ht="38.25">
      <c r="A165" s="187">
        <v>3</v>
      </c>
      <c r="B165" s="328" t="s">
        <v>120</v>
      </c>
      <c r="C165" s="191" t="s">
        <v>263</v>
      </c>
      <c r="D165" s="284">
        <f>22</f>
        <v>22</v>
      </c>
      <c r="E165" s="187" t="s">
        <v>173</v>
      </c>
      <c r="F165" s="340">
        <v>1600</v>
      </c>
      <c r="G165" s="355">
        <f t="shared" si="131"/>
        <v>35200</v>
      </c>
      <c r="H165" s="356">
        <f t="shared" si="132"/>
        <v>0</v>
      </c>
      <c r="I165" s="357"/>
      <c r="J165" s="357"/>
      <c r="K165" s="357">
        <f t="shared" si="133"/>
        <v>0</v>
      </c>
      <c r="L165" s="357"/>
      <c r="M165" s="357">
        <f t="shared" si="141"/>
        <v>35200</v>
      </c>
      <c r="N165" s="357">
        <f t="shared" si="134"/>
        <v>35200</v>
      </c>
      <c r="O165" s="358">
        <f t="shared" si="135"/>
        <v>35200</v>
      </c>
      <c r="P165" s="359">
        <f t="shared" si="136"/>
        <v>5057.4712643678158</v>
      </c>
      <c r="Q165" s="321">
        <v>2</v>
      </c>
      <c r="R165" s="188"/>
      <c r="S165" s="188"/>
      <c r="T165" s="188"/>
      <c r="U165" s="357">
        <f t="shared" si="138"/>
        <v>0</v>
      </c>
      <c r="V165" s="188"/>
      <c r="W165" s="188">
        <f t="shared" si="144"/>
        <v>5057.4712643678158</v>
      </c>
      <c r="X165" s="357">
        <f t="shared" si="139"/>
        <v>5057.4712643678158</v>
      </c>
      <c r="Y165" s="358">
        <f t="shared" si="140"/>
        <v>5057.4712643678158</v>
      </c>
      <c r="Z165" s="184">
        <f t="shared" si="112"/>
        <v>0</v>
      </c>
    </row>
    <row r="166" spans="1:26" ht="38.25" hidden="1">
      <c r="A166" s="187">
        <v>3</v>
      </c>
      <c r="B166" s="328" t="s">
        <v>120</v>
      </c>
      <c r="C166" s="191" t="s">
        <v>263</v>
      </c>
      <c r="D166" s="284">
        <f>22</f>
        <v>22</v>
      </c>
      <c r="E166" s="187" t="s">
        <v>173</v>
      </c>
      <c r="F166" s="340">
        <v>1600</v>
      </c>
      <c r="G166" s="355">
        <f t="shared" si="131"/>
        <v>35200</v>
      </c>
      <c r="H166" s="356">
        <f t="shared" si="132"/>
        <v>0</v>
      </c>
      <c r="I166" s="357"/>
      <c r="J166" s="357"/>
      <c r="K166" s="357">
        <f t="shared" si="133"/>
        <v>0</v>
      </c>
      <c r="L166" s="357"/>
      <c r="M166" s="357">
        <f t="shared" si="141"/>
        <v>35200</v>
      </c>
      <c r="N166" s="357">
        <f t="shared" si="134"/>
        <v>35200</v>
      </c>
      <c r="O166" s="358">
        <f t="shared" si="135"/>
        <v>35200</v>
      </c>
      <c r="P166" s="359">
        <f t="shared" si="136"/>
        <v>5057.4712643678158</v>
      </c>
      <c r="Q166" s="321">
        <v>3</v>
      </c>
      <c r="R166" s="188"/>
      <c r="S166" s="188"/>
      <c r="T166" s="188"/>
      <c r="U166" s="357">
        <f t="shared" si="138"/>
        <v>0</v>
      </c>
      <c r="V166" s="188"/>
      <c r="W166" s="188">
        <f>P166</f>
        <v>5057.4712643678158</v>
      </c>
      <c r="X166" s="357">
        <f t="shared" si="139"/>
        <v>5057.4712643678158</v>
      </c>
      <c r="Y166" s="358">
        <f t="shared" si="140"/>
        <v>5057.4712643678158</v>
      </c>
      <c r="Z166" s="184">
        <f t="shared" si="112"/>
        <v>0</v>
      </c>
    </row>
    <row r="167" spans="1:26" hidden="1">
      <c r="A167" s="219" t="s">
        <v>121</v>
      </c>
      <c r="B167" s="326"/>
      <c r="C167" s="220"/>
      <c r="D167" s="179"/>
      <c r="E167" s="179"/>
      <c r="F167" s="180"/>
      <c r="G167" s="207">
        <f t="shared" ref="G167:P167" si="145">SUM(G168:G188)</f>
        <v>81000</v>
      </c>
      <c r="H167" s="352">
        <f t="shared" si="145"/>
        <v>81000</v>
      </c>
      <c r="I167" s="353">
        <f t="shared" si="145"/>
        <v>0</v>
      </c>
      <c r="J167" s="353">
        <f t="shared" si="145"/>
        <v>0</v>
      </c>
      <c r="K167" s="353">
        <f t="shared" si="145"/>
        <v>0</v>
      </c>
      <c r="L167" s="353">
        <f t="shared" si="145"/>
        <v>0</v>
      </c>
      <c r="M167" s="353">
        <f t="shared" si="145"/>
        <v>0</v>
      </c>
      <c r="N167" s="353">
        <f t="shared" ref="N167" si="146">SUM(N168:N188)</f>
        <v>0</v>
      </c>
      <c r="O167" s="354">
        <f t="shared" si="145"/>
        <v>81000</v>
      </c>
      <c r="P167" s="352">
        <f t="shared" si="145"/>
        <v>11637.931034482759</v>
      </c>
      <c r="Q167" s="320"/>
      <c r="R167" s="181">
        <f t="shared" ref="R167:Y167" si="147">SUM(R168:R188)</f>
        <v>11637.931034482759</v>
      </c>
      <c r="S167" s="181">
        <f t="shared" si="147"/>
        <v>0</v>
      </c>
      <c r="T167" s="181">
        <f t="shared" si="147"/>
        <v>0</v>
      </c>
      <c r="U167" s="353">
        <f t="shared" si="147"/>
        <v>0</v>
      </c>
      <c r="V167" s="181">
        <f t="shared" si="147"/>
        <v>0</v>
      </c>
      <c r="W167" s="181">
        <f t="shared" si="147"/>
        <v>0</v>
      </c>
      <c r="X167" s="353">
        <f t="shared" si="147"/>
        <v>0</v>
      </c>
      <c r="Y167" s="354">
        <f t="shared" si="147"/>
        <v>11637.931034482759</v>
      </c>
      <c r="Z167" s="184">
        <f t="shared" si="112"/>
        <v>0</v>
      </c>
    </row>
    <row r="168" spans="1:26" ht="51" hidden="1">
      <c r="A168" s="187">
        <v>3</v>
      </c>
      <c r="B168" s="328" t="s">
        <v>121</v>
      </c>
      <c r="C168" s="189" t="s">
        <v>164</v>
      </c>
      <c r="D168" s="286">
        <f>5</f>
        <v>5</v>
      </c>
      <c r="E168" s="190" t="s">
        <v>172</v>
      </c>
      <c r="F168" s="339">
        <v>980</v>
      </c>
      <c r="G168" s="355">
        <f t="shared" ref="G168:G188" si="148">D168*F168</f>
        <v>4900</v>
      </c>
      <c r="H168" s="356">
        <f t="shared" ref="H168:H188" si="149">R168*$Y$4</f>
        <v>4900</v>
      </c>
      <c r="I168" s="357"/>
      <c r="J168" s="357"/>
      <c r="K168" s="357">
        <f t="shared" ref="K168:K188" si="150">I168+J168</f>
        <v>0</v>
      </c>
      <c r="L168" s="357"/>
      <c r="M168" s="357"/>
      <c r="N168" s="357">
        <f t="shared" ref="N168:N188" si="151">L168+M168</f>
        <v>0</v>
      </c>
      <c r="O168" s="358">
        <f t="shared" ref="O168:O188" si="152">H168+K168+N168</f>
        <v>4900</v>
      </c>
      <c r="P168" s="359">
        <f t="shared" ref="P168:P188" si="153">G168/$Y$4</f>
        <v>704.02298850574709</v>
      </c>
      <c r="Q168" s="321">
        <v>1</v>
      </c>
      <c r="R168" s="188">
        <f t="shared" ref="R168:R188" si="154">P168</f>
        <v>704.02298850574709</v>
      </c>
      <c r="S168" s="188"/>
      <c r="T168" s="188"/>
      <c r="U168" s="357">
        <f t="shared" ref="U168:U188" si="155">S168+T168</f>
        <v>0</v>
      </c>
      <c r="V168" s="188"/>
      <c r="W168" s="188"/>
      <c r="X168" s="357">
        <f t="shared" ref="X168:X188" si="156">V168+W168</f>
        <v>0</v>
      </c>
      <c r="Y168" s="358">
        <f t="shared" ref="Y168:Y188" si="157">R168+U168+X168</f>
        <v>704.02298850574709</v>
      </c>
      <c r="Z168" s="184">
        <f t="shared" si="112"/>
        <v>0</v>
      </c>
    </row>
    <row r="169" spans="1:26" ht="51">
      <c r="A169" s="187">
        <v>3</v>
      </c>
      <c r="B169" s="328" t="s">
        <v>121</v>
      </c>
      <c r="C169" s="189" t="s">
        <v>164</v>
      </c>
      <c r="D169" s="286">
        <f>5</f>
        <v>5</v>
      </c>
      <c r="E169" s="190" t="s">
        <v>172</v>
      </c>
      <c r="F169" s="339">
        <v>980</v>
      </c>
      <c r="G169" s="355">
        <f t="shared" si="148"/>
        <v>4900</v>
      </c>
      <c r="H169" s="356">
        <f t="shared" si="149"/>
        <v>4900</v>
      </c>
      <c r="I169" s="357"/>
      <c r="J169" s="357"/>
      <c r="K169" s="357">
        <f t="shared" si="150"/>
        <v>0</v>
      </c>
      <c r="L169" s="357"/>
      <c r="M169" s="357"/>
      <c r="N169" s="357">
        <f t="shared" si="151"/>
        <v>0</v>
      </c>
      <c r="O169" s="358">
        <f t="shared" si="152"/>
        <v>4900</v>
      </c>
      <c r="P169" s="359">
        <f t="shared" si="153"/>
        <v>704.02298850574709</v>
      </c>
      <c r="Q169" s="321">
        <v>2</v>
      </c>
      <c r="R169" s="188">
        <f t="shared" si="154"/>
        <v>704.02298850574709</v>
      </c>
      <c r="S169" s="188"/>
      <c r="T169" s="188"/>
      <c r="U169" s="357">
        <f t="shared" si="155"/>
        <v>0</v>
      </c>
      <c r="V169" s="188"/>
      <c r="W169" s="188"/>
      <c r="X169" s="357">
        <f t="shared" si="156"/>
        <v>0</v>
      </c>
      <c r="Y169" s="358">
        <f t="shared" si="157"/>
        <v>704.02298850574709</v>
      </c>
      <c r="Z169" s="184">
        <f t="shared" si="112"/>
        <v>0</v>
      </c>
    </row>
    <row r="170" spans="1:26" ht="51" hidden="1">
      <c r="A170" s="187">
        <v>3</v>
      </c>
      <c r="B170" s="328" t="s">
        <v>121</v>
      </c>
      <c r="C170" s="189" t="s">
        <v>164</v>
      </c>
      <c r="D170" s="286">
        <f>5</f>
        <v>5</v>
      </c>
      <c r="E170" s="190" t="s">
        <v>172</v>
      </c>
      <c r="F170" s="339">
        <v>980</v>
      </c>
      <c r="G170" s="355">
        <f t="shared" si="148"/>
        <v>4900</v>
      </c>
      <c r="H170" s="356">
        <f t="shared" si="149"/>
        <v>4900</v>
      </c>
      <c r="I170" s="357"/>
      <c r="J170" s="357"/>
      <c r="K170" s="357">
        <f t="shared" si="150"/>
        <v>0</v>
      </c>
      <c r="L170" s="357"/>
      <c r="M170" s="357"/>
      <c r="N170" s="357">
        <f t="shared" si="151"/>
        <v>0</v>
      </c>
      <c r="O170" s="358">
        <f t="shared" si="152"/>
        <v>4900</v>
      </c>
      <c r="P170" s="359">
        <f t="shared" si="153"/>
        <v>704.02298850574709</v>
      </c>
      <c r="Q170" s="321">
        <v>3</v>
      </c>
      <c r="R170" s="188">
        <f t="shared" si="154"/>
        <v>704.02298850574709</v>
      </c>
      <c r="S170" s="188"/>
      <c r="T170" s="188"/>
      <c r="U170" s="357">
        <f t="shared" si="155"/>
        <v>0</v>
      </c>
      <c r="V170" s="188"/>
      <c r="W170" s="188"/>
      <c r="X170" s="357">
        <f t="shared" si="156"/>
        <v>0</v>
      </c>
      <c r="Y170" s="358">
        <f t="shared" si="157"/>
        <v>704.02298850574709</v>
      </c>
      <c r="Z170" s="184">
        <f t="shared" si="112"/>
        <v>0</v>
      </c>
    </row>
    <row r="171" spans="1:26" ht="51" hidden="1">
      <c r="A171" s="187">
        <v>3</v>
      </c>
      <c r="B171" s="328" t="s">
        <v>121</v>
      </c>
      <c r="C171" s="189" t="s">
        <v>165</v>
      </c>
      <c r="D171" s="286">
        <f>1500</f>
        <v>1500</v>
      </c>
      <c r="E171" s="190" t="s">
        <v>80</v>
      </c>
      <c r="F171" s="339">
        <v>8</v>
      </c>
      <c r="G171" s="355">
        <f t="shared" si="148"/>
        <v>12000</v>
      </c>
      <c r="H171" s="356">
        <f t="shared" si="149"/>
        <v>12000</v>
      </c>
      <c r="I171" s="357"/>
      <c r="J171" s="357"/>
      <c r="K171" s="357">
        <f t="shared" si="150"/>
        <v>0</v>
      </c>
      <c r="L171" s="357"/>
      <c r="M171" s="357"/>
      <c r="N171" s="357">
        <f t="shared" si="151"/>
        <v>0</v>
      </c>
      <c r="O171" s="358">
        <f t="shared" si="152"/>
        <v>12000</v>
      </c>
      <c r="P171" s="359">
        <f t="shared" si="153"/>
        <v>1724.1379310344828</v>
      </c>
      <c r="Q171" s="321">
        <v>1</v>
      </c>
      <c r="R171" s="188">
        <f t="shared" si="154"/>
        <v>1724.1379310344828</v>
      </c>
      <c r="S171" s="188"/>
      <c r="T171" s="188"/>
      <c r="U171" s="357">
        <f t="shared" si="155"/>
        <v>0</v>
      </c>
      <c r="V171" s="188"/>
      <c r="W171" s="188"/>
      <c r="X171" s="357">
        <f t="shared" si="156"/>
        <v>0</v>
      </c>
      <c r="Y171" s="358">
        <f t="shared" si="157"/>
        <v>1724.1379310344828</v>
      </c>
      <c r="Z171" s="184">
        <f t="shared" si="112"/>
        <v>0</v>
      </c>
    </row>
    <row r="172" spans="1:26" ht="51">
      <c r="A172" s="187">
        <v>3</v>
      </c>
      <c r="B172" s="328" t="s">
        <v>121</v>
      </c>
      <c r="C172" s="189" t="s">
        <v>165</v>
      </c>
      <c r="D172" s="286">
        <f>1500</f>
        <v>1500</v>
      </c>
      <c r="E172" s="190" t="s">
        <v>80</v>
      </c>
      <c r="F172" s="339">
        <v>8</v>
      </c>
      <c r="G172" s="355">
        <f t="shared" si="148"/>
        <v>12000</v>
      </c>
      <c r="H172" s="356">
        <f t="shared" si="149"/>
        <v>12000</v>
      </c>
      <c r="I172" s="357"/>
      <c r="J172" s="357"/>
      <c r="K172" s="357">
        <f t="shared" si="150"/>
        <v>0</v>
      </c>
      <c r="L172" s="357"/>
      <c r="M172" s="357"/>
      <c r="N172" s="357">
        <f t="shared" si="151"/>
        <v>0</v>
      </c>
      <c r="O172" s="358">
        <f t="shared" si="152"/>
        <v>12000</v>
      </c>
      <c r="P172" s="359">
        <f t="shared" si="153"/>
        <v>1724.1379310344828</v>
      </c>
      <c r="Q172" s="321">
        <v>2</v>
      </c>
      <c r="R172" s="188">
        <f t="shared" si="154"/>
        <v>1724.1379310344828</v>
      </c>
      <c r="S172" s="188"/>
      <c r="T172" s="188"/>
      <c r="U172" s="357">
        <f t="shared" si="155"/>
        <v>0</v>
      </c>
      <c r="V172" s="188"/>
      <c r="W172" s="188"/>
      <c r="X172" s="357">
        <f t="shared" si="156"/>
        <v>0</v>
      </c>
      <c r="Y172" s="358">
        <f t="shared" si="157"/>
        <v>1724.1379310344828</v>
      </c>
      <c r="Z172" s="184">
        <f t="shared" si="112"/>
        <v>0</v>
      </c>
    </row>
    <row r="173" spans="1:26" ht="51" hidden="1">
      <c r="A173" s="187">
        <v>3</v>
      </c>
      <c r="B173" s="328" t="s">
        <v>121</v>
      </c>
      <c r="C173" s="189" t="s">
        <v>165</v>
      </c>
      <c r="D173" s="286">
        <f>1500</f>
        <v>1500</v>
      </c>
      <c r="E173" s="190" t="s">
        <v>80</v>
      </c>
      <c r="F173" s="339">
        <v>8</v>
      </c>
      <c r="G173" s="355">
        <f t="shared" si="148"/>
        <v>12000</v>
      </c>
      <c r="H173" s="356">
        <f t="shared" si="149"/>
        <v>12000</v>
      </c>
      <c r="I173" s="357"/>
      <c r="J173" s="357"/>
      <c r="K173" s="357">
        <f t="shared" si="150"/>
        <v>0</v>
      </c>
      <c r="L173" s="357"/>
      <c r="M173" s="357"/>
      <c r="N173" s="357">
        <f t="shared" si="151"/>
        <v>0</v>
      </c>
      <c r="O173" s="358">
        <f t="shared" si="152"/>
        <v>12000</v>
      </c>
      <c r="P173" s="359">
        <f t="shared" si="153"/>
        <v>1724.1379310344828</v>
      </c>
      <c r="Q173" s="321">
        <v>3</v>
      </c>
      <c r="R173" s="188">
        <f t="shared" si="154"/>
        <v>1724.1379310344828</v>
      </c>
      <c r="S173" s="188"/>
      <c r="T173" s="188"/>
      <c r="U173" s="357">
        <f t="shared" si="155"/>
        <v>0</v>
      </c>
      <c r="V173" s="188"/>
      <c r="W173" s="188"/>
      <c r="X173" s="357">
        <f t="shared" si="156"/>
        <v>0</v>
      </c>
      <c r="Y173" s="358">
        <f t="shared" si="157"/>
        <v>1724.1379310344828</v>
      </c>
      <c r="Z173" s="184">
        <f t="shared" si="112"/>
        <v>0</v>
      </c>
    </row>
    <row r="174" spans="1:26" ht="51" hidden="1">
      <c r="A174" s="187">
        <v>3</v>
      </c>
      <c r="B174" s="328" t="s">
        <v>121</v>
      </c>
      <c r="C174" s="189" t="s">
        <v>242</v>
      </c>
      <c r="D174" s="286">
        <f>15</f>
        <v>15</v>
      </c>
      <c r="E174" s="190" t="s">
        <v>172</v>
      </c>
      <c r="F174" s="339">
        <v>40</v>
      </c>
      <c r="G174" s="355">
        <f t="shared" si="148"/>
        <v>600</v>
      </c>
      <c r="H174" s="356">
        <f t="shared" si="149"/>
        <v>600</v>
      </c>
      <c r="I174" s="357"/>
      <c r="J174" s="357"/>
      <c r="K174" s="357">
        <f t="shared" si="150"/>
        <v>0</v>
      </c>
      <c r="L174" s="357"/>
      <c r="M174" s="357"/>
      <c r="N174" s="357">
        <f t="shared" si="151"/>
        <v>0</v>
      </c>
      <c r="O174" s="358">
        <f t="shared" si="152"/>
        <v>600</v>
      </c>
      <c r="P174" s="359">
        <f t="shared" si="153"/>
        <v>86.206896551724142</v>
      </c>
      <c r="Q174" s="321">
        <v>1</v>
      </c>
      <c r="R174" s="188">
        <f t="shared" si="154"/>
        <v>86.206896551724142</v>
      </c>
      <c r="S174" s="188"/>
      <c r="T174" s="188"/>
      <c r="U174" s="357">
        <f t="shared" si="155"/>
        <v>0</v>
      </c>
      <c r="V174" s="188"/>
      <c r="W174" s="188"/>
      <c r="X174" s="357">
        <f t="shared" si="156"/>
        <v>0</v>
      </c>
      <c r="Y174" s="358">
        <f t="shared" si="157"/>
        <v>86.206896551724142</v>
      </c>
      <c r="Z174" s="184">
        <f t="shared" si="112"/>
        <v>0</v>
      </c>
    </row>
    <row r="175" spans="1:26" ht="51">
      <c r="A175" s="187">
        <v>3</v>
      </c>
      <c r="B175" s="328" t="s">
        <v>121</v>
      </c>
      <c r="C175" s="189" t="s">
        <v>242</v>
      </c>
      <c r="D175" s="286">
        <f>15</f>
        <v>15</v>
      </c>
      <c r="E175" s="190" t="s">
        <v>172</v>
      </c>
      <c r="F175" s="339">
        <v>40</v>
      </c>
      <c r="G175" s="355">
        <f t="shared" si="148"/>
        <v>600</v>
      </c>
      <c r="H175" s="356">
        <f t="shared" si="149"/>
        <v>600</v>
      </c>
      <c r="I175" s="357"/>
      <c r="J175" s="357"/>
      <c r="K175" s="357">
        <f t="shared" si="150"/>
        <v>0</v>
      </c>
      <c r="L175" s="357"/>
      <c r="M175" s="357"/>
      <c r="N175" s="357">
        <f t="shared" si="151"/>
        <v>0</v>
      </c>
      <c r="O175" s="358">
        <f t="shared" si="152"/>
        <v>600</v>
      </c>
      <c r="P175" s="359">
        <f t="shared" si="153"/>
        <v>86.206896551724142</v>
      </c>
      <c r="Q175" s="321">
        <v>2</v>
      </c>
      <c r="R175" s="188">
        <f t="shared" si="154"/>
        <v>86.206896551724142</v>
      </c>
      <c r="S175" s="188"/>
      <c r="T175" s="188"/>
      <c r="U175" s="357">
        <f t="shared" si="155"/>
        <v>0</v>
      </c>
      <c r="V175" s="188"/>
      <c r="W175" s="188"/>
      <c r="X175" s="357">
        <f t="shared" si="156"/>
        <v>0</v>
      </c>
      <c r="Y175" s="358">
        <f t="shared" si="157"/>
        <v>86.206896551724142</v>
      </c>
      <c r="Z175" s="184">
        <f t="shared" si="112"/>
        <v>0</v>
      </c>
    </row>
    <row r="176" spans="1:26" ht="51" hidden="1">
      <c r="A176" s="187">
        <v>3</v>
      </c>
      <c r="B176" s="328" t="s">
        <v>121</v>
      </c>
      <c r="C176" s="189" t="s">
        <v>242</v>
      </c>
      <c r="D176" s="286">
        <f>15</f>
        <v>15</v>
      </c>
      <c r="E176" s="190" t="s">
        <v>172</v>
      </c>
      <c r="F176" s="339">
        <v>40</v>
      </c>
      <c r="G176" s="355">
        <f t="shared" si="148"/>
        <v>600</v>
      </c>
      <c r="H176" s="356">
        <f t="shared" si="149"/>
        <v>600</v>
      </c>
      <c r="I176" s="357"/>
      <c r="J176" s="357"/>
      <c r="K176" s="357">
        <f t="shared" si="150"/>
        <v>0</v>
      </c>
      <c r="L176" s="357"/>
      <c r="M176" s="357"/>
      <c r="N176" s="357">
        <f t="shared" si="151"/>
        <v>0</v>
      </c>
      <c r="O176" s="358">
        <f t="shared" si="152"/>
        <v>600</v>
      </c>
      <c r="P176" s="359">
        <f t="shared" si="153"/>
        <v>86.206896551724142</v>
      </c>
      <c r="Q176" s="321">
        <v>3</v>
      </c>
      <c r="R176" s="188">
        <f t="shared" si="154"/>
        <v>86.206896551724142</v>
      </c>
      <c r="S176" s="188"/>
      <c r="T176" s="188"/>
      <c r="U176" s="357">
        <f t="shared" si="155"/>
        <v>0</v>
      </c>
      <c r="V176" s="188"/>
      <c r="W176" s="188"/>
      <c r="X176" s="357">
        <f t="shared" si="156"/>
        <v>0</v>
      </c>
      <c r="Y176" s="358">
        <f t="shared" si="157"/>
        <v>86.206896551724142</v>
      </c>
      <c r="Z176" s="184">
        <f t="shared" si="112"/>
        <v>0</v>
      </c>
    </row>
    <row r="177" spans="1:26" ht="51" hidden="1">
      <c r="A177" s="187">
        <v>3</v>
      </c>
      <c r="B177" s="328" t="s">
        <v>121</v>
      </c>
      <c r="C177" s="189" t="s">
        <v>269</v>
      </c>
      <c r="D177" s="286">
        <v>4</v>
      </c>
      <c r="E177" s="190" t="s">
        <v>155</v>
      </c>
      <c r="F177" s="339">
        <v>3000</v>
      </c>
      <c r="G177" s="355">
        <f t="shared" si="148"/>
        <v>12000</v>
      </c>
      <c r="H177" s="356">
        <f t="shared" si="149"/>
        <v>12000</v>
      </c>
      <c r="I177" s="357"/>
      <c r="J177" s="357"/>
      <c r="K177" s="357">
        <f t="shared" si="150"/>
        <v>0</v>
      </c>
      <c r="L177" s="357"/>
      <c r="M177" s="357"/>
      <c r="N177" s="357">
        <f t="shared" si="151"/>
        <v>0</v>
      </c>
      <c r="O177" s="358">
        <f t="shared" si="152"/>
        <v>12000</v>
      </c>
      <c r="P177" s="359">
        <f t="shared" si="153"/>
        <v>1724.1379310344828</v>
      </c>
      <c r="Q177" s="321">
        <v>1</v>
      </c>
      <c r="R177" s="188">
        <f t="shared" si="154"/>
        <v>1724.1379310344828</v>
      </c>
      <c r="S177" s="188"/>
      <c r="T177" s="188"/>
      <c r="U177" s="357">
        <f t="shared" si="155"/>
        <v>0</v>
      </c>
      <c r="V177" s="188"/>
      <c r="W177" s="188"/>
      <c r="X177" s="357">
        <f t="shared" si="156"/>
        <v>0</v>
      </c>
      <c r="Y177" s="358">
        <f t="shared" si="157"/>
        <v>1724.1379310344828</v>
      </c>
      <c r="Z177" s="184">
        <f t="shared" si="112"/>
        <v>0</v>
      </c>
    </row>
    <row r="178" spans="1:26" ht="51" hidden="1">
      <c r="A178" s="187">
        <v>3</v>
      </c>
      <c r="B178" s="328" t="s">
        <v>121</v>
      </c>
      <c r="C178" s="189" t="s">
        <v>269</v>
      </c>
      <c r="D178" s="286">
        <v>0</v>
      </c>
      <c r="E178" s="190" t="s">
        <v>155</v>
      </c>
      <c r="F178" s="339">
        <v>3000</v>
      </c>
      <c r="G178" s="355">
        <f t="shared" si="148"/>
        <v>0</v>
      </c>
      <c r="H178" s="356">
        <f t="shared" si="149"/>
        <v>0</v>
      </c>
      <c r="I178" s="357"/>
      <c r="J178" s="357"/>
      <c r="K178" s="357">
        <f t="shared" si="150"/>
        <v>0</v>
      </c>
      <c r="L178" s="357"/>
      <c r="M178" s="357"/>
      <c r="N178" s="357">
        <f t="shared" si="151"/>
        <v>0</v>
      </c>
      <c r="O178" s="358">
        <f t="shared" si="152"/>
        <v>0</v>
      </c>
      <c r="P178" s="359">
        <f t="shared" si="153"/>
        <v>0</v>
      </c>
      <c r="Q178" s="321">
        <v>2</v>
      </c>
      <c r="R178" s="188">
        <f t="shared" si="154"/>
        <v>0</v>
      </c>
      <c r="S178" s="188"/>
      <c r="T178" s="188"/>
      <c r="U178" s="357">
        <f t="shared" si="155"/>
        <v>0</v>
      </c>
      <c r="V178" s="188"/>
      <c r="W178" s="188"/>
      <c r="X178" s="357">
        <f t="shared" si="156"/>
        <v>0</v>
      </c>
      <c r="Y178" s="358">
        <f t="shared" si="157"/>
        <v>0</v>
      </c>
      <c r="Z178" s="184">
        <f t="shared" si="112"/>
        <v>0</v>
      </c>
    </row>
    <row r="179" spans="1:26" ht="51" hidden="1">
      <c r="A179" s="187">
        <v>3</v>
      </c>
      <c r="B179" s="328" t="s">
        <v>121</v>
      </c>
      <c r="C179" s="189" t="s">
        <v>269</v>
      </c>
      <c r="D179" s="286">
        <v>0</v>
      </c>
      <c r="E179" s="190" t="s">
        <v>155</v>
      </c>
      <c r="F179" s="339">
        <v>3000</v>
      </c>
      <c r="G179" s="355">
        <f t="shared" si="148"/>
        <v>0</v>
      </c>
      <c r="H179" s="356">
        <f t="shared" si="149"/>
        <v>0</v>
      </c>
      <c r="I179" s="357"/>
      <c r="J179" s="357"/>
      <c r="K179" s="357">
        <f t="shared" si="150"/>
        <v>0</v>
      </c>
      <c r="L179" s="357"/>
      <c r="M179" s="357"/>
      <c r="N179" s="357">
        <f t="shared" si="151"/>
        <v>0</v>
      </c>
      <c r="O179" s="358">
        <f t="shared" si="152"/>
        <v>0</v>
      </c>
      <c r="P179" s="359">
        <f t="shared" si="153"/>
        <v>0</v>
      </c>
      <c r="Q179" s="321">
        <v>3</v>
      </c>
      <c r="R179" s="188">
        <f t="shared" si="154"/>
        <v>0</v>
      </c>
      <c r="S179" s="188"/>
      <c r="T179" s="188"/>
      <c r="U179" s="357">
        <f t="shared" si="155"/>
        <v>0</v>
      </c>
      <c r="V179" s="188"/>
      <c r="W179" s="188"/>
      <c r="X179" s="357">
        <f t="shared" si="156"/>
        <v>0</v>
      </c>
      <c r="Y179" s="358">
        <f t="shared" si="157"/>
        <v>0</v>
      </c>
      <c r="Z179" s="184">
        <f t="shared" si="112"/>
        <v>0</v>
      </c>
    </row>
    <row r="180" spans="1:26" ht="51" hidden="1">
      <c r="A180" s="187">
        <v>3</v>
      </c>
      <c r="B180" s="328" t="s">
        <v>121</v>
      </c>
      <c r="C180" s="189" t="s">
        <v>166</v>
      </c>
      <c r="D180" s="286">
        <f>1</f>
        <v>1</v>
      </c>
      <c r="E180" s="190" t="s">
        <v>92</v>
      </c>
      <c r="F180" s="339">
        <v>1000</v>
      </c>
      <c r="G180" s="355">
        <f t="shared" si="148"/>
        <v>1000</v>
      </c>
      <c r="H180" s="356">
        <f t="shared" si="149"/>
        <v>1000</v>
      </c>
      <c r="I180" s="357"/>
      <c r="J180" s="357"/>
      <c r="K180" s="357">
        <f t="shared" si="150"/>
        <v>0</v>
      </c>
      <c r="L180" s="357"/>
      <c r="M180" s="357"/>
      <c r="N180" s="357">
        <f t="shared" si="151"/>
        <v>0</v>
      </c>
      <c r="O180" s="358">
        <f t="shared" si="152"/>
        <v>1000</v>
      </c>
      <c r="P180" s="359">
        <f t="shared" si="153"/>
        <v>143.67816091954023</v>
      </c>
      <c r="Q180" s="321">
        <v>1</v>
      </c>
      <c r="R180" s="188">
        <f t="shared" si="154"/>
        <v>143.67816091954023</v>
      </c>
      <c r="S180" s="188"/>
      <c r="T180" s="188"/>
      <c r="U180" s="357">
        <f t="shared" si="155"/>
        <v>0</v>
      </c>
      <c r="V180" s="188"/>
      <c r="W180" s="188"/>
      <c r="X180" s="357">
        <f t="shared" si="156"/>
        <v>0</v>
      </c>
      <c r="Y180" s="358">
        <f t="shared" si="157"/>
        <v>143.67816091954023</v>
      </c>
      <c r="Z180" s="184">
        <f t="shared" si="112"/>
        <v>0</v>
      </c>
    </row>
    <row r="181" spans="1:26" ht="51">
      <c r="A181" s="187">
        <v>3</v>
      </c>
      <c r="B181" s="328" t="s">
        <v>121</v>
      </c>
      <c r="C181" s="189" t="s">
        <v>166</v>
      </c>
      <c r="D181" s="286">
        <f>1</f>
        <v>1</v>
      </c>
      <c r="E181" s="190" t="s">
        <v>92</v>
      </c>
      <c r="F181" s="339">
        <v>1000</v>
      </c>
      <c r="G181" s="355">
        <f t="shared" si="148"/>
        <v>1000</v>
      </c>
      <c r="H181" s="356">
        <f t="shared" si="149"/>
        <v>1000</v>
      </c>
      <c r="I181" s="357"/>
      <c r="J181" s="357"/>
      <c r="K181" s="357">
        <f t="shared" si="150"/>
        <v>0</v>
      </c>
      <c r="L181" s="357"/>
      <c r="M181" s="357"/>
      <c r="N181" s="357">
        <f t="shared" si="151"/>
        <v>0</v>
      </c>
      <c r="O181" s="358">
        <f t="shared" si="152"/>
        <v>1000</v>
      </c>
      <c r="P181" s="359">
        <f t="shared" si="153"/>
        <v>143.67816091954023</v>
      </c>
      <c r="Q181" s="321">
        <v>2</v>
      </c>
      <c r="R181" s="188">
        <f t="shared" si="154"/>
        <v>143.67816091954023</v>
      </c>
      <c r="S181" s="188"/>
      <c r="T181" s="188"/>
      <c r="U181" s="357">
        <f t="shared" si="155"/>
        <v>0</v>
      </c>
      <c r="V181" s="188"/>
      <c r="W181" s="188"/>
      <c r="X181" s="357">
        <f t="shared" si="156"/>
        <v>0</v>
      </c>
      <c r="Y181" s="358">
        <f t="shared" si="157"/>
        <v>143.67816091954023</v>
      </c>
      <c r="Z181" s="184">
        <f t="shared" si="112"/>
        <v>0</v>
      </c>
    </row>
    <row r="182" spans="1:26" ht="51" hidden="1">
      <c r="A182" s="187">
        <v>3</v>
      </c>
      <c r="B182" s="328" t="s">
        <v>121</v>
      </c>
      <c r="C182" s="189" t="s">
        <v>166</v>
      </c>
      <c r="D182" s="286">
        <f>1</f>
        <v>1</v>
      </c>
      <c r="E182" s="190" t="s">
        <v>92</v>
      </c>
      <c r="F182" s="339">
        <v>1000</v>
      </c>
      <c r="G182" s="355">
        <f t="shared" si="148"/>
        <v>1000</v>
      </c>
      <c r="H182" s="356">
        <f t="shared" si="149"/>
        <v>1000</v>
      </c>
      <c r="I182" s="357"/>
      <c r="J182" s="357"/>
      <c r="K182" s="357">
        <f t="shared" si="150"/>
        <v>0</v>
      </c>
      <c r="L182" s="357"/>
      <c r="M182" s="357"/>
      <c r="N182" s="357">
        <f t="shared" si="151"/>
        <v>0</v>
      </c>
      <c r="O182" s="358">
        <f t="shared" si="152"/>
        <v>1000</v>
      </c>
      <c r="P182" s="359">
        <f t="shared" si="153"/>
        <v>143.67816091954023</v>
      </c>
      <c r="Q182" s="321">
        <v>3</v>
      </c>
      <c r="R182" s="188">
        <f t="shared" si="154"/>
        <v>143.67816091954023</v>
      </c>
      <c r="S182" s="188"/>
      <c r="T182" s="188"/>
      <c r="U182" s="357">
        <f t="shared" si="155"/>
        <v>0</v>
      </c>
      <c r="V182" s="188"/>
      <c r="W182" s="188"/>
      <c r="X182" s="357">
        <f t="shared" si="156"/>
        <v>0</v>
      </c>
      <c r="Y182" s="358">
        <f t="shared" si="157"/>
        <v>143.67816091954023</v>
      </c>
      <c r="Z182" s="184">
        <f t="shared" si="112"/>
        <v>0</v>
      </c>
    </row>
    <row r="183" spans="1:26" ht="51" hidden="1">
      <c r="A183" s="187">
        <v>3</v>
      </c>
      <c r="B183" s="328" t="s">
        <v>121</v>
      </c>
      <c r="C183" s="189" t="s">
        <v>167</v>
      </c>
      <c r="D183" s="286">
        <f>1</f>
        <v>1</v>
      </c>
      <c r="E183" s="190" t="s">
        <v>92</v>
      </c>
      <c r="F183" s="339">
        <v>1500</v>
      </c>
      <c r="G183" s="355">
        <f t="shared" si="148"/>
        <v>1500</v>
      </c>
      <c r="H183" s="356">
        <f t="shared" si="149"/>
        <v>1500</v>
      </c>
      <c r="I183" s="357"/>
      <c r="J183" s="357"/>
      <c r="K183" s="357">
        <f t="shared" si="150"/>
        <v>0</v>
      </c>
      <c r="L183" s="357"/>
      <c r="M183" s="357"/>
      <c r="N183" s="357">
        <f t="shared" si="151"/>
        <v>0</v>
      </c>
      <c r="O183" s="358">
        <f t="shared" si="152"/>
        <v>1500</v>
      </c>
      <c r="P183" s="359">
        <f t="shared" si="153"/>
        <v>215.51724137931035</v>
      </c>
      <c r="Q183" s="321">
        <v>1</v>
      </c>
      <c r="R183" s="188">
        <f t="shared" si="154"/>
        <v>215.51724137931035</v>
      </c>
      <c r="S183" s="188"/>
      <c r="T183" s="188"/>
      <c r="U183" s="357">
        <f t="shared" si="155"/>
        <v>0</v>
      </c>
      <c r="V183" s="188"/>
      <c r="W183" s="188"/>
      <c r="X183" s="357">
        <f t="shared" si="156"/>
        <v>0</v>
      </c>
      <c r="Y183" s="358">
        <f t="shared" si="157"/>
        <v>215.51724137931035</v>
      </c>
      <c r="Z183" s="184">
        <f t="shared" si="112"/>
        <v>0</v>
      </c>
    </row>
    <row r="184" spans="1:26" ht="51">
      <c r="A184" s="187">
        <v>3</v>
      </c>
      <c r="B184" s="328" t="s">
        <v>121</v>
      </c>
      <c r="C184" s="189" t="s">
        <v>167</v>
      </c>
      <c r="D184" s="286">
        <f>1</f>
        <v>1</v>
      </c>
      <c r="E184" s="190" t="s">
        <v>92</v>
      </c>
      <c r="F184" s="339">
        <v>1500</v>
      </c>
      <c r="G184" s="355">
        <f t="shared" si="148"/>
        <v>1500</v>
      </c>
      <c r="H184" s="356">
        <f t="shared" si="149"/>
        <v>1500</v>
      </c>
      <c r="I184" s="357"/>
      <c r="J184" s="357"/>
      <c r="K184" s="357">
        <f t="shared" si="150"/>
        <v>0</v>
      </c>
      <c r="L184" s="357"/>
      <c r="M184" s="357"/>
      <c r="N184" s="357">
        <f t="shared" si="151"/>
        <v>0</v>
      </c>
      <c r="O184" s="358">
        <f t="shared" si="152"/>
        <v>1500</v>
      </c>
      <c r="P184" s="359">
        <f t="shared" si="153"/>
        <v>215.51724137931035</v>
      </c>
      <c r="Q184" s="321">
        <v>2</v>
      </c>
      <c r="R184" s="188">
        <f t="shared" si="154"/>
        <v>215.51724137931035</v>
      </c>
      <c r="S184" s="188"/>
      <c r="T184" s="188"/>
      <c r="U184" s="357">
        <f t="shared" si="155"/>
        <v>0</v>
      </c>
      <c r="V184" s="188"/>
      <c r="W184" s="188"/>
      <c r="X184" s="357">
        <f t="shared" si="156"/>
        <v>0</v>
      </c>
      <c r="Y184" s="358">
        <f t="shared" si="157"/>
        <v>215.51724137931035</v>
      </c>
      <c r="Z184" s="184">
        <f t="shared" si="112"/>
        <v>0</v>
      </c>
    </row>
    <row r="185" spans="1:26" ht="51" hidden="1">
      <c r="A185" s="187">
        <v>3</v>
      </c>
      <c r="B185" s="328" t="s">
        <v>121</v>
      </c>
      <c r="C185" s="189" t="s">
        <v>167</v>
      </c>
      <c r="D185" s="286">
        <f>1</f>
        <v>1</v>
      </c>
      <c r="E185" s="190" t="s">
        <v>92</v>
      </c>
      <c r="F185" s="339">
        <v>1500</v>
      </c>
      <c r="G185" s="355">
        <f t="shared" si="148"/>
        <v>1500</v>
      </c>
      <c r="H185" s="356">
        <f t="shared" si="149"/>
        <v>1500</v>
      </c>
      <c r="I185" s="357"/>
      <c r="J185" s="357"/>
      <c r="K185" s="357">
        <f t="shared" si="150"/>
        <v>0</v>
      </c>
      <c r="L185" s="357"/>
      <c r="M185" s="357"/>
      <c r="N185" s="357">
        <f t="shared" si="151"/>
        <v>0</v>
      </c>
      <c r="O185" s="358">
        <f t="shared" si="152"/>
        <v>1500</v>
      </c>
      <c r="P185" s="359">
        <f t="shared" si="153"/>
        <v>215.51724137931035</v>
      </c>
      <c r="Q185" s="321">
        <v>3</v>
      </c>
      <c r="R185" s="188">
        <f t="shared" si="154"/>
        <v>215.51724137931035</v>
      </c>
      <c r="S185" s="188"/>
      <c r="T185" s="188"/>
      <c r="U185" s="357">
        <f t="shared" si="155"/>
        <v>0</v>
      </c>
      <c r="V185" s="188"/>
      <c r="W185" s="188"/>
      <c r="X185" s="357">
        <f t="shared" si="156"/>
        <v>0</v>
      </c>
      <c r="Y185" s="358">
        <f t="shared" si="157"/>
        <v>215.51724137931035</v>
      </c>
      <c r="Z185" s="184">
        <f t="shared" si="112"/>
        <v>0</v>
      </c>
    </row>
    <row r="186" spans="1:26" ht="51" hidden="1">
      <c r="A186" s="187">
        <v>3</v>
      </c>
      <c r="B186" s="328" t="s">
        <v>121</v>
      </c>
      <c r="C186" s="189" t="s">
        <v>168</v>
      </c>
      <c r="D186" s="286">
        <f>1</f>
        <v>1</v>
      </c>
      <c r="E186" s="190" t="s">
        <v>169</v>
      </c>
      <c r="F186" s="339">
        <v>3000</v>
      </c>
      <c r="G186" s="355">
        <f t="shared" si="148"/>
        <v>3000</v>
      </c>
      <c r="H186" s="356">
        <f t="shared" si="149"/>
        <v>3000</v>
      </c>
      <c r="I186" s="357"/>
      <c r="J186" s="357"/>
      <c r="K186" s="357">
        <f t="shared" si="150"/>
        <v>0</v>
      </c>
      <c r="L186" s="357"/>
      <c r="M186" s="357"/>
      <c r="N186" s="357">
        <f t="shared" si="151"/>
        <v>0</v>
      </c>
      <c r="O186" s="358">
        <f t="shared" si="152"/>
        <v>3000</v>
      </c>
      <c r="P186" s="359">
        <f t="shared" si="153"/>
        <v>431.0344827586207</v>
      </c>
      <c r="Q186" s="321">
        <v>1</v>
      </c>
      <c r="R186" s="188">
        <f t="shared" si="154"/>
        <v>431.0344827586207</v>
      </c>
      <c r="S186" s="188"/>
      <c r="T186" s="188"/>
      <c r="U186" s="357">
        <f t="shared" si="155"/>
        <v>0</v>
      </c>
      <c r="V186" s="188"/>
      <c r="W186" s="188"/>
      <c r="X186" s="357">
        <f t="shared" si="156"/>
        <v>0</v>
      </c>
      <c r="Y186" s="358">
        <f t="shared" si="157"/>
        <v>431.0344827586207</v>
      </c>
      <c r="Z186" s="184">
        <f t="shared" si="112"/>
        <v>0</v>
      </c>
    </row>
    <row r="187" spans="1:26" ht="51">
      <c r="A187" s="187">
        <v>3</v>
      </c>
      <c r="B187" s="328" t="s">
        <v>121</v>
      </c>
      <c r="C187" s="189" t="s">
        <v>168</v>
      </c>
      <c r="D187" s="286">
        <f>1</f>
        <v>1</v>
      </c>
      <c r="E187" s="190" t="s">
        <v>169</v>
      </c>
      <c r="F187" s="339">
        <v>3000</v>
      </c>
      <c r="G187" s="355">
        <f t="shared" si="148"/>
        <v>3000</v>
      </c>
      <c r="H187" s="356">
        <f t="shared" si="149"/>
        <v>3000</v>
      </c>
      <c r="I187" s="357"/>
      <c r="J187" s="357"/>
      <c r="K187" s="357">
        <f t="shared" si="150"/>
        <v>0</v>
      </c>
      <c r="L187" s="357"/>
      <c r="M187" s="357"/>
      <c r="N187" s="357">
        <f t="shared" si="151"/>
        <v>0</v>
      </c>
      <c r="O187" s="358">
        <f t="shared" si="152"/>
        <v>3000</v>
      </c>
      <c r="P187" s="359">
        <f t="shared" si="153"/>
        <v>431.0344827586207</v>
      </c>
      <c r="Q187" s="321">
        <v>2</v>
      </c>
      <c r="R187" s="188">
        <f t="shared" si="154"/>
        <v>431.0344827586207</v>
      </c>
      <c r="S187" s="188"/>
      <c r="T187" s="188"/>
      <c r="U187" s="357">
        <f t="shared" si="155"/>
        <v>0</v>
      </c>
      <c r="V187" s="188"/>
      <c r="W187" s="188"/>
      <c r="X187" s="357">
        <f t="shared" si="156"/>
        <v>0</v>
      </c>
      <c r="Y187" s="358">
        <f t="shared" si="157"/>
        <v>431.0344827586207</v>
      </c>
      <c r="Z187" s="184">
        <f t="shared" si="112"/>
        <v>0</v>
      </c>
    </row>
    <row r="188" spans="1:26" ht="51" hidden="1">
      <c r="A188" s="187">
        <v>3</v>
      </c>
      <c r="B188" s="328" t="s">
        <v>121</v>
      </c>
      <c r="C188" s="189" t="s">
        <v>168</v>
      </c>
      <c r="D188" s="286">
        <f>1</f>
        <v>1</v>
      </c>
      <c r="E188" s="190" t="s">
        <v>169</v>
      </c>
      <c r="F188" s="339">
        <v>3000</v>
      </c>
      <c r="G188" s="355">
        <f t="shared" si="148"/>
        <v>3000</v>
      </c>
      <c r="H188" s="356">
        <f t="shared" si="149"/>
        <v>3000</v>
      </c>
      <c r="I188" s="357"/>
      <c r="J188" s="357"/>
      <c r="K188" s="357">
        <f t="shared" si="150"/>
        <v>0</v>
      </c>
      <c r="L188" s="357"/>
      <c r="M188" s="357"/>
      <c r="N188" s="357">
        <f t="shared" si="151"/>
        <v>0</v>
      </c>
      <c r="O188" s="358">
        <f t="shared" si="152"/>
        <v>3000</v>
      </c>
      <c r="P188" s="359">
        <f t="shared" si="153"/>
        <v>431.0344827586207</v>
      </c>
      <c r="Q188" s="321">
        <v>3</v>
      </c>
      <c r="R188" s="188">
        <f t="shared" si="154"/>
        <v>431.0344827586207</v>
      </c>
      <c r="S188" s="188"/>
      <c r="T188" s="188"/>
      <c r="U188" s="357">
        <f t="shared" si="155"/>
        <v>0</v>
      </c>
      <c r="V188" s="188"/>
      <c r="W188" s="188"/>
      <c r="X188" s="357">
        <f t="shared" si="156"/>
        <v>0</v>
      </c>
      <c r="Y188" s="358">
        <f t="shared" si="157"/>
        <v>431.0344827586207</v>
      </c>
      <c r="Z188" s="184">
        <f t="shared" si="112"/>
        <v>0</v>
      </c>
    </row>
    <row r="189" spans="1:26" hidden="1">
      <c r="A189" s="219" t="s">
        <v>122</v>
      </c>
      <c r="B189" s="326"/>
      <c r="C189" s="220"/>
      <c r="D189" s="179"/>
      <c r="E189" s="179"/>
      <c r="F189" s="180"/>
      <c r="G189" s="207">
        <f t="shared" ref="G189:P189" si="158">SUM(G190:G198)</f>
        <v>377520</v>
      </c>
      <c r="H189" s="352">
        <f t="shared" si="158"/>
        <v>268400</v>
      </c>
      <c r="I189" s="353">
        <f t="shared" si="158"/>
        <v>0</v>
      </c>
      <c r="J189" s="353">
        <f t="shared" si="158"/>
        <v>0</v>
      </c>
      <c r="K189" s="353">
        <f t="shared" si="158"/>
        <v>0</v>
      </c>
      <c r="L189" s="353">
        <f t="shared" si="158"/>
        <v>70400</v>
      </c>
      <c r="M189" s="353">
        <f t="shared" si="158"/>
        <v>38720</v>
      </c>
      <c r="N189" s="353">
        <f t="shared" si="158"/>
        <v>109120</v>
      </c>
      <c r="O189" s="354">
        <f t="shared" si="158"/>
        <v>377520</v>
      </c>
      <c r="P189" s="352">
        <f t="shared" si="158"/>
        <v>54241.379310344826</v>
      </c>
      <c r="Q189" s="320"/>
      <c r="R189" s="181">
        <f t="shared" ref="R189:Y189" si="159">SUM(R190:R198)</f>
        <v>38563.218390804599</v>
      </c>
      <c r="S189" s="181">
        <f t="shared" si="159"/>
        <v>0</v>
      </c>
      <c r="T189" s="181">
        <f t="shared" si="159"/>
        <v>0</v>
      </c>
      <c r="U189" s="353">
        <f t="shared" si="159"/>
        <v>0</v>
      </c>
      <c r="V189" s="181">
        <f t="shared" si="159"/>
        <v>10114.942528735632</v>
      </c>
      <c r="W189" s="181">
        <f t="shared" si="159"/>
        <v>5563.2183908045972</v>
      </c>
      <c r="X189" s="353">
        <f t="shared" si="159"/>
        <v>15678.160919540232</v>
      </c>
      <c r="Y189" s="354">
        <f t="shared" si="159"/>
        <v>54241.379310344826</v>
      </c>
      <c r="Z189" s="184">
        <f t="shared" si="112"/>
        <v>0</v>
      </c>
    </row>
    <row r="190" spans="1:26" ht="25.5" hidden="1">
      <c r="A190" s="187">
        <v>3</v>
      </c>
      <c r="B190" s="328" t="s">
        <v>122</v>
      </c>
      <c r="C190" s="189" t="s">
        <v>181</v>
      </c>
      <c r="D190" s="286">
        <v>24</v>
      </c>
      <c r="E190" s="190" t="s">
        <v>182</v>
      </c>
      <c r="F190" s="339">
        <v>8000</v>
      </c>
      <c r="G190" s="355">
        <f t="shared" ref="G190:G198" si="160">D190*F190</f>
        <v>192000</v>
      </c>
      <c r="H190" s="356">
        <f t="shared" ref="H190:H198" si="161">R190*$Y$4</f>
        <v>134400</v>
      </c>
      <c r="I190" s="357"/>
      <c r="J190" s="357"/>
      <c r="K190" s="357">
        <f t="shared" ref="K190:K198" si="162">I190+J190</f>
        <v>0</v>
      </c>
      <c r="L190" s="357">
        <f t="shared" ref="L190:M192" si="163">V190*$Y$4</f>
        <v>38400</v>
      </c>
      <c r="M190" s="357">
        <f t="shared" si="163"/>
        <v>19200</v>
      </c>
      <c r="N190" s="357">
        <f t="shared" ref="N190:N198" si="164">L190+M190</f>
        <v>57600</v>
      </c>
      <c r="O190" s="358">
        <f t="shared" ref="O190:O198" si="165">H190+K190+N190</f>
        <v>192000</v>
      </c>
      <c r="P190" s="359">
        <f t="shared" ref="P190:P198" si="166">G190/$Y$4</f>
        <v>27586.206896551725</v>
      </c>
      <c r="Q190" s="321">
        <v>1</v>
      </c>
      <c r="R190" s="331">
        <f>P190*0.7</f>
        <v>19310.344827586207</v>
      </c>
      <c r="S190" s="188"/>
      <c r="T190" s="188"/>
      <c r="U190" s="357">
        <f t="shared" ref="U190:U198" si="167">S190+T190</f>
        <v>0</v>
      </c>
      <c r="V190" s="188">
        <f>P190*0.2</f>
        <v>5517.2413793103451</v>
      </c>
      <c r="W190" s="188">
        <f>P190*0.1</f>
        <v>2758.6206896551726</v>
      </c>
      <c r="X190" s="357">
        <f t="shared" ref="X190:X198" si="168">V190+W190</f>
        <v>8275.8620689655181</v>
      </c>
      <c r="Y190" s="358">
        <f t="shared" ref="Y190:Y198" si="169">R190+U190+X190</f>
        <v>27586.206896551725</v>
      </c>
      <c r="Z190" s="184">
        <f t="shared" si="112"/>
        <v>0</v>
      </c>
    </row>
    <row r="191" spans="1:26" ht="25.5">
      <c r="A191" s="187">
        <v>3</v>
      </c>
      <c r="B191" s="328" t="s">
        <v>122</v>
      </c>
      <c r="C191" s="189" t="s">
        <v>181</v>
      </c>
      <c r="D191" s="286">
        <v>20</v>
      </c>
      <c r="E191" s="190" t="s">
        <v>182</v>
      </c>
      <c r="F191" s="339">
        <v>8000</v>
      </c>
      <c r="G191" s="355">
        <f t="shared" si="160"/>
        <v>160000</v>
      </c>
      <c r="H191" s="356">
        <f t="shared" si="161"/>
        <v>111999.99999999999</v>
      </c>
      <c r="I191" s="357"/>
      <c r="J191" s="357"/>
      <c r="K191" s="357">
        <f t="shared" si="162"/>
        <v>0</v>
      </c>
      <c r="L191" s="357">
        <f t="shared" si="163"/>
        <v>32000</v>
      </c>
      <c r="M191" s="357">
        <f t="shared" si="163"/>
        <v>16000</v>
      </c>
      <c r="N191" s="357">
        <f t="shared" si="164"/>
        <v>48000</v>
      </c>
      <c r="O191" s="358">
        <f t="shared" si="165"/>
        <v>160000</v>
      </c>
      <c r="P191" s="359">
        <f t="shared" si="166"/>
        <v>22988.505747126437</v>
      </c>
      <c r="Q191" s="321">
        <v>2</v>
      </c>
      <c r="R191" s="331">
        <f t="shared" ref="R191:R192" si="170">P191*0.7</f>
        <v>16091.954022988504</v>
      </c>
      <c r="S191" s="188"/>
      <c r="T191" s="188"/>
      <c r="U191" s="357">
        <f t="shared" si="167"/>
        <v>0</v>
      </c>
      <c r="V191" s="188">
        <f t="shared" ref="V191:V192" si="171">P191*0.2</f>
        <v>4597.7011494252874</v>
      </c>
      <c r="W191" s="188">
        <f t="shared" ref="W191:W192" si="172">P191*0.1</f>
        <v>2298.8505747126437</v>
      </c>
      <c r="X191" s="357">
        <f t="shared" si="168"/>
        <v>6896.5517241379312</v>
      </c>
      <c r="Y191" s="358">
        <f t="shared" si="169"/>
        <v>22988.505747126437</v>
      </c>
      <c r="Z191" s="184">
        <f t="shared" si="112"/>
        <v>0</v>
      </c>
    </row>
    <row r="192" spans="1:26" ht="25.5" hidden="1">
      <c r="A192" s="187">
        <v>3</v>
      </c>
      <c r="B192" s="328" t="s">
        <v>122</v>
      </c>
      <c r="C192" s="189" t="s">
        <v>181</v>
      </c>
      <c r="D192" s="286">
        <v>0</v>
      </c>
      <c r="E192" s="190" t="s">
        <v>182</v>
      </c>
      <c r="F192" s="339">
        <v>8000</v>
      </c>
      <c r="G192" s="355">
        <f t="shared" si="160"/>
        <v>0</v>
      </c>
      <c r="H192" s="356">
        <f t="shared" si="161"/>
        <v>0</v>
      </c>
      <c r="I192" s="357"/>
      <c r="J192" s="357"/>
      <c r="K192" s="357">
        <f t="shared" si="162"/>
        <v>0</v>
      </c>
      <c r="L192" s="357">
        <f t="shared" si="163"/>
        <v>0</v>
      </c>
      <c r="M192" s="357">
        <f t="shared" si="163"/>
        <v>0</v>
      </c>
      <c r="N192" s="357">
        <f t="shared" si="164"/>
        <v>0</v>
      </c>
      <c r="O192" s="358">
        <f t="shared" si="165"/>
        <v>0</v>
      </c>
      <c r="P192" s="359">
        <f t="shared" si="166"/>
        <v>0</v>
      </c>
      <c r="Q192" s="321">
        <v>3</v>
      </c>
      <c r="R192" s="331">
        <f t="shared" si="170"/>
        <v>0</v>
      </c>
      <c r="S192" s="188"/>
      <c r="T192" s="188"/>
      <c r="U192" s="357">
        <f t="shared" si="167"/>
        <v>0</v>
      </c>
      <c r="V192" s="188">
        <f t="shared" si="171"/>
        <v>0</v>
      </c>
      <c r="W192" s="188">
        <f t="shared" si="172"/>
        <v>0</v>
      </c>
      <c r="X192" s="357">
        <f t="shared" si="168"/>
        <v>0</v>
      </c>
      <c r="Y192" s="358">
        <f t="shared" si="169"/>
        <v>0</v>
      </c>
      <c r="Z192" s="184">
        <f t="shared" si="112"/>
        <v>0</v>
      </c>
    </row>
    <row r="193" spans="1:26" ht="25.5" hidden="1">
      <c r="A193" s="187">
        <v>3</v>
      </c>
      <c r="B193" s="328" t="s">
        <v>122</v>
      </c>
      <c r="C193" s="189" t="s">
        <v>183</v>
      </c>
      <c r="D193" s="286">
        <v>24</v>
      </c>
      <c r="E193" s="190" t="s">
        <v>184</v>
      </c>
      <c r="F193" s="339">
        <v>500</v>
      </c>
      <c r="G193" s="355">
        <f t="shared" si="160"/>
        <v>12000</v>
      </c>
      <c r="H193" s="356">
        <f t="shared" si="161"/>
        <v>12000</v>
      </c>
      <c r="I193" s="357"/>
      <c r="J193" s="357"/>
      <c r="K193" s="357">
        <f t="shared" si="162"/>
        <v>0</v>
      </c>
      <c r="L193" s="357"/>
      <c r="M193" s="357"/>
      <c r="N193" s="357">
        <f t="shared" si="164"/>
        <v>0</v>
      </c>
      <c r="O193" s="358">
        <f t="shared" si="165"/>
        <v>12000</v>
      </c>
      <c r="P193" s="359">
        <f t="shared" si="166"/>
        <v>1724.1379310344828</v>
      </c>
      <c r="Q193" s="321">
        <v>1</v>
      </c>
      <c r="R193" s="188">
        <f t="shared" ref="R193:R195" si="173">P193</f>
        <v>1724.1379310344828</v>
      </c>
      <c r="S193" s="188"/>
      <c r="T193" s="188"/>
      <c r="U193" s="357">
        <f t="shared" si="167"/>
        <v>0</v>
      </c>
      <c r="V193" s="188"/>
      <c r="W193" s="188"/>
      <c r="X193" s="357">
        <f t="shared" si="168"/>
        <v>0</v>
      </c>
      <c r="Y193" s="358">
        <f t="shared" si="169"/>
        <v>1724.1379310344828</v>
      </c>
      <c r="Z193" s="184">
        <f t="shared" si="112"/>
        <v>0</v>
      </c>
    </row>
    <row r="194" spans="1:26" ht="25.5">
      <c r="A194" s="187">
        <v>3</v>
      </c>
      <c r="B194" s="328" t="s">
        <v>122</v>
      </c>
      <c r="C194" s="189" t="s">
        <v>183</v>
      </c>
      <c r="D194" s="286">
        <v>20</v>
      </c>
      <c r="E194" s="190" t="s">
        <v>184</v>
      </c>
      <c r="F194" s="339">
        <v>500</v>
      </c>
      <c r="G194" s="355">
        <f t="shared" si="160"/>
        <v>10000</v>
      </c>
      <c r="H194" s="356">
        <f t="shared" si="161"/>
        <v>10000</v>
      </c>
      <c r="I194" s="357"/>
      <c r="J194" s="357"/>
      <c r="K194" s="357">
        <f t="shared" si="162"/>
        <v>0</v>
      </c>
      <c r="L194" s="357"/>
      <c r="M194" s="357"/>
      <c r="N194" s="357">
        <f t="shared" si="164"/>
        <v>0</v>
      </c>
      <c r="O194" s="358">
        <f t="shared" si="165"/>
        <v>10000</v>
      </c>
      <c r="P194" s="359">
        <f t="shared" si="166"/>
        <v>1436.7816091954023</v>
      </c>
      <c r="Q194" s="321">
        <v>2</v>
      </c>
      <c r="R194" s="188">
        <f t="shared" si="173"/>
        <v>1436.7816091954023</v>
      </c>
      <c r="S194" s="188"/>
      <c r="T194" s="188"/>
      <c r="U194" s="357">
        <f t="shared" si="167"/>
        <v>0</v>
      </c>
      <c r="V194" s="188"/>
      <c r="W194" s="188"/>
      <c r="X194" s="357">
        <f t="shared" si="168"/>
        <v>0</v>
      </c>
      <c r="Y194" s="358">
        <f t="shared" si="169"/>
        <v>1436.7816091954023</v>
      </c>
      <c r="Z194" s="184">
        <f t="shared" si="112"/>
        <v>0</v>
      </c>
    </row>
    <row r="195" spans="1:26" ht="25.5" hidden="1">
      <c r="A195" s="187">
        <v>3</v>
      </c>
      <c r="B195" s="328" t="s">
        <v>122</v>
      </c>
      <c r="C195" s="189" t="s">
        <v>183</v>
      </c>
      <c r="D195" s="286">
        <v>0</v>
      </c>
      <c r="E195" s="190" t="s">
        <v>184</v>
      </c>
      <c r="F195" s="339">
        <v>500</v>
      </c>
      <c r="G195" s="355">
        <f t="shared" si="160"/>
        <v>0</v>
      </c>
      <c r="H195" s="356">
        <f t="shared" si="161"/>
        <v>0</v>
      </c>
      <c r="I195" s="357"/>
      <c r="J195" s="357"/>
      <c r="K195" s="357">
        <f t="shared" si="162"/>
        <v>0</v>
      </c>
      <c r="L195" s="357"/>
      <c r="M195" s="357"/>
      <c r="N195" s="357">
        <f t="shared" si="164"/>
        <v>0</v>
      </c>
      <c r="O195" s="358">
        <f t="shared" si="165"/>
        <v>0</v>
      </c>
      <c r="P195" s="359">
        <f t="shared" si="166"/>
        <v>0</v>
      </c>
      <c r="Q195" s="321">
        <v>3</v>
      </c>
      <c r="R195" s="188">
        <f t="shared" si="173"/>
        <v>0</v>
      </c>
      <c r="S195" s="188"/>
      <c r="T195" s="188"/>
      <c r="U195" s="357">
        <f t="shared" si="167"/>
        <v>0</v>
      </c>
      <c r="V195" s="188"/>
      <c r="W195" s="188"/>
      <c r="X195" s="357">
        <f t="shared" si="168"/>
        <v>0</v>
      </c>
      <c r="Y195" s="358">
        <f t="shared" si="169"/>
        <v>0</v>
      </c>
      <c r="Z195" s="184">
        <f t="shared" si="112"/>
        <v>0</v>
      </c>
    </row>
    <row r="196" spans="1:26" ht="25.5" hidden="1">
      <c r="A196" s="187">
        <v>3</v>
      </c>
      <c r="B196" s="328" t="s">
        <v>122</v>
      </c>
      <c r="C196" s="189" t="s">
        <v>270</v>
      </c>
      <c r="D196" s="286">
        <v>192</v>
      </c>
      <c r="E196" s="190" t="s">
        <v>80</v>
      </c>
      <c r="F196" s="339">
        <v>10</v>
      </c>
      <c r="G196" s="355">
        <f t="shared" si="160"/>
        <v>1920</v>
      </c>
      <c r="H196" s="356">
        <f t="shared" si="161"/>
        <v>0</v>
      </c>
      <c r="I196" s="357"/>
      <c r="J196" s="357"/>
      <c r="K196" s="357">
        <f t="shared" si="162"/>
        <v>0</v>
      </c>
      <c r="L196" s="357"/>
      <c r="M196" s="357">
        <f t="shared" ref="M196:M197" si="174">W196*$Y$4</f>
        <v>1920.0000000000002</v>
      </c>
      <c r="N196" s="357">
        <f t="shared" si="164"/>
        <v>1920.0000000000002</v>
      </c>
      <c r="O196" s="358">
        <f t="shared" si="165"/>
        <v>1920.0000000000002</v>
      </c>
      <c r="P196" s="359">
        <f t="shared" si="166"/>
        <v>275.86206896551727</v>
      </c>
      <c r="Q196" s="321">
        <v>1</v>
      </c>
      <c r="R196" s="188"/>
      <c r="S196" s="188"/>
      <c r="T196" s="188"/>
      <c r="U196" s="357">
        <f t="shared" si="167"/>
        <v>0</v>
      </c>
      <c r="V196" s="188"/>
      <c r="W196" s="188">
        <f t="shared" ref="W196:W197" si="175">P196</f>
        <v>275.86206896551727</v>
      </c>
      <c r="X196" s="357">
        <f t="shared" si="168"/>
        <v>275.86206896551727</v>
      </c>
      <c r="Y196" s="358">
        <f t="shared" si="169"/>
        <v>275.86206896551727</v>
      </c>
      <c r="Z196" s="184">
        <f t="shared" si="112"/>
        <v>0</v>
      </c>
    </row>
    <row r="197" spans="1:26" ht="25.5">
      <c r="A197" s="187">
        <v>3</v>
      </c>
      <c r="B197" s="328" t="s">
        <v>122</v>
      </c>
      <c r="C197" s="189" t="s">
        <v>270</v>
      </c>
      <c r="D197" s="286">
        <f>20*8</f>
        <v>160</v>
      </c>
      <c r="E197" s="190" t="s">
        <v>80</v>
      </c>
      <c r="F197" s="339">
        <v>10</v>
      </c>
      <c r="G197" s="355">
        <f t="shared" si="160"/>
        <v>1600</v>
      </c>
      <c r="H197" s="356">
        <f t="shared" si="161"/>
        <v>0</v>
      </c>
      <c r="I197" s="357"/>
      <c r="J197" s="357"/>
      <c r="K197" s="357">
        <f t="shared" si="162"/>
        <v>0</v>
      </c>
      <c r="L197" s="357"/>
      <c r="M197" s="357">
        <f t="shared" si="174"/>
        <v>1600</v>
      </c>
      <c r="N197" s="357">
        <f t="shared" si="164"/>
        <v>1600</v>
      </c>
      <c r="O197" s="358">
        <f t="shared" si="165"/>
        <v>1600</v>
      </c>
      <c r="P197" s="359">
        <f t="shared" si="166"/>
        <v>229.88505747126436</v>
      </c>
      <c r="Q197" s="321">
        <v>2</v>
      </c>
      <c r="R197" s="188"/>
      <c r="S197" s="188"/>
      <c r="T197" s="188"/>
      <c r="U197" s="357">
        <f t="shared" si="167"/>
        <v>0</v>
      </c>
      <c r="V197" s="188"/>
      <c r="W197" s="188">
        <f t="shared" si="175"/>
        <v>229.88505747126436</v>
      </c>
      <c r="X197" s="357">
        <f t="shared" si="168"/>
        <v>229.88505747126436</v>
      </c>
      <c r="Y197" s="358">
        <f t="shared" si="169"/>
        <v>229.88505747126436</v>
      </c>
      <c r="Z197" s="184">
        <f t="shared" si="112"/>
        <v>0</v>
      </c>
    </row>
    <row r="198" spans="1:26" ht="25.5" hidden="1">
      <c r="A198" s="187">
        <v>3</v>
      </c>
      <c r="B198" s="328" t="s">
        <v>122</v>
      </c>
      <c r="C198" s="189" t="s">
        <v>270</v>
      </c>
      <c r="D198" s="286">
        <v>0</v>
      </c>
      <c r="E198" s="190" t="s">
        <v>80</v>
      </c>
      <c r="F198" s="339">
        <v>10</v>
      </c>
      <c r="G198" s="355">
        <f t="shared" si="160"/>
        <v>0</v>
      </c>
      <c r="H198" s="356">
        <f t="shared" si="161"/>
        <v>0</v>
      </c>
      <c r="I198" s="357"/>
      <c r="J198" s="357"/>
      <c r="K198" s="357">
        <f t="shared" si="162"/>
        <v>0</v>
      </c>
      <c r="L198" s="357"/>
      <c r="M198" s="357">
        <f>W198*$Y$4</f>
        <v>0</v>
      </c>
      <c r="N198" s="357">
        <f t="shared" si="164"/>
        <v>0</v>
      </c>
      <c r="O198" s="358">
        <f t="shared" si="165"/>
        <v>0</v>
      </c>
      <c r="P198" s="359">
        <f t="shared" si="166"/>
        <v>0</v>
      </c>
      <c r="Q198" s="321">
        <v>3</v>
      </c>
      <c r="R198" s="188"/>
      <c r="S198" s="188"/>
      <c r="T198" s="188"/>
      <c r="U198" s="357">
        <f t="shared" si="167"/>
        <v>0</v>
      </c>
      <c r="V198" s="188"/>
      <c r="W198" s="188">
        <f>P198</f>
        <v>0</v>
      </c>
      <c r="X198" s="357">
        <f t="shared" si="168"/>
        <v>0</v>
      </c>
      <c r="Y198" s="358">
        <f t="shared" si="169"/>
        <v>0</v>
      </c>
      <c r="Z198" s="184">
        <f t="shared" si="112"/>
        <v>0</v>
      </c>
    </row>
    <row r="199" spans="1:26" hidden="1">
      <c r="A199" s="219" t="s">
        <v>291</v>
      </c>
      <c r="B199" s="326"/>
      <c r="C199" s="220"/>
      <c r="D199" s="179"/>
      <c r="E199" s="179"/>
      <c r="F199" s="180"/>
      <c r="G199" s="207">
        <f t="shared" ref="G199:P199" si="176">SUM(G200:G205)</f>
        <v>19750</v>
      </c>
      <c r="H199" s="352">
        <f t="shared" si="176"/>
        <v>19750</v>
      </c>
      <c r="I199" s="353">
        <f t="shared" si="176"/>
        <v>0</v>
      </c>
      <c r="J199" s="353">
        <f t="shared" si="176"/>
        <v>0</v>
      </c>
      <c r="K199" s="353">
        <f t="shared" si="176"/>
        <v>0</v>
      </c>
      <c r="L199" s="353">
        <f t="shared" si="176"/>
        <v>0</v>
      </c>
      <c r="M199" s="353">
        <f t="shared" si="176"/>
        <v>0</v>
      </c>
      <c r="N199" s="353">
        <f t="shared" ref="N199" si="177">SUM(N200:N205)</f>
        <v>0</v>
      </c>
      <c r="O199" s="354">
        <f t="shared" si="176"/>
        <v>19750</v>
      </c>
      <c r="P199" s="352">
        <f t="shared" si="176"/>
        <v>2837.6436781609195</v>
      </c>
      <c r="Q199" s="320"/>
      <c r="R199" s="181">
        <f t="shared" ref="R199:Y199" si="178">SUM(R200:R205)</f>
        <v>2837.6436781609195</v>
      </c>
      <c r="S199" s="181">
        <f t="shared" si="178"/>
        <v>0</v>
      </c>
      <c r="T199" s="181">
        <f t="shared" si="178"/>
        <v>0</v>
      </c>
      <c r="U199" s="353">
        <f t="shared" si="178"/>
        <v>0</v>
      </c>
      <c r="V199" s="181">
        <f t="shared" si="178"/>
        <v>0</v>
      </c>
      <c r="W199" s="181">
        <f t="shared" si="178"/>
        <v>0</v>
      </c>
      <c r="X199" s="353">
        <f t="shared" si="178"/>
        <v>0</v>
      </c>
      <c r="Y199" s="354">
        <f t="shared" si="178"/>
        <v>2837.6436781609195</v>
      </c>
      <c r="Z199" s="184">
        <f t="shared" si="112"/>
        <v>0</v>
      </c>
    </row>
    <row r="200" spans="1:26" ht="25.5" hidden="1">
      <c r="A200" s="187">
        <v>3</v>
      </c>
      <c r="B200" s="328" t="s">
        <v>291</v>
      </c>
      <c r="C200" s="191" t="s">
        <v>197</v>
      </c>
      <c r="D200" s="182">
        <v>24</v>
      </c>
      <c r="E200" s="190" t="s">
        <v>80</v>
      </c>
      <c r="F200" s="183">
        <v>250</v>
      </c>
      <c r="G200" s="355">
        <f t="shared" ref="G200:G205" si="179">D200*F200</f>
        <v>6000</v>
      </c>
      <c r="H200" s="356">
        <f t="shared" ref="H200:H205" si="180">R200*$Y$4</f>
        <v>6000</v>
      </c>
      <c r="I200" s="357"/>
      <c r="J200" s="357"/>
      <c r="K200" s="357">
        <f t="shared" ref="K200:K205" si="181">I200+J200</f>
        <v>0</v>
      </c>
      <c r="L200" s="357"/>
      <c r="M200" s="357"/>
      <c r="N200" s="357">
        <f t="shared" ref="N200:N205" si="182">L200+M200</f>
        <v>0</v>
      </c>
      <c r="O200" s="358">
        <f t="shared" ref="O200:O205" si="183">H200+K200+N200</f>
        <v>6000</v>
      </c>
      <c r="P200" s="359">
        <f t="shared" ref="P200:P205" si="184">G200/$Y$4</f>
        <v>862.06896551724139</v>
      </c>
      <c r="Q200" s="321">
        <v>1</v>
      </c>
      <c r="R200" s="188">
        <f t="shared" ref="R200:R205" si="185">P200</f>
        <v>862.06896551724139</v>
      </c>
      <c r="S200" s="188"/>
      <c r="T200" s="188"/>
      <c r="U200" s="357">
        <f t="shared" ref="U200:U205" si="186">S200+T200</f>
        <v>0</v>
      </c>
      <c r="V200" s="188"/>
      <c r="W200" s="188"/>
      <c r="X200" s="357">
        <f t="shared" ref="X200:X205" si="187">V200+W200</f>
        <v>0</v>
      </c>
      <c r="Y200" s="358">
        <f t="shared" ref="Y200:Y205" si="188">R200+U200+X200</f>
        <v>862.06896551724139</v>
      </c>
      <c r="Z200" s="184">
        <f t="shared" si="112"/>
        <v>0</v>
      </c>
    </row>
    <row r="201" spans="1:26" ht="25.5">
      <c r="A201" s="187">
        <v>3</v>
      </c>
      <c r="B201" s="328" t="s">
        <v>291</v>
      </c>
      <c r="C201" s="191" t="s">
        <v>197</v>
      </c>
      <c r="D201" s="182">
        <v>20</v>
      </c>
      <c r="E201" s="190" t="s">
        <v>80</v>
      </c>
      <c r="F201" s="183">
        <v>250</v>
      </c>
      <c r="G201" s="355">
        <f t="shared" si="179"/>
        <v>5000</v>
      </c>
      <c r="H201" s="356">
        <f t="shared" si="180"/>
        <v>5000</v>
      </c>
      <c r="I201" s="357"/>
      <c r="J201" s="357"/>
      <c r="K201" s="357">
        <f t="shared" si="181"/>
        <v>0</v>
      </c>
      <c r="L201" s="357"/>
      <c r="M201" s="357"/>
      <c r="N201" s="357">
        <f t="shared" si="182"/>
        <v>0</v>
      </c>
      <c r="O201" s="358">
        <f t="shared" si="183"/>
        <v>5000</v>
      </c>
      <c r="P201" s="359">
        <f t="shared" si="184"/>
        <v>718.39080459770116</v>
      </c>
      <c r="Q201" s="321">
        <v>2</v>
      </c>
      <c r="R201" s="188">
        <f t="shared" si="185"/>
        <v>718.39080459770116</v>
      </c>
      <c r="S201" s="188"/>
      <c r="T201" s="188"/>
      <c r="U201" s="357">
        <f t="shared" si="186"/>
        <v>0</v>
      </c>
      <c r="V201" s="188"/>
      <c r="W201" s="188"/>
      <c r="X201" s="357">
        <f t="shared" si="187"/>
        <v>0</v>
      </c>
      <c r="Y201" s="358">
        <f t="shared" si="188"/>
        <v>718.39080459770116</v>
      </c>
      <c r="Z201" s="184">
        <f t="shared" si="112"/>
        <v>0</v>
      </c>
    </row>
    <row r="202" spans="1:26" ht="25.5" hidden="1">
      <c r="A202" s="187">
        <v>3</v>
      </c>
      <c r="B202" s="328" t="s">
        <v>291</v>
      </c>
      <c r="C202" s="191" t="s">
        <v>197</v>
      </c>
      <c r="D202" s="182">
        <v>0</v>
      </c>
      <c r="E202" s="190" t="s">
        <v>80</v>
      </c>
      <c r="F202" s="183">
        <v>250</v>
      </c>
      <c r="G202" s="355">
        <f t="shared" si="179"/>
        <v>0</v>
      </c>
      <c r="H202" s="356">
        <f t="shared" si="180"/>
        <v>0</v>
      </c>
      <c r="I202" s="357"/>
      <c r="J202" s="357"/>
      <c r="K202" s="357">
        <f t="shared" si="181"/>
        <v>0</v>
      </c>
      <c r="L202" s="357"/>
      <c r="M202" s="357"/>
      <c r="N202" s="357">
        <f t="shared" si="182"/>
        <v>0</v>
      </c>
      <c r="O202" s="358">
        <f t="shared" si="183"/>
        <v>0</v>
      </c>
      <c r="P202" s="359">
        <f t="shared" si="184"/>
        <v>0</v>
      </c>
      <c r="Q202" s="321">
        <v>3</v>
      </c>
      <c r="R202" s="188">
        <f t="shared" si="185"/>
        <v>0</v>
      </c>
      <c r="S202" s="188"/>
      <c r="T202" s="188"/>
      <c r="U202" s="357">
        <f t="shared" si="186"/>
        <v>0</v>
      </c>
      <c r="V202" s="188"/>
      <c r="W202" s="188"/>
      <c r="X202" s="357">
        <f t="shared" si="187"/>
        <v>0</v>
      </c>
      <c r="Y202" s="358">
        <f t="shared" si="188"/>
        <v>0</v>
      </c>
      <c r="Z202" s="184">
        <f t="shared" si="112"/>
        <v>0</v>
      </c>
    </row>
    <row r="203" spans="1:26" ht="25.5" hidden="1">
      <c r="A203" s="187">
        <v>3</v>
      </c>
      <c r="B203" s="328" t="s">
        <v>291</v>
      </c>
      <c r="C203" s="303" t="s">
        <v>292</v>
      </c>
      <c r="D203" s="182">
        <v>200</v>
      </c>
      <c r="E203" s="190" t="s">
        <v>80</v>
      </c>
      <c r="F203" s="183">
        <v>25</v>
      </c>
      <c r="G203" s="355">
        <f t="shared" si="179"/>
        <v>5000</v>
      </c>
      <c r="H203" s="356">
        <f t="shared" si="180"/>
        <v>5000</v>
      </c>
      <c r="I203" s="357"/>
      <c r="J203" s="357"/>
      <c r="K203" s="357">
        <f t="shared" si="181"/>
        <v>0</v>
      </c>
      <c r="L203" s="357"/>
      <c r="M203" s="357"/>
      <c r="N203" s="357">
        <f t="shared" si="182"/>
        <v>0</v>
      </c>
      <c r="O203" s="358">
        <f t="shared" si="183"/>
        <v>5000</v>
      </c>
      <c r="P203" s="359">
        <f t="shared" si="184"/>
        <v>718.39080459770116</v>
      </c>
      <c r="Q203" s="321">
        <v>1</v>
      </c>
      <c r="R203" s="188">
        <f t="shared" si="185"/>
        <v>718.39080459770116</v>
      </c>
      <c r="S203" s="188"/>
      <c r="T203" s="188"/>
      <c r="U203" s="357">
        <f t="shared" si="186"/>
        <v>0</v>
      </c>
      <c r="V203" s="188"/>
      <c r="W203" s="188"/>
      <c r="X203" s="357">
        <f t="shared" si="187"/>
        <v>0</v>
      </c>
      <c r="Y203" s="358">
        <f t="shared" si="188"/>
        <v>718.39080459770116</v>
      </c>
      <c r="Z203" s="184">
        <f t="shared" si="112"/>
        <v>0</v>
      </c>
    </row>
    <row r="204" spans="1:26" ht="25.5">
      <c r="A204" s="187">
        <v>3</v>
      </c>
      <c r="B204" s="328" t="s">
        <v>291</v>
      </c>
      <c r="C204" s="303" t="s">
        <v>271</v>
      </c>
      <c r="D204" s="182">
        <v>150</v>
      </c>
      <c r="E204" s="190" t="s">
        <v>80</v>
      </c>
      <c r="F204" s="183">
        <v>25</v>
      </c>
      <c r="G204" s="355">
        <f t="shared" si="179"/>
        <v>3750</v>
      </c>
      <c r="H204" s="356">
        <f t="shared" si="180"/>
        <v>3749.9999999999995</v>
      </c>
      <c r="I204" s="357"/>
      <c r="J204" s="357"/>
      <c r="K204" s="357">
        <f t="shared" si="181"/>
        <v>0</v>
      </c>
      <c r="L204" s="357"/>
      <c r="M204" s="357"/>
      <c r="N204" s="357">
        <f t="shared" si="182"/>
        <v>0</v>
      </c>
      <c r="O204" s="358">
        <f t="shared" si="183"/>
        <v>3749.9999999999995</v>
      </c>
      <c r="P204" s="359">
        <f t="shared" si="184"/>
        <v>538.79310344827582</v>
      </c>
      <c r="Q204" s="321">
        <v>2</v>
      </c>
      <c r="R204" s="188">
        <f t="shared" si="185"/>
        <v>538.79310344827582</v>
      </c>
      <c r="S204" s="188"/>
      <c r="T204" s="188"/>
      <c r="U204" s="357">
        <f t="shared" si="186"/>
        <v>0</v>
      </c>
      <c r="V204" s="188"/>
      <c r="W204" s="188"/>
      <c r="X204" s="357">
        <f t="shared" si="187"/>
        <v>0</v>
      </c>
      <c r="Y204" s="358">
        <f t="shared" si="188"/>
        <v>538.79310344827582</v>
      </c>
      <c r="Z204" s="184">
        <f t="shared" si="112"/>
        <v>0</v>
      </c>
    </row>
    <row r="205" spans="1:26" ht="25.5" hidden="1">
      <c r="A205" s="187">
        <v>3</v>
      </c>
      <c r="B205" s="328" t="s">
        <v>291</v>
      </c>
      <c r="C205" s="303" t="s">
        <v>271</v>
      </c>
      <c r="D205" s="182">
        <v>0</v>
      </c>
      <c r="E205" s="190" t="s">
        <v>80</v>
      </c>
      <c r="F205" s="183">
        <v>25</v>
      </c>
      <c r="G205" s="355">
        <f t="shared" si="179"/>
        <v>0</v>
      </c>
      <c r="H205" s="356">
        <f t="shared" si="180"/>
        <v>0</v>
      </c>
      <c r="I205" s="357"/>
      <c r="J205" s="357"/>
      <c r="K205" s="357">
        <f t="shared" si="181"/>
        <v>0</v>
      </c>
      <c r="L205" s="357"/>
      <c r="M205" s="357"/>
      <c r="N205" s="357">
        <f t="shared" si="182"/>
        <v>0</v>
      </c>
      <c r="O205" s="358">
        <f t="shared" si="183"/>
        <v>0</v>
      </c>
      <c r="P205" s="359">
        <f t="shared" si="184"/>
        <v>0</v>
      </c>
      <c r="Q205" s="321">
        <v>3</v>
      </c>
      <c r="R205" s="188">
        <f t="shared" si="185"/>
        <v>0</v>
      </c>
      <c r="S205" s="188"/>
      <c r="T205" s="188"/>
      <c r="U205" s="357">
        <f t="shared" si="186"/>
        <v>0</v>
      </c>
      <c r="V205" s="188"/>
      <c r="W205" s="188"/>
      <c r="X205" s="357">
        <f t="shared" si="187"/>
        <v>0</v>
      </c>
      <c r="Y205" s="358">
        <f t="shared" si="188"/>
        <v>0</v>
      </c>
      <c r="Z205" s="184">
        <f t="shared" si="112"/>
        <v>0</v>
      </c>
    </row>
    <row r="206" spans="1:26" hidden="1">
      <c r="A206" s="219" t="s">
        <v>123</v>
      </c>
      <c r="B206" s="326"/>
      <c r="C206" s="220"/>
      <c r="D206" s="179"/>
      <c r="E206" s="179"/>
      <c r="F206" s="180"/>
      <c r="G206" s="207">
        <f>SUM(G207:G209)</f>
        <v>176000</v>
      </c>
      <c r="H206" s="207">
        <f t="shared" ref="H206:Y206" si="189">SUM(H207:H209)</f>
        <v>140800</v>
      </c>
      <c r="I206" s="207">
        <f t="shared" si="189"/>
        <v>0</v>
      </c>
      <c r="J206" s="207">
        <f t="shared" si="189"/>
        <v>0</v>
      </c>
      <c r="K206" s="207">
        <f t="shared" si="189"/>
        <v>0</v>
      </c>
      <c r="L206" s="207">
        <f t="shared" si="189"/>
        <v>0</v>
      </c>
      <c r="M206" s="207">
        <f t="shared" si="189"/>
        <v>35200</v>
      </c>
      <c r="N206" s="207">
        <f t="shared" si="189"/>
        <v>35200</v>
      </c>
      <c r="O206" s="207">
        <f t="shared" si="189"/>
        <v>176000</v>
      </c>
      <c r="P206" s="207">
        <f t="shared" si="189"/>
        <v>25287.356321839081</v>
      </c>
      <c r="Q206" s="320"/>
      <c r="R206" s="214">
        <f t="shared" si="189"/>
        <v>20229.885057471263</v>
      </c>
      <c r="S206" s="214">
        <f t="shared" si="189"/>
        <v>0</v>
      </c>
      <c r="T206" s="214">
        <f t="shared" si="189"/>
        <v>0</v>
      </c>
      <c r="U206" s="207">
        <f t="shared" si="189"/>
        <v>0</v>
      </c>
      <c r="V206" s="214">
        <f t="shared" si="189"/>
        <v>0</v>
      </c>
      <c r="W206" s="214">
        <f t="shared" si="189"/>
        <v>5057.4712643678158</v>
      </c>
      <c r="X206" s="207">
        <f t="shared" si="189"/>
        <v>5057.4712643678158</v>
      </c>
      <c r="Y206" s="207">
        <f t="shared" si="189"/>
        <v>25287.356321839081</v>
      </c>
      <c r="Z206" s="184">
        <f t="shared" si="112"/>
        <v>0</v>
      </c>
    </row>
    <row r="207" spans="1:26" hidden="1">
      <c r="A207" s="187">
        <v>3</v>
      </c>
      <c r="B207" s="328" t="s">
        <v>123</v>
      </c>
      <c r="C207" s="189" t="s">
        <v>189</v>
      </c>
      <c r="D207" s="182">
        <v>0</v>
      </c>
      <c r="E207" s="190" t="s">
        <v>190</v>
      </c>
      <c r="F207" s="339">
        <v>4000</v>
      </c>
      <c r="G207" s="355">
        <f t="shared" ref="G207:G209" si="190">D207*F207</f>
        <v>0</v>
      </c>
      <c r="H207" s="356">
        <f>R207*$Y$4</f>
        <v>0</v>
      </c>
      <c r="I207" s="357"/>
      <c r="J207" s="357"/>
      <c r="K207" s="357">
        <f t="shared" ref="K207:K209" si="191">I207+J207</f>
        <v>0</v>
      </c>
      <c r="L207" s="357"/>
      <c r="M207" s="357">
        <f>W207*$Y$4</f>
        <v>0</v>
      </c>
      <c r="N207" s="357">
        <f t="shared" ref="N207:N209" si="192">L207+M207</f>
        <v>0</v>
      </c>
      <c r="O207" s="358">
        <f t="shared" ref="O207:O209" si="193">H207+K207+N207</f>
        <v>0</v>
      </c>
      <c r="P207" s="359">
        <f t="shared" ref="P207:P209" si="194">G207/$Y$4</f>
        <v>0</v>
      </c>
      <c r="Q207" s="321">
        <v>1</v>
      </c>
      <c r="R207" s="188">
        <f>P207*0.8</f>
        <v>0</v>
      </c>
      <c r="S207" s="188"/>
      <c r="T207" s="188"/>
      <c r="U207" s="357">
        <f t="shared" ref="U207:U209" si="195">S207+T207</f>
        <v>0</v>
      </c>
      <c r="V207" s="188"/>
      <c r="W207" s="188">
        <f>P207*0.2</f>
        <v>0</v>
      </c>
      <c r="X207" s="357">
        <f t="shared" ref="X207:X209" si="196">V207+W207</f>
        <v>0</v>
      </c>
      <c r="Y207" s="358">
        <f t="shared" ref="Y207:Y209" si="197">R207+U207+X207</f>
        <v>0</v>
      </c>
      <c r="Z207" s="184">
        <f t="shared" ref="Z207:Z270" si="198">P207-Y207</f>
        <v>0</v>
      </c>
    </row>
    <row r="208" spans="1:26">
      <c r="A208" s="187">
        <v>3</v>
      </c>
      <c r="B208" s="328" t="s">
        <v>123</v>
      </c>
      <c r="C208" s="189" t="s">
        <v>189</v>
      </c>
      <c r="D208" s="182">
        <v>24</v>
      </c>
      <c r="E208" s="190" t="s">
        <v>190</v>
      </c>
      <c r="F208" s="339">
        <v>4000</v>
      </c>
      <c r="G208" s="355">
        <f t="shared" si="190"/>
        <v>96000</v>
      </c>
      <c r="H208" s="356">
        <f t="shared" ref="H208:H209" si="199">R208*$Y$4</f>
        <v>76800</v>
      </c>
      <c r="I208" s="357"/>
      <c r="J208" s="357"/>
      <c r="K208" s="357">
        <f t="shared" si="191"/>
        <v>0</v>
      </c>
      <c r="L208" s="357"/>
      <c r="M208" s="357">
        <f t="shared" ref="M208:M209" si="200">W208*$Y$4</f>
        <v>19200</v>
      </c>
      <c r="N208" s="357">
        <f t="shared" si="192"/>
        <v>19200</v>
      </c>
      <c r="O208" s="358">
        <f t="shared" si="193"/>
        <v>96000</v>
      </c>
      <c r="P208" s="359">
        <f t="shared" si="194"/>
        <v>13793.103448275862</v>
      </c>
      <c r="Q208" s="321">
        <v>2</v>
      </c>
      <c r="R208" s="188">
        <f t="shared" ref="R208:R209" si="201">P208*0.8</f>
        <v>11034.48275862069</v>
      </c>
      <c r="S208" s="188"/>
      <c r="T208" s="188"/>
      <c r="U208" s="357">
        <f t="shared" si="195"/>
        <v>0</v>
      </c>
      <c r="V208" s="188"/>
      <c r="W208" s="188">
        <f t="shared" ref="W208:W209" si="202">P208*0.2</f>
        <v>2758.6206896551726</v>
      </c>
      <c r="X208" s="357">
        <f t="shared" si="196"/>
        <v>2758.6206896551726</v>
      </c>
      <c r="Y208" s="358">
        <f t="shared" si="197"/>
        <v>13793.103448275862</v>
      </c>
      <c r="Z208" s="184">
        <f t="shared" si="198"/>
        <v>0</v>
      </c>
    </row>
    <row r="209" spans="1:26" hidden="1">
      <c r="A209" s="187">
        <v>3</v>
      </c>
      <c r="B209" s="328" t="s">
        <v>123</v>
      </c>
      <c r="C209" s="189" t="s">
        <v>189</v>
      </c>
      <c r="D209" s="182">
        <v>20</v>
      </c>
      <c r="E209" s="190" t="s">
        <v>190</v>
      </c>
      <c r="F209" s="339">
        <v>4000</v>
      </c>
      <c r="G209" s="355">
        <f t="shared" si="190"/>
        <v>80000</v>
      </c>
      <c r="H209" s="356">
        <f t="shared" si="199"/>
        <v>64000</v>
      </c>
      <c r="I209" s="357"/>
      <c r="J209" s="357"/>
      <c r="K209" s="357">
        <f t="shared" si="191"/>
        <v>0</v>
      </c>
      <c r="L209" s="357"/>
      <c r="M209" s="357">
        <f t="shared" si="200"/>
        <v>16000</v>
      </c>
      <c r="N209" s="357">
        <f t="shared" si="192"/>
        <v>16000</v>
      </c>
      <c r="O209" s="358">
        <f t="shared" si="193"/>
        <v>80000</v>
      </c>
      <c r="P209" s="359">
        <f t="shared" si="194"/>
        <v>11494.252873563219</v>
      </c>
      <c r="Q209" s="321">
        <v>3</v>
      </c>
      <c r="R209" s="188">
        <f t="shared" si="201"/>
        <v>9195.4022988505749</v>
      </c>
      <c r="S209" s="188"/>
      <c r="T209" s="188"/>
      <c r="U209" s="357">
        <f t="shared" si="195"/>
        <v>0</v>
      </c>
      <c r="V209" s="188"/>
      <c r="W209" s="188">
        <f t="shared" si="202"/>
        <v>2298.8505747126437</v>
      </c>
      <c r="X209" s="357">
        <f t="shared" si="196"/>
        <v>2298.8505747126437</v>
      </c>
      <c r="Y209" s="358">
        <f t="shared" si="197"/>
        <v>11494.252873563219</v>
      </c>
      <c r="Z209" s="184">
        <f t="shared" si="198"/>
        <v>0</v>
      </c>
    </row>
    <row r="210" spans="1:26" hidden="1">
      <c r="A210" s="219" t="s">
        <v>124</v>
      </c>
      <c r="B210" s="326"/>
      <c r="C210" s="220"/>
      <c r="D210" s="179"/>
      <c r="E210" s="179"/>
      <c r="F210" s="180"/>
      <c r="G210" s="207">
        <f t="shared" ref="G210:P210" si="203">SUM(G211:G219)</f>
        <v>28800</v>
      </c>
      <c r="H210" s="352">
        <f t="shared" si="203"/>
        <v>28800</v>
      </c>
      <c r="I210" s="353">
        <f t="shared" si="203"/>
        <v>0</v>
      </c>
      <c r="J210" s="353">
        <f t="shared" si="203"/>
        <v>0</v>
      </c>
      <c r="K210" s="353">
        <f t="shared" si="203"/>
        <v>0</v>
      </c>
      <c r="L210" s="353">
        <f t="shared" si="203"/>
        <v>0</v>
      </c>
      <c r="M210" s="353">
        <f t="shared" si="203"/>
        <v>0</v>
      </c>
      <c r="N210" s="353">
        <f t="shared" ref="N210" si="204">SUM(N211:N219)</f>
        <v>0</v>
      </c>
      <c r="O210" s="354">
        <f t="shared" si="203"/>
        <v>28800</v>
      </c>
      <c r="P210" s="352">
        <f t="shared" si="203"/>
        <v>4137.9310344827591</v>
      </c>
      <c r="Q210" s="320"/>
      <c r="R210" s="181">
        <f t="shared" ref="R210:Y210" si="205">SUM(R211:R219)</f>
        <v>4137.9310344827591</v>
      </c>
      <c r="S210" s="181">
        <f t="shared" si="205"/>
        <v>0</v>
      </c>
      <c r="T210" s="181">
        <f t="shared" si="205"/>
        <v>0</v>
      </c>
      <c r="U210" s="353">
        <f t="shared" si="205"/>
        <v>0</v>
      </c>
      <c r="V210" s="181">
        <f t="shared" si="205"/>
        <v>0</v>
      </c>
      <c r="W210" s="181">
        <f t="shared" si="205"/>
        <v>0</v>
      </c>
      <c r="X210" s="353">
        <f t="shared" si="205"/>
        <v>0</v>
      </c>
      <c r="Y210" s="354">
        <f t="shared" si="205"/>
        <v>4137.9310344827591</v>
      </c>
      <c r="Z210" s="184">
        <f t="shared" si="198"/>
        <v>0</v>
      </c>
    </row>
    <row r="211" spans="1:26" hidden="1">
      <c r="A211" s="187">
        <v>3</v>
      </c>
      <c r="B211" s="328" t="s">
        <v>124</v>
      </c>
      <c r="C211" s="189" t="s">
        <v>273</v>
      </c>
      <c r="D211" s="286">
        <f>3</f>
        <v>3</v>
      </c>
      <c r="E211" s="190" t="s">
        <v>81</v>
      </c>
      <c r="F211" s="339">
        <v>800</v>
      </c>
      <c r="G211" s="355">
        <f t="shared" ref="G211:G219" si="206">D211*F211</f>
        <v>2400</v>
      </c>
      <c r="H211" s="356">
        <f t="shared" ref="H211:H219" si="207">R211*$Y$4</f>
        <v>2400</v>
      </c>
      <c r="I211" s="357"/>
      <c r="J211" s="357"/>
      <c r="K211" s="357">
        <f t="shared" ref="K211:K219" si="208">I211+J211</f>
        <v>0</v>
      </c>
      <c r="L211" s="357"/>
      <c r="M211" s="357"/>
      <c r="N211" s="357">
        <f t="shared" ref="N211:N219" si="209">L211+M211</f>
        <v>0</v>
      </c>
      <c r="O211" s="358">
        <f t="shared" ref="O211:O219" si="210">H211+K211+N211</f>
        <v>2400</v>
      </c>
      <c r="P211" s="359">
        <f t="shared" ref="P211:P219" si="211">G211/$Y$4</f>
        <v>344.82758620689657</v>
      </c>
      <c r="Q211" s="321">
        <v>1</v>
      </c>
      <c r="R211" s="188">
        <f t="shared" ref="R211:R219" si="212">P211</f>
        <v>344.82758620689657</v>
      </c>
      <c r="S211" s="188"/>
      <c r="T211" s="188"/>
      <c r="U211" s="357">
        <f t="shared" ref="U211:U219" si="213">S211+T211</f>
        <v>0</v>
      </c>
      <c r="V211" s="188"/>
      <c r="W211" s="188"/>
      <c r="X211" s="357">
        <f t="shared" ref="X211:X219" si="214">V211+W211</f>
        <v>0</v>
      </c>
      <c r="Y211" s="358">
        <f t="shared" ref="Y211:Y219" si="215">R211+U211+X211</f>
        <v>344.82758620689657</v>
      </c>
      <c r="Z211" s="184">
        <f t="shared" si="198"/>
        <v>0</v>
      </c>
    </row>
    <row r="212" spans="1:26">
      <c r="A212" s="187">
        <v>3</v>
      </c>
      <c r="B212" s="328" t="s">
        <v>124</v>
      </c>
      <c r="C212" s="189" t="s">
        <v>273</v>
      </c>
      <c r="D212" s="286">
        <f>3</f>
        <v>3</v>
      </c>
      <c r="E212" s="190" t="s">
        <v>81</v>
      </c>
      <c r="F212" s="339">
        <v>800</v>
      </c>
      <c r="G212" s="355">
        <f t="shared" si="206"/>
        <v>2400</v>
      </c>
      <c r="H212" s="356">
        <f t="shared" si="207"/>
        <v>2400</v>
      </c>
      <c r="I212" s="357"/>
      <c r="J212" s="357"/>
      <c r="K212" s="357">
        <f t="shared" si="208"/>
        <v>0</v>
      </c>
      <c r="L212" s="357"/>
      <c r="M212" s="357"/>
      <c r="N212" s="357">
        <f t="shared" si="209"/>
        <v>0</v>
      </c>
      <c r="O212" s="358">
        <f t="shared" si="210"/>
        <v>2400</v>
      </c>
      <c r="P212" s="359">
        <f t="shared" si="211"/>
        <v>344.82758620689657</v>
      </c>
      <c r="Q212" s="321">
        <v>2</v>
      </c>
      <c r="R212" s="188">
        <f t="shared" si="212"/>
        <v>344.82758620689657</v>
      </c>
      <c r="S212" s="188"/>
      <c r="T212" s="188"/>
      <c r="U212" s="357">
        <f t="shared" si="213"/>
        <v>0</v>
      </c>
      <c r="V212" s="188"/>
      <c r="W212" s="188"/>
      <c r="X212" s="357">
        <f t="shared" si="214"/>
        <v>0</v>
      </c>
      <c r="Y212" s="358">
        <f t="shared" si="215"/>
        <v>344.82758620689657</v>
      </c>
      <c r="Z212" s="184">
        <f t="shared" si="198"/>
        <v>0</v>
      </c>
    </row>
    <row r="213" spans="1:26" hidden="1">
      <c r="A213" s="187">
        <v>3</v>
      </c>
      <c r="B213" s="328" t="s">
        <v>124</v>
      </c>
      <c r="C213" s="189" t="s">
        <v>273</v>
      </c>
      <c r="D213" s="286">
        <f>3</f>
        <v>3</v>
      </c>
      <c r="E213" s="190" t="s">
        <v>81</v>
      </c>
      <c r="F213" s="339">
        <v>800</v>
      </c>
      <c r="G213" s="355">
        <f t="shared" si="206"/>
        <v>2400</v>
      </c>
      <c r="H213" s="356">
        <f t="shared" si="207"/>
        <v>2400</v>
      </c>
      <c r="I213" s="357"/>
      <c r="J213" s="357"/>
      <c r="K213" s="357">
        <f t="shared" si="208"/>
        <v>0</v>
      </c>
      <c r="L213" s="357"/>
      <c r="M213" s="357"/>
      <c r="N213" s="357">
        <f t="shared" si="209"/>
        <v>0</v>
      </c>
      <c r="O213" s="358">
        <f t="shared" si="210"/>
        <v>2400</v>
      </c>
      <c r="P213" s="359">
        <f t="shared" si="211"/>
        <v>344.82758620689657</v>
      </c>
      <c r="Q213" s="321">
        <v>3</v>
      </c>
      <c r="R213" s="188">
        <f t="shared" si="212"/>
        <v>344.82758620689657</v>
      </c>
      <c r="S213" s="188"/>
      <c r="T213" s="188"/>
      <c r="U213" s="357">
        <f t="shared" si="213"/>
        <v>0</v>
      </c>
      <c r="V213" s="188"/>
      <c r="W213" s="188"/>
      <c r="X213" s="357">
        <f t="shared" si="214"/>
        <v>0</v>
      </c>
      <c r="Y213" s="358">
        <f t="shared" si="215"/>
        <v>344.82758620689657</v>
      </c>
      <c r="Z213" s="184">
        <f t="shared" si="198"/>
        <v>0</v>
      </c>
    </row>
    <row r="214" spans="1:26" hidden="1">
      <c r="A214" s="187">
        <v>3</v>
      </c>
      <c r="B214" s="328" t="s">
        <v>124</v>
      </c>
      <c r="C214" s="189" t="s">
        <v>159</v>
      </c>
      <c r="D214" s="286">
        <f>3</f>
        <v>3</v>
      </c>
      <c r="E214" s="190" t="s">
        <v>81</v>
      </c>
      <c r="F214" s="339">
        <v>400</v>
      </c>
      <c r="G214" s="355">
        <f t="shared" si="206"/>
        <v>1200</v>
      </c>
      <c r="H214" s="356">
        <f t="shared" si="207"/>
        <v>1200</v>
      </c>
      <c r="I214" s="357"/>
      <c r="J214" s="357"/>
      <c r="K214" s="357">
        <f t="shared" si="208"/>
        <v>0</v>
      </c>
      <c r="L214" s="357"/>
      <c r="M214" s="357"/>
      <c r="N214" s="357">
        <f t="shared" si="209"/>
        <v>0</v>
      </c>
      <c r="O214" s="358">
        <f t="shared" si="210"/>
        <v>1200</v>
      </c>
      <c r="P214" s="359">
        <f t="shared" si="211"/>
        <v>172.41379310344828</v>
      </c>
      <c r="Q214" s="321">
        <v>1</v>
      </c>
      <c r="R214" s="188">
        <f t="shared" si="212"/>
        <v>172.41379310344828</v>
      </c>
      <c r="S214" s="188"/>
      <c r="T214" s="188"/>
      <c r="U214" s="357">
        <f t="shared" si="213"/>
        <v>0</v>
      </c>
      <c r="V214" s="188"/>
      <c r="W214" s="188"/>
      <c r="X214" s="357">
        <f t="shared" si="214"/>
        <v>0</v>
      </c>
      <c r="Y214" s="358">
        <f t="shared" si="215"/>
        <v>172.41379310344828</v>
      </c>
      <c r="Z214" s="184">
        <f t="shared" si="198"/>
        <v>0</v>
      </c>
    </row>
    <row r="215" spans="1:26">
      <c r="A215" s="187">
        <v>3</v>
      </c>
      <c r="B215" s="328" t="s">
        <v>124</v>
      </c>
      <c r="C215" s="189" t="s">
        <v>159</v>
      </c>
      <c r="D215" s="286">
        <f>3</f>
        <v>3</v>
      </c>
      <c r="E215" s="190" t="s">
        <v>81</v>
      </c>
      <c r="F215" s="339">
        <v>400</v>
      </c>
      <c r="G215" s="355">
        <f t="shared" si="206"/>
        <v>1200</v>
      </c>
      <c r="H215" s="356">
        <f t="shared" si="207"/>
        <v>1200</v>
      </c>
      <c r="I215" s="357"/>
      <c r="J215" s="357"/>
      <c r="K215" s="357">
        <f t="shared" si="208"/>
        <v>0</v>
      </c>
      <c r="L215" s="357"/>
      <c r="M215" s="357"/>
      <c r="N215" s="357">
        <f t="shared" si="209"/>
        <v>0</v>
      </c>
      <c r="O215" s="358">
        <f t="shared" si="210"/>
        <v>1200</v>
      </c>
      <c r="P215" s="359">
        <f t="shared" si="211"/>
        <v>172.41379310344828</v>
      </c>
      <c r="Q215" s="321">
        <v>2</v>
      </c>
      <c r="R215" s="188">
        <f t="shared" si="212"/>
        <v>172.41379310344828</v>
      </c>
      <c r="S215" s="188"/>
      <c r="T215" s="188"/>
      <c r="U215" s="357">
        <f t="shared" si="213"/>
        <v>0</v>
      </c>
      <c r="V215" s="188"/>
      <c r="W215" s="188"/>
      <c r="X215" s="357">
        <f t="shared" si="214"/>
        <v>0</v>
      </c>
      <c r="Y215" s="358">
        <f t="shared" si="215"/>
        <v>172.41379310344828</v>
      </c>
      <c r="Z215" s="184">
        <f t="shared" si="198"/>
        <v>0</v>
      </c>
    </row>
    <row r="216" spans="1:26" hidden="1">
      <c r="A216" s="187">
        <v>3</v>
      </c>
      <c r="B216" s="328" t="s">
        <v>124</v>
      </c>
      <c r="C216" s="189" t="s">
        <v>159</v>
      </c>
      <c r="D216" s="286">
        <f>3</f>
        <v>3</v>
      </c>
      <c r="E216" s="190" t="s">
        <v>81</v>
      </c>
      <c r="F216" s="339">
        <v>400</v>
      </c>
      <c r="G216" s="355">
        <f t="shared" si="206"/>
        <v>1200</v>
      </c>
      <c r="H216" s="356">
        <f t="shared" si="207"/>
        <v>1200</v>
      </c>
      <c r="I216" s="357"/>
      <c r="J216" s="357"/>
      <c r="K216" s="357">
        <f t="shared" si="208"/>
        <v>0</v>
      </c>
      <c r="L216" s="357"/>
      <c r="M216" s="357"/>
      <c r="N216" s="357">
        <f t="shared" si="209"/>
        <v>0</v>
      </c>
      <c r="O216" s="358">
        <f t="shared" si="210"/>
        <v>1200</v>
      </c>
      <c r="P216" s="359">
        <f t="shared" si="211"/>
        <v>172.41379310344828</v>
      </c>
      <c r="Q216" s="321">
        <v>3</v>
      </c>
      <c r="R216" s="188">
        <f t="shared" si="212"/>
        <v>172.41379310344828</v>
      </c>
      <c r="S216" s="188"/>
      <c r="T216" s="188"/>
      <c r="U216" s="357">
        <f t="shared" si="213"/>
        <v>0</v>
      </c>
      <c r="V216" s="188"/>
      <c r="W216" s="188"/>
      <c r="X216" s="357">
        <f t="shared" si="214"/>
        <v>0</v>
      </c>
      <c r="Y216" s="358">
        <f t="shared" si="215"/>
        <v>172.41379310344828</v>
      </c>
      <c r="Z216" s="184">
        <f t="shared" si="198"/>
        <v>0</v>
      </c>
    </row>
    <row r="217" spans="1:26" hidden="1">
      <c r="A217" s="187">
        <v>3</v>
      </c>
      <c r="B217" s="328" t="s">
        <v>124</v>
      </c>
      <c r="C217" s="189" t="s">
        <v>272</v>
      </c>
      <c r="D217" s="286">
        <f>3</f>
        <v>3</v>
      </c>
      <c r="E217" s="190" t="s">
        <v>81</v>
      </c>
      <c r="F217" s="339">
        <v>2000</v>
      </c>
      <c r="G217" s="355">
        <f t="shared" si="206"/>
        <v>6000</v>
      </c>
      <c r="H217" s="356">
        <f t="shared" si="207"/>
        <v>6000</v>
      </c>
      <c r="I217" s="357"/>
      <c r="J217" s="357"/>
      <c r="K217" s="357">
        <f t="shared" si="208"/>
        <v>0</v>
      </c>
      <c r="L217" s="357"/>
      <c r="M217" s="357"/>
      <c r="N217" s="357">
        <f t="shared" si="209"/>
        <v>0</v>
      </c>
      <c r="O217" s="358">
        <f t="shared" si="210"/>
        <v>6000</v>
      </c>
      <c r="P217" s="359">
        <f t="shared" si="211"/>
        <v>862.06896551724139</v>
      </c>
      <c r="Q217" s="321">
        <v>1</v>
      </c>
      <c r="R217" s="188">
        <f t="shared" si="212"/>
        <v>862.06896551724139</v>
      </c>
      <c r="S217" s="188"/>
      <c r="T217" s="188"/>
      <c r="U217" s="357">
        <f t="shared" si="213"/>
        <v>0</v>
      </c>
      <c r="V217" s="188"/>
      <c r="W217" s="188"/>
      <c r="X217" s="357">
        <f t="shared" si="214"/>
        <v>0</v>
      </c>
      <c r="Y217" s="358">
        <f t="shared" si="215"/>
        <v>862.06896551724139</v>
      </c>
      <c r="Z217" s="184">
        <f t="shared" si="198"/>
        <v>0</v>
      </c>
    </row>
    <row r="218" spans="1:26">
      <c r="A218" s="187">
        <v>3</v>
      </c>
      <c r="B218" s="328" t="s">
        <v>124</v>
      </c>
      <c r="C218" s="189" t="s">
        <v>272</v>
      </c>
      <c r="D218" s="286">
        <f>3</f>
        <v>3</v>
      </c>
      <c r="E218" s="190" t="s">
        <v>81</v>
      </c>
      <c r="F218" s="339">
        <v>2000</v>
      </c>
      <c r="G218" s="355">
        <f t="shared" si="206"/>
        <v>6000</v>
      </c>
      <c r="H218" s="356">
        <f t="shared" si="207"/>
        <v>6000</v>
      </c>
      <c r="I218" s="357"/>
      <c r="J218" s="357"/>
      <c r="K218" s="357">
        <f t="shared" si="208"/>
        <v>0</v>
      </c>
      <c r="L218" s="357"/>
      <c r="M218" s="357"/>
      <c r="N218" s="357">
        <f t="shared" si="209"/>
        <v>0</v>
      </c>
      <c r="O218" s="358">
        <f t="shared" si="210"/>
        <v>6000</v>
      </c>
      <c r="P218" s="359">
        <f t="shared" si="211"/>
        <v>862.06896551724139</v>
      </c>
      <c r="Q218" s="321">
        <v>2</v>
      </c>
      <c r="R218" s="188">
        <f t="shared" si="212"/>
        <v>862.06896551724139</v>
      </c>
      <c r="S218" s="188"/>
      <c r="T218" s="188"/>
      <c r="U218" s="357">
        <f t="shared" si="213"/>
        <v>0</v>
      </c>
      <c r="V218" s="188"/>
      <c r="W218" s="188"/>
      <c r="X218" s="357">
        <f t="shared" si="214"/>
        <v>0</v>
      </c>
      <c r="Y218" s="358">
        <f t="shared" si="215"/>
        <v>862.06896551724139</v>
      </c>
      <c r="Z218" s="184">
        <f t="shared" si="198"/>
        <v>0</v>
      </c>
    </row>
    <row r="219" spans="1:26" hidden="1">
      <c r="A219" s="187">
        <v>3</v>
      </c>
      <c r="B219" s="328" t="s">
        <v>124</v>
      </c>
      <c r="C219" s="189" t="s">
        <v>272</v>
      </c>
      <c r="D219" s="286">
        <f>3</f>
        <v>3</v>
      </c>
      <c r="E219" s="190" t="s">
        <v>81</v>
      </c>
      <c r="F219" s="339">
        <v>2000</v>
      </c>
      <c r="G219" s="355">
        <f t="shared" si="206"/>
        <v>6000</v>
      </c>
      <c r="H219" s="356">
        <f t="shared" si="207"/>
        <v>6000</v>
      </c>
      <c r="I219" s="357"/>
      <c r="J219" s="357"/>
      <c r="K219" s="357">
        <f t="shared" si="208"/>
        <v>0</v>
      </c>
      <c r="L219" s="357"/>
      <c r="M219" s="357"/>
      <c r="N219" s="357">
        <f t="shared" si="209"/>
        <v>0</v>
      </c>
      <c r="O219" s="358">
        <f t="shared" si="210"/>
        <v>6000</v>
      </c>
      <c r="P219" s="359">
        <f t="shared" si="211"/>
        <v>862.06896551724139</v>
      </c>
      <c r="Q219" s="321">
        <v>3</v>
      </c>
      <c r="R219" s="188">
        <f t="shared" si="212"/>
        <v>862.06896551724139</v>
      </c>
      <c r="S219" s="188"/>
      <c r="T219" s="188"/>
      <c r="U219" s="357">
        <f t="shared" si="213"/>
        <v>0</v>
      </c>
      <c r="V219" s="188"/>
      <c r="W219" s="188"/>
      <c r="X219" s="357">
        <f t="shared" si="214"/>
        <v>0</v>
      </c>
      <c r="Y219" s="358">
        <f t="shared" si="215"/>
        <v>862.06896551724139</v>
      </c>
      <c r="Z219" s="184">
        <f t="shared" si="198"/>
        <v>0</v>
      </c>
    </row>
    <row r="220" spans="1:26" hidden="1">
      <c r="A220" s="221" t="s">
        <v>83</v>
      </c>
      <c r="B220" s="325"/>
      <c r="C220" s="222"/>
      <c r="D220" s="283"/>
      <c r="E220" s="283"/>
      <c r="F220" s="223"/>
      <c r="G220" s="209">
        <f t="shared" ref="G220:P220" si="216">G221+G231+G247+G251</f>
        <v>135232.08559999999</v>
      </c>
      <c r="H220" s="210">
        <f t="shared" si="216"/>
        <v>115552.08559999999</v>
      </c>
      <c r="I220" s="211">
        <f t="shared" si="216"/>
        <v>12000</v>
      </c>
      <c r="J220" s="211">
        <f t="shared" si="216"/>
        <v>0</v>
      </c>
      <c r="K220" s="211">
        <f t="shared" si="216"/>
        <v>12000</v>
      </c>
      <c r="L220" s="211">
        <f t="shared" si="216"/>
        <v>0</v>
      </c>
      <c r="M220" s="211">
        <f t="shared" si="216"/>
        <v>7680.0000000000009</v>
      </c>
      <c r="N220" s="211">
        <f t="shared" si="216"/>
        <v>7680.0000000000009</v>
      </c>
      <c r="O220" s="212">
        <f t="shared" si="216"/>
        <v>135232.08559999999</v>
      </c>
      <c r="P220" s="280">
        <f t="shared" si="216"/>
        <v>19429.897356321839</v>
      </c>
      <c r="Q220" s="319"/>
      <c r="R220" s="453">
        <f t="shared" ref="R220:Y220" si="217">R221+R231+R247+R251</f>
        <v>16602.311149425288</v>
      </c>
      <c r="S220" s="453">
        <f t="shared" si="217"/>
        <v>1724.1379310344828</v>
      </c>
      <c r="T220" s="453">
        <f t="shared" si="217"/>
        <v>0</v>
      </c>
      <c r="U220" s="454">
        <f t="shared" si="217"/>
        <v>1724.1379310344828</v>
      </c>
      <c r="V220" s="453">
        <f t="shared" si="217"/>
        <v>0</v>
      </c>
      <c r="W220" s="453">
        <f t="shared" si="217"/>
        <v>1103.4482758620691</v>
      </c>
      <c r="X220" s="454">
        <f t="shared" si="217"/>
        <v>1103.4482758620691</v>
      </c>
      <c r="Y220" s="455">
        <f t="shared" si="217"/>
        <v>19429.897356321839</v>
      </c>
      <c r="Z220" s="184">
        <f t="shared" si="198"/>
        <v>0</v>
      </c>
    </row>
    <row r="221" spans="1:26" hidden="1">
      <c r="A221" s="219" t="s">
        <v>125</v>
      </c>
      <c r="B221" s="326"/>
      <c r="C221" s="218"/>
      <c r="D221" s="179"/>
      <c r="E221" s="179"/>
      <c r="F221" s="180"/>
      <c r="G221" s="207">
        <f t="shared" ref="G221:P221" si="218">SUM(G222:G230)</f>
        <v>20400</v>
      </c>
      <c r="H221" s="352">
        <f t="shared" si="218"/>
        <v>20400</v>
      </c>
      <c r="I221" s="353">
        <f t="shared" si="218"/>
        <v>0</v>
      </c>
      <c r="J221" s="353">
        <f t="shared" si="218"/>
        <v>0</v>
      </c>
      <c r="K221" s="353">
        <f t="shared" ref="K221" si="219">SUM(K222:K230)</f>
        <v>0</v>
      </c>
      <c r="L221" s="353">
        <f t="shared" si="218"/>
        <v>0</v>
      </c>
      <c r="M221" s="353">
        <f t="shared" si="218"/>
        <v>0</v>
      </c>
      <c r="N221" s="353">
        <f t="shared" si="218"/>
        <v>0</v>
      </c>
      <c r="O221" s="354">
        <f t="shared" si="218"/>
        <v>20400</v>
      </c>
      <c r="P221" s="352">
        <f t="shared" si="218"/>
        <v>2931.0344827586209</v>
      </c>
      <c r="Q221" s="320"/>
      <c r="R221" s="181">
        <f t="shared" ref="R221:Y221" si="220">SUM(R222:R230)</f>
        <v>2931.0344827586209</v>
      </c>
      <c r="S221" s="181">
        <f t="shared" si="220"/>
        <v>0</v>
      </c>
      <c r="T221" s="181">
        <f t="shared" si="220"/>
        <v>0</v>
      </c>
      <c r="U221" s="353">
        <f t="shared" si="220"/>
        <v>0</v>
      </c>
      <c r="V221" s="181">
        <f t="shared" si="220"/>
        <v>0</v>
      </c>
      <c r="W221" s="181">
        <f t="shared" si="220"/>
        <v>0</v>
      </c>
      <c r="X221" s="353">
        <f t="shared" si="220"/>
        <v>0</v>
      </c>
      <c r="Y221" s="354">
        <f t="shared" si="220"/>
        <v>2931.0344827586209</v>
      </c>
      <c r="Z221" s="184">
        <f t="shared" si="198"/>
        <v>0</v>
      </c>
    </row>
    <row r="222" spans="1:26" ht="25.5" hidden="1">
      <c r="A222" s="187">
        <v>3</v>
      </c>
      <c r="B222" s="328" t="s">
        <v>125</v>
      </c>
      <c r="C222" s="304" t="s">
        <v>192</v>
      </c>
      <c r="D222" s="286">
        <v>1</v>
      </c>
      <c r="E222" s="190" t="s">
        <v>76</v>
      </c>
      <c r="F222" s="339">
        <f>2500*6.96</f>
        <v>17400</v>
      </c>
      <c r="G222" s="355">
        <f>D222*F222</f>
        <v>17400</v>
      </c>
      <c r="H222" s="356">
        <f t="shared" ref="H222:H230" si="221">R222*$Y$4</f>
        <v>17400</v>
      </c>
      <c r="I222" s="357"/>
      <c r="J222" s="357"/>
      <c r="K222" s="357">
        <f t="shared" ref="K222:K230" si="222">I222+J222</f>
        <v>0</v>
      </c>
      <c r="L222" s="357"/>
      <c r="M222" s="357"/>
      <c r="N222" s="357">
        <f t="shared" ref="N222:N230" si="223">L222+M222</f>
        <v>0</v>
      </c>
      <c r="O222" s="358">
        <f t="shared" ref="O222:O230" si="224">H222+K222+N222</f>
        <v>17400</v>
      </c>
      <c r="P222" s="359">
        <f>G222/$Y$4</f>
        <v>2500</v>
      </c>
      <c r="Q222" s="321">
        <v>1</v>
      </c>
      <c r="R222" s="188">
        <f>P222</f>
        <v>2500</v>
      </c>
      <c r="S222" s="188"/>
      <c r="T222" s="188"/>
      <c r="U222" s="357">
        <f t="shared" ref="U222:U230" si="225">S222+T222</f>
        <v>0</v>
      </c>
      <c r="V222" s="188"/>
      <c r="W222" s="188"/>
      <c r="X222" s="357">
        <f t="shared" ref="X222:X230" si="226">V222+W222</f>
        <v>0</v>
      </c>
      <c r="Y222" s="358">
        <f t="shared" ref="Y222:Y230" si="227">R222+U222+X222</f>
        <v>2500</v>
      </c>
      <c r="Z222" s="184">
        <f t="shared" si="198"/>
        <v>0</v>
      </c>
    </row>
    <row r="223" spans="1:26" ht="25.5" hidden="1">
      <c r="A223" s="187">
        <v>3</v>
      </c>
      <c r="B223" s="328" t="s">
        <v>125</v>
      </c>
      <c r="C223" s="304" t="s">
        <v>192</v>
      </c>
      <c r="D223" s="286">
        <v>0</v>
      </c>
      <c r="E223" s="190" t="s">
        <v>76</v>
      </c>
      <c r="F223" s="339">
        <f t="shared" ref="F223:F224" si="228">2500*6.96</f>
        <v>17400</v>
      </c>
      <c r="G223" s="355">
        <f t="shared" ref="G223:G230" si="229">D223*F223</f>
        <v>0</v>
      </c>
      <c r="H223" s="356">
        <f t="shared" si="221"/>
        <v>0</v>
      </c>
      <c r="I223" s="357"/>
      <c r="J223" s="357"/>
      <c r="K223" s="357">
        <f t="shared" si="222"/>
        <v>0</v>
      </c>
      <c r="L223" s="357"/>
      <c r="M223" s="357"/>
      <c r="N223" s="357">
        <f t="shared" si="223"/>
        <v>0</v>
      </c>
      <c r="O223" s="358">
        <f t="shared" si="224"/>
        <v>0</v>
      </c>
      <c r="P223" s="359">
        <f t="shared" ref="P223:P230" si="230">G223/$Y$4</f>
        <v>0</v>
      </c>
      <c r="Q223" s="321">
        <v>2</v>
      </c>
      <c r="R223" s="188">
        <f t="shared" ref="R223:R230" si="231">P223</f>
        <v>0</v>
      </c>
      <c r="S223" s="188"/>
      <c r="T223" s="188"/>
      <c r="U223" s="357">
        <f t="shared" si="225"/>
        <v>0</v>
      </c>
      <c r="V223" s="188"/>
      <c r="W223" s="188"/>
      <c r="X223" s="357">
        <f t="shared" si="226"/>
        <v>0</v>
      </c>
      <c r="Y223" s="358">
        <f t="shared" si="227"/>
        <v>0</v>
      </c>
      <c r="Z223" s="184">
        <f t="shared" si="198"/>
        <v>0</v>
      </c>
    </row>
    <row r="224" spans="1:26" ht="25.5" hidden="1">
      <c r="A224" s="187">
        <v>3</v>
      </c>
      <c r="B224" s="328" t="s">
        <v>125</v>
      </c>
      <c r="C224" s="304" t="s">
        <v>192</v>
      </c>
      <c r="D224" s="286">
        <v>0</v>
      </c>
      <c r="E224" s="190" t="s">
        <v>76</v>
      </c>
      <c r="F224" s="339">
        <f t="shared" si="228"/>
        <v>17400</v>
      </c>
      <c r="G224" s="355">
        <f t="shared" si="229"/>
        <v>0</v>
      </c>
      <c r="H224" s="356">
        <f t="shared" si="221"/>
        <v>0</v>
      </c>
      <c r="I224" s="357"/>
      <c r="J224" s="357"/>
      <c r="K224" s="357">
        <f t="shared" si="222"/>
        <v>0</v>
      </c>
      <c r="L224" s="357"/>
      <c r="M224" s="357"/>
      <c r="N224" s="357">
        <f t="shared" si="223"/>
        <v>0</v>
      </c>
      <c r="O224" s="358">
        <f t="shared" si="224"/>
        <v>0</v>
      </c>
      <c r="P224" s="359">
        <f t="shared" si="230"/>
        <v>0</v>
      </c>
      <c r="Q224" s="321">
        <v>3</v>
      </c>
      <c r="R224" s="188">
        <f t="shared" si="231"/>
        <v>0</v>
      </c>
      <c r="S224" s="188"/>
      <c r="T224" s="188"/>
      <c r="U224" s="357">
        <f t="shared" si="225"/>
        <v>0</v>
      </c>
      <c r="V224" s="188"/>
      <c r="W224" s="188"/>
      <c r="X224" s="357">
        <f t="shared" si="226"/>
        <v>0</v>
      </c>
      <c r="Y224" s="358">
        <f t="shared" si="227"/>
        <v>0</v>
      </c>
      <c r="Z224" s="184">
        <f t="shared" si="198"/>
        <v>0</v>
      </c>
    </row>
    <row r="225" spans="1:26" ht="25.5" hidden="1">
      <c r="A225" s="187">
        <v>3</v>
      </c>
      <c r="B225" s="328" t="s">
        <v>125</v>
      </c>
      <c r="C225" s="304" t="s">
        <v>143</v>
      </c>
      <c r="D225" s="285">
        <v>1</v>
      </c>
      <c r="E225" s="190" t="s">
        <v>76</v>
      </c>
      <c r="F225" s="337">
        <v>1000</v>
      </c>
      <c r="G225" s="355">
        <f t="shared" si="229"/>
        <v>1000</v>
      </c>
      <c r="H225" s="356">
        <f t="shared" si="221"/>
        <v>1000</v>
      </c>
      <c r="I225" s="357"/>
      <c r="J225" s="357"/>
      <c r="K225" s="357">
        <f t="shared" si="222"/>
        <v>0</v>
      </c>
      <c r="L225" s="357"/>
      <c r="M225" s="357"/>
      <c r="N225" s="357">
        <f t="shared" si="223"/>
        <v>0</v>
      </c>
      <c r="O225" s="358">
        <f t="shared" si="224"/>
        <v>1000</v>
      </c>
      <c r="P225" s="359">
        <f t="shared" si="230"/>
        <v>143.67816091954023</v>
      </c>
      <c r="Q225" s="321">
        <v>1</v>
      </c>
      <c r="R225" s="188">
        <f t="shared" si="231"/>
        <v>143.67816091954023</v>
      </c>
      <c r="S225" s="188"/>
      <c r="T225" s="188"/>
      <c r="U225" s="357">
        <f t="shared" si="225"/>
        <v>0</v>
      </c>
      <c r="V225" s="188"/>
      <c r="W225" s="188"/>
      <c r="X225" s="357">
        <f t="shared" si="226"/>
        <v>0</v>
      </c>
      <c r="Y225" s="358">
        <f t="shared" si="227"/>
        <v>143.67816091954023</v>
      </c>
      <c r="Z225" s="184">
        <f t="shared" si="198"/>
        <v>0</v>
      </c>
    </row>
    <row r="226" spans="1:26" ht="25.5" hidden="1">
      <c r="A226" s="187">
        <v>3</v>
      </c>
      <c r="B226" s="328" t="s">
        <v>125</v>
      </c>
      <c r="C226" s="304" t="s">
        <v>143</v>
      </c>
      <c r="D226" s="285">
        <v>0</v>
      </c>
      <c r="E226" s="190" t="s">
        <v>76</v>
      </c>
      <c r="F226" s="337">
        <v>1000</v>
      </c>
      <c r="G226" s="355">
        <f t="shared" si="229"/>
        <v>0</v>
      </c>
      <c r="H226" s="356">
        <f t="shared" si="221"/>
        <v>0</v>
      </c>
      <c r="I226" s="357"/>
      <c r="J226" s="357"/>
      <c r="K226" s="357">
        <f t="shared" si="222"/>
        <v>0</v>
      </c>
      <c r="L226" s="357"/>
      <c r="M226" s="357"/>
      <c r="N226" s="357">
        <f t="shared" si="223"/>
        <v>0</v>
      </c>
      <c r="O226" s="358">
        <f t="shared" si="224"/>
        <v>0</v>
      </c>
      <c r="P226" s="359">
        <f t="shared" si="230"/>
        <v>0</v>
      </c>
      <c r="Q226" s="321">
        <v>2</v>
      </c>
      <c r="R226" s="188">
        <f t="shared" si="231"/>
        <v>0</v>
      </c>
      <c r="S226" s="188"/>
      <c r="T226" s="188"/>
      <c r="U226" s="357">
        <f t="shared" si="225"/>
        <v>0</v>
      </c>
      <c r="V226" s="188"/>
      <c r="W226" s="188"/>
      <c r="X226" s="357">
        <f t="shared" si="226"/>
        <v>0</v>
      </c>
      <c r="Y226" s="358">
        <f t="shared" si="227"/>
        <v>0</v>
      </c>
      <c r="Z226" s="184">
        <f t="shared" si="198"/>
        <v>0</v>
      </c>
    </row>
    <row r="227" spans="1:26" ht="25.5" hidden="1">
      <c r="A227" s="187">
        <v>3</v>
      </c>
      <c r="B227" s="328" t="s">
        <v>125</v>
      </c>
      <c r="C227" s="304" t="s">
        <v>143</v>
      </c>
      <c r="D227" s="285">
        <v>0</v>
      </c>
      <c r="E227" s="190" t="s">
        <v>76</v>
      </c>
      <c r="F227" s="337">
        <v>1000</v>
      </c>
      <c r="G227" s="355">
        <f t="shared" si="229"/>
        <v>0</v>
      </c>
      <c r="H227" s="356">
        <f t="shared" si="221"/>
        <v>0</v>
      </c>
      <c r="I227" s="357"/>
      <c r="J227" s="357"/>
      <c r="K227" s="357">
        <f t="shared" si="222"/>
        <v>0</v>
      </c>
      <c r="L227" s="357"/>
      <c r="M227" s="357"/>
      <c r="N227" s="357">
        <f t="shared" si="223"/>
        <v>0</v>
      </c>
      <c r="O227" s="358">
        <f t="shared" si="224"/>
        <v>0</v>
      </c>
      <c r="P227" s="359">
        <f t="shared" si="230"/>
        <v>0</v>
      </c>
      <c r="Q227" s="321">
        <v>3</v>
      </c>
      <c r="R227" s="188">
        <f t="shared" si="231"/>
        <v>0</v>
      </c>
      <c r="S227" s="188"/>
      <c r="T227" s="188"/>
      <c r="U227" s="357">
        <f t="shared" si="225"/>
        <v>0</v>
      </c>
      <c r="V227" s="188"/>
      <c r="W227" s="188"/>
      <c r="X227" s="357">
        <f t="shared" si="226"/>
        <v>0</v>
      </c>
      <c r="Y227" s="358">
        <f t="shared" si="227"/>
        <v>0</v>
      </c>
      <c r="Z227" s="184">
        <f t="shared" si="198"/>
        <v>0</v>
      </c>
    </row>
    <row r="228" spans="1:26" ht="25.5" hidden="1">
      <c r="A228" s="187">
        <v>3</v>
      </c>
      <c r="B228" s="328" t="s">
        <v>125</v>
      </c>
      <c r="C228" s="189" t="s">
        <v>274</v>
      </c>
      <c r="D228" s="286">
        <v>4</v>
      </c>
      <c r="E228" s="190" t="s">
        <v>134</v>
      </c>
      <c r="F228" s="339">
        <f t="shared" ref="F228:F229" si="232">25*20</f>
        <v>500</v>
      </c>
      <c r="G228" s="355">
        <f t="shared" si="229"/>
        <v>2000</v>
      </c>
      <c r="H228" s="356">
        <f t="shared" si="221"/>
        <v>2000</v>
      </c>
      <c r="I228" s="357"/>
      <c r="J228" s="357"/>
      <c r="K228" s="357">
        <f t="shared" si="222"/>
        <v>0</v>
      </c>
      <c r="L228" s="357"/>
      <c r="M228" s="357"/>
      <c r="N228" s="357">
        <f t="shared" si="223"/>
        <v>0</v>
      </c>
      <c r="O228" s="358">
        <f t="shared" si="224"/>
        <v>2000</v>
      </c>
      <c r="P228" s="359">
        <f t="shared" si="230"/>
        <v>287.35632183908046</v>
      </c>
      <c r="Q228" s="321">
        <v>1</v>
      </c>
      <c r="R228" s="188">
        <f t="shared" si="231"/>
        <v>287.35632183908046</v>
      </c>
      <c r="S228" s="188"/>
      <c r="T228" s="188"/>
      <c r="U228" s="357">
        <f t="shared" si="225"/>
        <v>0</v>
      </c>
      <c r="V228" s="188"/>
      <c r="W228" s="188"/>
      <c r="X228" s="357">
        <f t="shared" si="226"/>
        <v>0</v>
      </c>
      <c r="Y228" s="358">
        <f t="shared" si="227"/>
        <v>287.35632183908046</v>
      </c>
      <c r="Z228" s="184">
        <f t="shared" si="198"/>
        <v>0</v>
      </c>
    </row>
    <row r="229" spans="1:26" ht="25.5" hidden="1">
      <c r="A229" s="187">
        <v>3</v>
      </c>
      <c r="B229" s="328" t="s">
        <v>125</v>
      </c>
      <c r="C229" s="189" t="s">
        <v>274</v>
      </c>
      <c r="D229" s="286">
        <v>0</v>
      </c>
      <c r="E229" s="190" t="s">
        <v>134</v>
      </c>
      <c r="F229" s="339">
        <f t="shared" si="232"/>
        <v>500</v>
      </c>
      <c r="G229" s="355">
        <f t="shared" si="229"/>
        <v>0</v>
      </c>
      <c r="H229" s="356">
        <f t="shared" si="221"/>
        <v>0</v>
      </c>
      <c r="I229" s="357"/>
      <c r="J229" s="357"/>
      <c r="K229" s="357">
        <f t="shared" si="222"/>
        <v>0</v>
      </c>
      <c r="L229" s="357"/>
      <c r="M229" s="357"/>
      <c r="N229" s="357">
        <f t="shared" si="223"/>
        <v>0</v>
      </c>
      <c r="O229" s="358">
        <f t="shared" si="224"/>
        <v>0</v>
      </c>
      <c r="P229" s="359">
        <f t="shared" si="230"/>
        <v>0</v>
      </c>
      <c r="Q229" s="321">
        <v>2</v>
      </c>
      <c r="R229" s="188">
        <f t="shared" si="231"/>
        <v>0</v>
      </c>
      <c r="S229" s="188"/>
      <c r="T229" s="188"/>
      <c r="U229" s="357">
        <f t="shared" si="225"/>
        <v>0</v>
      </c>
      <c r="V229" s="188"/>
      <c r="W229" s="188"/>
      <c r="X229" s="357">
        <f t="shared" si="226"/>
        <v>0</v>
      </c>
      <c r="Y229" s="358">
        <f t="shared" si="227"/>
        <v>0</v>
      </c>
      <c r="Z229" s="184">
        <f t="shared" si="198"/>
        <v>0</v>
      </c>
    </row>
    <row r="230" spans="1:26" ht="25.5" hidden="1">
      <c r="A230" s="187">
        <v>3</v>
      </c>
      <c r="B230" s="328" t="s">
        <v>125</v>
      </c>
      <c r="C230" s="189" t="s">
        <v>274</v>
      </c>
      <c r="D230" s="286">
        <v>0</v>
      </c>
      <c r="E230" s="190" t="s">
        <v>134</v>
      </c>
      <c r="F230" s="339">
        <f>25*20</f>
        <v>500</v>
      </c>
      <c r="G230" s="355">
        <f t="shared" si="229"/>
        <v>0</v>
      </c>
      <c r="H230" s="356">
        <f t="shared" si="221"/>
        <v>0</v>
      </c>
      <c r="I230" s="357"/>
      <c r="J230" s="357"/>
      <c r="K230" s="357">
        <f t="shared" si="222"/>
        <v>0</v>
      </c>
      <c r="L230" s="357"/>
      <c r="M230" s="357"/>
      <c r="N230" s="357">
        <f t="shared" si="223"/>
        <v>0</v>
      </c>
      <c r="O230" s="358">
        <f t="shared" si="224"/>
        <v>0</v>
      </c>
      <c r="P230" s="359">
        <f t="shared" si="230"/>
        <v>0</v>
      </c>
      <c r="Q230" s="321">
        <v>3</v>
      </c>
      <c r="R230" s="188">
        <f t="shared" si="231"/>
        <v>0</v>
      </c>
      <c r="S230" s="188"/>
      <c r="T230" s="188"/>
      <c r="U230" s="357">
        <f t="shared" si="225"/>
        <v>0</v>
      </c>
      <c r="V230" s="188"/>
      <c r="W230" s="188"/>
      <c r="X230" s="357">
        <f t="shared" si="226"/>
        <v>0</v>
      </c>
      <c r="Y230" s="358">
        <f t="shared" si="227"/>
        <v>0</v>
      </c>
      <c r="Z230" s="184">
        <f t="shared" si="198"/>
        <v>0</v>
      </c>
    </row>
    <row r="231" spans="1:26" hidden="1">
      <c r="A231" s="219" t="s">
        <v>126</v>
      </c>
      <c r="B231" s="326"/>
      <c r="C231" s="218"/>
      <c r="D231" s="179"/>
      <c r="E231" s="179"/>
      <c r="F231" s="180"/>
      <c r="G231" s="207">
        <f t="shared" ref="G231:P231" si="233">SUM(G232:G246)</f>
        <v>39200</v>
      </c>
      <c r="H231" s="352">
        <f t="shared" si="233"/>
        <v>25280</v>
      </c>
      <c r="I231" s="353">
        <f t="shared" si="233"/>
        <v>12000</v>
      </c>
      <c r="J231" s="353">
        <f t="shared" si="233"/>
        <v>0</v>
      </c>
      <c r="K231" s="353">
        <f t="shared" si="233"/>
        <v>12000</v>
      </c>
      <c r="L231" s="353">
        <f t="shared" si="233"/>
        <v>0</v>
      </c>
      <c r="M231" s="353">
        <f t="shared" si="233"/>
        <v>1920.0000000000002</v>
      </c>
      <c r="N231" s="353">
        <f t="shared" si="233"/>
        <v>1920.0000000000002</v>
      </c>
      <c r="O231" s="354">
        <f t="shared" si="233"/>
        <v>39200</v>
      </c>
      <c r="P231" s="352">
        <f t="shared" si="233"/>
        <v>5632.1839080459777</v>
      </c>
      <c r="Q231" s="320"/>
      <c r="R231" s="181">
        <f t="shared" ref="R231:Y231" si="234">SUM(R232:R246)</f>
        <v>3632.1839080459777</v>
      </c>
      <c r="S231" s="181">
        <f t="shared" si="234"/>
        <v>1724.1379310344828</v>
      </c>
      <c r="T231" s="181">
        <f t="shared" si="234"/>
        <v>0</v>
      </c>
      <c r="U231" s="353">
        <f t="shared" si="234"/>
        <v>1724.1379310344828</v>
      </c>
      <c r="V231" s="181">
        <f t="shared" si="234"/>
        <v>0</v>
      </c>
      <c r="W231" s="181">
        <f t="shared" si="234"/>
        <v>275.86206896551727</v>
      </c>
      <c r="X231" s="353">
        <f t="shared" si="234"/>
        <v>275.86206896551727</v>
      </c>
      <c r="Y231" s="354">
        <f t="shared" si="234"/>
        <v>5632.1839080459777</v>
      </c>
      <c r="Z231" s="184">
        <f t="shared" si="198"/>
        <v>0</v>
      </c>
    </row>
    <row r="232" spans="1:26" ht="25.5" hidden="1">
      <c r="A232" s="187">
        <v>3</v>
      </c>
      <c r="B232" s="328" t="s">
        <v>126</v>
      </c>
      <c r="C232" s="189" t="s">
        <v>131</v>
      </c>
      <c r="D232" s="286">
        <v>8</v>
      </c>
      <c r="E232" s="190" t="s">
        <v>132</v>
      </c>
      <c r="F232" s="339">
        <v>1500</v>
      </c>
      <c r="G232" s="355">
        <f>D232*F232</f>
        <v>12000</v>
      </c>
      <c r="H232" s="356">
        <f t="shared" ref="H232:I246" si="235">R232*$Y$4</f>
        <v>0</v>
      </c>
      <c r="I232" s="357">
        <f>S232*$Y$4</f>
        <v>12000</v>
      </c>
      <c r="J232" s="357"/>
      <c r="K232" s="357">
        <f t="shared" ref="K232:K246" si="236">I232+J232</f>
        <v>12000</v>
      </c>
      <c r="L232" s="357"/>
      <c r="M232" s="357"/>
      <c r="N232" s="357">
        <f t="shared" ref="N232:N246" si="237">L232+M232</f>
        <v>0</v>
      </c>
      <c r="O232" s="358">
        <f t="shared" ref="O232:O246" si="238">H232+K232+N232</f>
        <v>12000</v>
      </c>
      <c r="P232" s="359">
        <f>G232/$Y$4</f>
        <v>1724.1379310344828</v>
      </c>
      <c r="Q232" s="321">
        <v>1</v>
      </c>
      <c r="R232" s="188"/>
      <c r="S232" s="188">
        <f>P232</f>
        <v>1724.1379310344828</v>
      </c>
      <c r="T232" s="188"/>
      <c r="U232" s="357">
        <f t="shared" ref="U232:U246" si="239">S232+T232</f>
        <v>1724.1379310344828</v>
      </c>
      <c r="V232" s="188"/>
      <c r="W232" s="188"/>
      <c r="X232" s="357">
        <f t="shared" ref="X232:X246" si="240">V232+W232</f>
        <v>0</v>
      </c>
      <c r="Y232" s="358">
        <f t="shared" ref="Y232:Y246" si="241">R232+U232+X232</f>
        <v>1724.1379310344828</v>
      </c>
      <c r="Z232" s="184">
        <f t="shared" si="198"/>
        <v>0</v>
      </c>
    </row>
    <row r="233" spans="1:26" ht="25.5" hidden="1">
      <c r="A233" s="187">
        <v>3</v>
      </c>
      <c r="B233" s="328" t="s">
        <v>126</v>
      </c>
      <c r="C233" s="189" t="s">
        <v>131</v>
      </c>
      <c r="D233" s="286">
        <v>0</v>
      </c>
      <c r="E233" s="190" t="s">
        <v>132</v>
      </c>
      <c r="F233" s="339">
        <v>1500</v>
      </c>
      <c r="G233" s="355">
        <f t="shared" ref="G233:G234" si="242">D233*F233</f>
        <v>0</v>
      </c>
      <c r="H233" s="356">
        <f t="shared" si="235"/>
        <v>0</v>
      </c>
      <c r="I233" s="357">
        <f t="shared" si="235"/>
        <v>0</v>
      </c>
      <c r="J233" s="357"/>
      <c r="K233" s="357">
        <f t="shared" si="236"/>
        <v>0</v>
      </c>
      <c r="L233" s="357"/>
      <c r="M233" s="357"/>
      <c r="N233" s="357">
        <f t="shared" si="237"/>
        <v>0</v>
      </c>
      <c r="O233" s="358">
        <f t="shared" si="238"/>
        <v>0</v>
      </c>
      <c r="P233" s="359">
        <f t="shared" ref="P233:P234" si="243">G233/$Y$4</f>
        <v>0</v>
      </c>
      <c r="Q233" s="321">
        <v>2</v>
      </c>
      <c r="R233" s="188"/>
      <c r="S233" s="188">
        <f t="shared" ref="S233:S234" si="244">P233</f>
        <v>0</v>
      </c>
      <c r="T233" s="188"/>
      <c r="U233" s="357">
        <f t="shared" si="239"/>
        <v>0</v>
      </c>
      <c r="V233" s="188"/>
      <c r="W233" s="188"/>
      <c r="X233" s="357">
        <f t="shared" si="240"/>
        <v>0</v>
      </c>
      <c r="Y233" s="358">
        <f t="shared" si="241"/>
        <v>0</v>
      </c>
      <c r="Z233" s="184">
        <f t="shared" si="198"/>
        <v>0</v>
      </c>
    </row>
    <row r="234" spans="1:26" ht="25.5" hidden="1">
      <c r="A234" s="187">
        <v>3</v>
      </c>
      <c r="B234" s="328" t="s">
        <v>126</v>
      </c>
      <c r="C234" s="189" t="s">
        <v>131</v>
      </c>
      <c r="D234" s="286">
        <v>0</v>
      </c>
      <c r="E234" s="190" t="s">
        <v>132</v>
      </c>
      <c r="F234" s="339">
        <v>1500</v>
      </c>
      <c r="G234" s="355">
        <f t="shared" si="242"/>
        <v>0</v>
      </c>
      <c r="H234" s="356">
        <f t="shared" si="235"/>
        <v>0</v>
      </c>
      <c r="I234" s="357">
        <f t="shared" si="235"/>
        <v>0</v>
      </c>
      <c r="J234" s="357"/>
      <c r="K234" s="357">
        <f t="shared" si="236"/>
        <v>0</v>
      </c>
      <c r="L234" s="357"/>
      <c r="M234" s="357"/>
      <c r="N234" s="357">
        <f t="shared" si="237"/>
        <v>0</v>
      </c>
      <c r="O234" s="358">
        <f t="shared" si="238"/>
        <v>0</v>
      </c>
      <c r="P234" s="359">
        <f t="shared" si="243"/>
        <v>0</v>
      </c>
      <c r="Q234" s="321">
        <v>3</v>
      </c>
      <c r="R234" s="188"/>
      <c r="S234" s="188">
        <f t="shared" si="244"/>
        <v>0</v>
      </c>
      <c r="T234" s="188"/>
      <c r="U234" s="357">
        <f t="shared" si="239"/>
        <v>0</v>
      </c>
      <c r="V234" s="188"/>
      <c r="W234" s="188"/>
      <c r="X234" s="357">
        <f t="shared" si="240"/>
        <v>0</v>
      </c>
      <c r="Y234" s="358">
        <f t="shared" si="241"/>
        <v>0</v>
      </c>
      <c r="Z234" s="184">
        <f t="shared" si="198"/>
        <v>0</v>
      </c>
    </row>
    <row r="235" spans="1:26" ht="25.5" hidden="1">
      <c r="A235" s="187">
        <v>3</v>
      </c>
      <c r="B235" s="328" t="s">
        <v>126</v>
      </c>
      <c r="C235" s="189" t="s">
        <v>147</v>
      </c>
      <c r="D235" s="286">
        <v>200</v>
      </c>
      <c r="E235" s="190" t="s">
        <v>148</v>
      </c>
      <c r="F235" s="339">
        <v>25</v>
      </c>
      <c r="G235" s="355">
        <f>D235*F235</f>
        <v>5000</v>
      </c>
      <c r="H235" s="356">
        <f t="shared" si="235"/>
        <v>5000</v>
      </c>
      <c r="I235" s="357"/>
      <c r="J235" s="357"/>
      <c r="K235" s="357">
        <f t="shared" si="236"/>
        <v>0</v>
      </c>
      <c r="L235" s="357"/>
      <c r="M235" s="357"/>
      <c r="N235" s="357">
        <f t="shared" si="237"/>
        <v>0</v>
      </c>
      <c r="O235" s="358">
        <f t="shared" si="238"/>
        <v>5000</v>
      </c>
      <c r="P235" s="359">
        <f>G235/$Y$4</f>
        <v>718.39080459770116</v>
      </c>
      <c r="Q235" s="321">
        <v>1</v>
      </c>
      <c r="R235" s="188">
        <f t="shared" ref="R235:R246" si="245">P235</f>
        <v>718.39080459770116</v>
      </c>
      <c r="S235" s="188"/>
      <c r="T235" s="188"/>
      <c r="U235" s="357">
        <f t="shared" si="239"/>
        <v>0</v>
      </c>
      <c r="V235" s="188"/>
      <c r="W235" s="188"/>
      <c r="X235" s="357">
        <f t="shared" si="240"/>
        <v>0</v>
      </c>
      <c r="Y235" s="358">
        <f t="shared" si="241"/>
        <v>718.39080459770116</v>
      </c>
      <c r="Z235" s="184">
        <f t="shared" si="198"/>
        <v>0</v>
      </c>
    </row>
    <row r="236" spans="1:26" ht="25.5" hidden="1">
      <c r="A236" s="187">
        <v>3</v>
      </c>
      <c r="B236" s="328" t="s">
        <v>126</v>
      </c>
      <c r="C236" s="189" t="s">
        <v>147</v>
      </c>
      <c r="D236" s="286">
        <v>0</v>
      </c>
      <c r="E236" s="190" t="s">
        <v>148</v>
      </c>
      <c r="F236" s="339">
        <v>25</v>
      </c>
      <c r="G236" s="355">
        <f>D236*F236</f>
        <v>0</v>
      </c>
      <c r="H236" s="356">
        <f t="shared" si="235"/>
        <v>0</v>
      </c>
      <c r="I236" s="357"/>
      <c r="J236" s="357"/>
      <c r="K236" s="357">
        <f t="shared" si="236"/>
        <v>0</v>
      </c>
      <c r="L236" s="357"/>
      <c r="M236" s="357"/>
      <c r="N236" s="357">
        <f t="shared" si="237"/>
        <v>0</v>
      </c>
      <c r="O236" s="358">
        <f t="shared" si="238"/>
        <v>0</v>
      </c>
      <c r="P236" s="359">
        <f>G236/$Y$4</f>
        <v>0</v>
      </c>
      <c r="Q236" s="321">
        <v>2</v>
      </c>
      <c r="R236" s="188">
        <f t="shared" si="245"/>
        <v>0</v>
      </c>
      <c r="S236" s="188"/>
      <c r="T236" s="188"/>
      <c r="U236" s="357">
        <f t="shared" si="239"/>
        <v>0</v>
      </c>
      <c r="V236" s="188"/>
      <c r="W236" s="188"/>
      <c r="X236" s="357">
        <f t="shared" si="240"/>
        <v>0</v>
      </c>
      <c r="Y236" s="358">
        <f t="shared" si="241"/>
        <v>0</v>
      </c>
      <c r="Z236" s="184">
        <f t="shared" si="198"/>
        <v>0</v>
      </c>
    </row>
    <row r="237" spans="1:26" ht="25.5" hidden="1">
      <c r="A237" s="187">
        <v>3</v>
      </c>
      <c r="B237" s="328" t="s">
        <v>126</v>
      </c>
      <c r="C237" s="189" t="s">
        <v>147</v>
      </c>
      <c r="D237" s="286">
        <v>0</v>
      </c>
      <c r="E237" s="190" t="s">
        <v>148</v>
      </c>
      <c r="F237" s="339">
        <v>25</v>
      </c>
      <c r="G237" s="355">
        <f t="shared" ref="G237" si="246">D237*F237</f>
        <v>0</v>
      </c>
      <c r="H237" s="356">
        <f t="shared" si="235"/>
        <v>0</v>
      </c>
      <c r="I237" s="357"/>
      <c r="J237" s="357"/>
      <c r="K237" s="357">
        <f t="shared" si="236"/>
        <v>0</v>
      </c>
      <c r="L237" s="357"/>
      <c r="M237" s="357"/>
      <c r="N237" s="357">
        <f t="shared" si="237"/>
        <v>0</v>
      </c>
      <c r="O237" s="358">
        <f t="shared" si="238"/>
        <v>0</v>
      </c>
      <c r="P237" s="359">
        <f t="shared" ref="P237" si="247">G237/$Y$4</f>
        <v>0</v>
      </c>
      <c r="Q237" s="321">
        <v>3</v>
      </c>
      <c r="R237" s="188">
        <f t="shared" si="245"/>
        <v>0</v>
      </c>
      <c r="S237" s="188"/>
      <c r="T237" s="188"/>
      <c r="U237" s="357">
        <f t="shared" si="239"/>
        <v>0</v>
      </c>
      <c r="V237" s="188"/>
      <c r="W237" s="188"/>
      <c r="X237" s="357">
        <f t="shared" si="240"/>
        <v>0</v>
      </c>
      <c r="Y237" s="358">
        <f t="shared" si="241"/>
        <v>0</v>
      </c>
      <c r="Z237" s="184">
        <f t="shared" si="198"/>
        <v>0</v>
      </c>
    </row>
    <row r="238" spans="1:26" ht="38.25" hidden="1">
      <c r="A238" s="187">
        <v>3</v>
      </c>
      <c r="B238" s="328" t="s">
        <v>126</v>
      </c>
      <c r="C238" s="189" t="s">
        <v>275</v>
      </c>
      <c r="D238" s="286">
        <v>16</v>
      </c>
      <c r="E238" s="190" t="s">
        <v>134</v>
      </c>
      <c r="F238" s="339">
        <f>30*20</f>
        <v>600</v>
      </c>
      <c r="G238" s="355">
        <f>D238*F238</f>
        <v>9600</v>
      </c>
      <c r="H238" s="356">
        <f t="shared" si="235"/>
        <v>8640</v>
      </c>
      <c r="I238" s="357"/>
      <c r="J238" s="357"/>
      <c r="K238" s="357">
        <f t="shared" si="236"/>
        <v>0</v>
      </c>
      <c r="L238" s="357"/>
      <c r="M238" s="357">
        <f>W238*$Y$4</f>
        <v>960.00000000000011</v>
      </c>
      <c r="N238" s="357">
        <f t="shared" si="237"/>
        <v>960.00000000000011</v>
      </c>
      <c r="O238" s="358">
        <f t="shared" si="238"/>
        <v>9600</v>
      </c>
      <c r="P238" s="359">
        <f>G238/$Y$4</f>
        <v>1379.3103448275863</v>
      </c>
      <c r="Q238" s="321">
        <v>1</v>
      </c>
      <c r="R238" s="188">
        <f>P238*0.9</f>
        <v>1241.3793103448277</v>
      </c>
      <c r="S238" s="188"/>
      <c r="T238" s="188"/>
      <c r="U238" s="357">
        <f t="shared" si="239"/>
        <v>0</v>
      </c>
      <c r="V238" s="188"/>
      <c r="W238" s="188">
        <f>P238*0.1</f>
        <v>137.93103448275863</v>
      </c>
      <c r="X238" s="357">
        <f t="shared" si="240"/>
        <v>137.93103448275863</v>
      </c>
      <c r="Y238" s="358">
        <f t="shared" si="241"/>
        <v>1379.3103448275863</v>
      </c>
      <c r="Z238" s="184">
        <f t="shared" si="198"/>
        <v>0</v>
      </c>
    </row>
    <row r="239" spans="1:26" ht="38.25">
      <c r="A239" s="187">
        <v>3</v>
      </c>
      <c r="B239" s="328" t="s">
        <v>126</v>
      </c>
      <c r="C239" s="189" t="s">
        <v>275</v>
      </c>
      <c r="D239" s="286">
        <v>16</v>
      </c>
      <c r="E239" s="190" t="s">
        <v>134</v>
      </c>
      <c r="F239" s="339">
        <f>30*20</f>
        <v>600</v>
      </c>
      <c r="G239" s="355">
        <f>D239*F239</f>
        <v>9600</v>
      </c>
      <c r="H239" s="356">
        <f t="shared" si="235"/>
        <v>8640</v>
      </c>
      <c r="I239" s="357"/>
      <c r="J239" s="357"/>
      <c r="K239" s="357">
        <f t="shared" si="236"/>
        <v>0</v>
      </c>
      <c r="L239" s="357"/>
      <c r="M239" s="357">
        <f>W239*$Y$4</f>
        <v>960.00000000000011</v>
      </c>
      <c r="N239" s="357">
        <f t="shared" si="237"/>
        <v>960.00000000000011</v>
      </c>
      <c r="O239" s="358">
        <f t="shared" si="238"/>
        <v>9600</v>
      </c>
      <c r="P239" s="359">
        <f>G239/$Y$4</f>
        <v>1379.3103448275863</v>
      </c>
      <c r="Q239" s="321">
        <v>2</v>
      </c>
      <c r="R239" s="188">
        <f>P239*0.9</f>
        <v>1241.3793103448277</v>
      </c>
      <c r="S239" s="188"/>
      <c r="T239" s="188"/>
      <c r="U239" s="357">
        <f t="shared" si="239"/>
        <v>0</v>
      </c>
      <c r="V239" s="188"/>
      <c r="W239" s="188">
        <f>P239*0.1</f>
        <v>137.93103448275863</v>
      </c>
      <c r="X239" s="357">
        <f t="shared" si="240"/>
        <v>137.93103448275863</v>
      </c>
      <c r="Y239" s="358">
        <f t="shared" si="241"/>
        <v>1379.3103448275863</v>
      </c>
      <c r="Z239" s="184">
        <f t="shared" si="198"/>
        <v>0</v>
      </c>
    </row>
    <row r="240" spans="1:26" ht="38.25" hidden="1">
      <c r="A240" s="187">
        <v>3</v>
      </c>
      <c r="B240" s="328" t="s">
        <v>126</v>
      </c>
      <c r="C240" s="189" t="s">
        <v>275</v>
      </c>
      <c r="D240" s="286">
        <v>0</v>
      </c>
      <c r="E240" s="190" t="s">
        <v>134</v>
      </c>
      <c r="F240" s="339">
        <f t="shared" ref="F240" si="248">30*20</f>
        <v>600</v>
      </c>
      <c r="G240" s="355">
        <f t="shared" ref="G240" si="249">D240*F240</f>
        <v>0</v>
      </c>
      <c r="H240" s="356">
        <f t="shared" si="235"/>
        <v>0</v>
      </c>
      <c r="I240" s="357"/>
      <c r="J240" s="357"/>
      <c r="K240" s="357">
        <f t="shared" si="236"/>
        <v>0</v>
      </c>
      <c r="L240" s="357"/>
      <c r="M240" s="357">
        <f t="shared" ref="M240" si="250">W240*$Y$4</f>
        <v>0</v>
      </c>
      <c r="N240" s="357">
        <f t="shared" si="237"/>
        <v>0</v>
      </c>
      <c r="O240" s="358">
        <f t="shared" si="238"/>
        <v>0</v>
      </c>
      <c r="P240" s="359">
        <f t="shared" ref="P240" si="251">G240/$Y$4</f>
        <v>0</v>
      </c>
      <c r="Q240" s="321">
        <v>3</v>
      </c>
      <c r="R240" s="188">
        <f t="shared" ref="R240" si="252">P240*0.9</f>
        <v>0</v>
      </c>
      <c r="S240" s="188"/>
      <c r="T240" s="188"/>
      <c r="U240" s="357">
        <f t="shared" si="239"/>
        <v>0</v>
      </c>
      <c r="V240" s="188"/>
      <c r="W240" s="188">
        <f t="shared" ref="W240" si="253">P240*0.1</f>
        <v>0</v>
      </c>
      <c r="X240" s="357">
        <f t="shared" si="240"/>
        <v>0</v>
      </c>
      <c r="Y240" s="358">
        <f t="shared" si="241"/>
        <v>0</v>
      </c>
      <c r="Z240" s="184">
        <f t="shared" si="198"/>
        <v>0</v>
      </c>
    </row>
    <row r="241" spans="1:26" ht="25.5" hidden="1">
      <c r="A241" s="187">
        <v>3</v>
      </c>
      <c r="B241" s="328" t="s">
        <v>126</v>
      </c>
      <c r="C241" s="189" t="s">
        <v>145</v>
      </c>
      <c r="D241" s="286">
        <v>1</v>
      </c>
      <c r="E241" s="190" t="s">
        <v>92</v>
      </c>
      <c r="F241" s="339">
        <v>1000</v>
      </c>
      <c r="G241" s="355">
        <f>D241*F241</f>
        <v>1000</v>
      </c>
      <c r="H241" s="356">
        <f t="shared" si="235"/>
        <v>1000</v>
      </c>
      <c r="I241" s="357"/>
      <c r="J241" s="357"/>
      <c r="K241" s="357">
        <f t="shared" si="236"/>
        <v>0</v>
      </c>
      <c r="L241" s="357"/>
      <c r="M241" s="357"/>
      <c r="N241" s="357">
        <f t="shared" si="237"/>
        <v>0</v>
      </c>
      <c r="O241" s="358">
        <f t="shared" si="238"/>
        <v>1000</v>
      </c>
      <c r="P241" s="359">
        <f>G241/$Y$4</f>
        <v>143.67816091954023</v>
      </c>
      <c r="Q241" s="321">
        <v>1</v>
      </c>
      <c r="R241" s="188">
        <f t="shared" si="245"/>
        <v>143.67816091954023</v>
      </c>
      <c r="S241" s="188"/>
      <c r="T241" s="188"/>
      <c r="U241" s="357">
        <f t="shared" si="239"/>
        <v>0</v>
      </c>
      <c r="V241" s="188"/>
      <c r="W241" s="188"/>
      <c r="X241" s="357">
        <f t="shared" si="240"/>
        <v>0</v>
      </c>
      <c r="Y241" s="358">
        <f t="shared" si="241"/>
        <v>143.67816091954023</v>
      </c>
      <c r="Z241" s="184">
        <f t="shared" si="198"/>
        <v>0</v>
      </c>
    </row>
    <row r="242" spans="1:26" ht="25.5">
      <c r="A242" s="187">
        <v>3</v>
      </c>
      <c r="B242" s="328" t="s">
        <v>126</v>
      </c>
      <c r="C242" s="189" t="s">
        <v>145</v>
      </c>
      <c r="D242" s="286">
        <v>1</v>
      </c>
      <c r="E242" s="190" t="s">
        <v>92</v>
      </c>
      <c r="F242" s="339">
        <v>1000</v>
      </c>
      <c r="G242" s="355">
        <f>D242*F242</f>
        <v>1000</v>
      </c>
      <c r="H242" s="356">
        <f t="shared" si="235"/>
        <v>1000</v>
      </c>
      <c r="I242" s="357"/>
      <c r="J242" s="357"/>
      <c r="K242" s="357">
        <f t="shared" si="236"/>
        <v>0</v>
      </c>
      <c r="L242" s="357"/>
      <c r="M242" s="357"/>
      <c r="N242" s="357">
        <f t="shared" si="237"/>
        <v>0</v>
      </c>
      <c r="O242" s="358">
        <f t="shared" si="238"/>
        <v>1000</v>
      </c>
      <c r="P242" s="359">
        <f>G242/$Y$4</f>
        <v>143.67816091954023</v>
      </c>
      <c r="Q242" s="321">
        <v>2</v>
      </c>
      <c r="R242" s="188">
        <f t="shared" si="245"/>
        <v>143.67816091954023</v>
      </c>
      <c r="S242" s="188"/>
      <c r="T242" s="188"/>
      <c r="U242" s="357">
        <f t="shared" si="239"/>
        <v>0</v>
      </c>
      <c r="V242" s="188"/>
      <c r="W242" s="188"/>
      <c r="X242" s="357">
        <f t="shared" si="240"/>
        <v>0</v>
      </c>
      <c r="Y242" s="358">
        <f t="shared" si="241"/>
        <v>143.67816091954023</v>
      </c>
      <c r="Z242" s="184">
        <f t="shared" si="198"/>
        <v>0</v>
      </c>
    </row>
    <row r="243" spans="1:26" ht="25.5" hidden="1">
      <c r="A243" s="187">
        <v>3</v>
      </c>
      <c r="B243" s="328" t="s">
        <v>126</v>
      </c>
      <c r="C243" s="189" t="s">
        <v>145</v>
      </c>
      <c r="D243" s="286">
        <v>0</v>
      </c>
      <c r="E243" s="190" t="s">
        <v>92</v>
      </c>
      <c r="F243" s="339">
        <v>2000</v>
      </c>
      <c r="G243" s="355">
        <f t="shared" ref="G243:G246" si="254">D243*F243</f>
        <v>0</v>
      </c>
      <c r="H243" s="356">
        <f t="shared" si="235"/>
        <v>0</v>
      </c>
      <c r="I243" s="357"/>
      <c r="J243" s="357"/>
      <c r="K243" s="357">
        <f t="shared" si="236"/>
        <v>0</v>
      </c>
      <c r="L243" s="357"/>
      <c r="M243" s="357"/>
      <c r="N243" s="357">
        <f t="shared" si="237"/>
        <v>0</v>
      </c>
      <c r="O243" s="358">
        <f t="shared" si="238"/>
        <v>0</v>
      </c>
      <c r="P243" s="359">
        <f t="shared" ref="P243:P246" si="255">G243/$Y$4</f>
        <v>0</v>
      </c>
      <c r="Q243" s="321">
        <v>3</v>
      </c>
      <c r="R243" s="188">
        <f t="shared" si="245"/>
        <v>0</v>
      </c>
      <c r="S243" s="188"/>
      <c r="T243" s="188"/>
      <c r="U243" s="357">
        <f t="shared" si="239"/>
        <v>0</v>
      </c>
      <c r="V243" s="188"/>
      <c r="W243" s="188"/>
      <c r="X243" s="357">
        <f t="shared" si="240"/>
        <v>0</v>
      </c>
      <c r="Y243" s="358">
        <f t="shared" si="241"/>
        <v>0</v>
      </c>
      <c r="Z243" s="184">
        <f t="shared" si="198"/>
        <v>0</v>
      </c>
    </row>
    <row r="244" spans="1:26" ht="25.5" hidden="1">
      <c r="A244" s="187">
        <v>3</v>
      </c>
      <c r="B244" s="328" t="s">
        <v>126</v>
      </c>
      <c r="C244" s="189" t="s">
        <v>137</v>
      </c>
      <c r="D244" s="286">
        <v>1</v>
      </c>
      <c r="E244" s="190" t="s">
        <v>92</v>
      </c>
      <c r="F244" s="339">
        <v>1000</v>
      </c>
      <c r="G244" s="355">
        <f t="shared" si="254"/>
        <v>1000</v>
      </c>
      <c r="H244" s="356">
        <f t="shared" si="235"/>
        <v>1000</v>
      </c>
      <c r="I244" s="357"/>
      <c r="J244" s="357"/>
      <c r="K244" s="357">
        <f t="shared" si="236"/>
        <v>0</v>
      </c>
      <c r="L244" s="357"/>
      <c r="M244" s="357"/>
      <c r="N244" s="357">
        <f t="shared" si="237"/>
        <v>0</v>
      </c>
      <c r="O244" s="358">
        <f t="shared" si="238"/>
        <v>1000</v>
      </c>
      <c r="P244" s="359">
        <f t="shared" si="255"/>
        <v>143.67816091954023</v>
      </c>
      <c r="Q244" s="321">
        <v>1</v>
      </c>
      <c r="R244" s="188">
        <f t="shared" si="245"/>
        <v>143.67816091954023</v>
      </c>
      <c r="S244" s="188"/>
      <c r="T244" s="188"/>
      <c r="U244" s="357">
        <f t="shared" si="239"/>
        <v>0</v>
      </c>
      <c r="V244" s="188"/>
      <c r="W244" s="188"/>
      <c r="X244" s="357">
        <f t="shared" si="240"/>
        <v>0</v>
      </c>
      <c r="Y244" s="358">
        <f t="shared" si="241"/>
        <v>143.67816091954023</v>
      </c>
      <c r="Z244" s="184">
        <f t="shared" si="198"/>
        <v>0</v>
      </c>
    </row>
    <row r="245" spans="1:26" ht="25.5" hidden="1">
      <c r="A245" s="187">
        <v>3</v>
      </c>
      <c r="B245" s="328" t="s">
        <v>126</v>
      </c>
      <c r="C245" s="189" t="s">
        <v>137</v>
      </c>
      <c r="D245" s="286">
        <v>0</v>
      </c>
      <c r="E245" s="190" t="s">
        <v>92</v>
      </c>
      <c r="F245" s="339">
        <v>1000</v>
      </c>
      <c r="G245" s="355">
        <f t="shared" si="254"/>
        <v>0</v>
      </c>
      <c r="H245" s="356">
        <f t="shared" si="235"/>
        <v>0</v>
      </c>
      <c r="I245" s="357"/>
      <c r="J245" s="357"/>
      <c r="K245" s="357">
        <f t="shared" si="236"/>
        <v>0</v>
      </c>
      <c r="L245" s="357"/>
      <c r="M245" s="357"/>
      <c r="N245" s="357">
        <f t="shared" si="237"/>
        <v>0</v>
      </c>
      <c r="O245" s="358">
        <f t="shared" si="238"/>
        <v>0</v>
      </c>
      <c r="P245" s="359">
        <f t="shared" si="255"/>
        <v>0</v>
      </c>
      <c r="Q245" s="321">
        <v>2</v>
      </c>
      <c r="R245" s="188">
        <f t="shared" si="245"/>
        <v>0</v>
      </c>
      <c r="S245" s="188"/>
      <c r="T245" s="188"/>
      <c r="U245" s="357">
        <f t="shared" si="239"/>
        <v>0</v>
      </c>
      <c r="V245" s="188"/>
      <c r="W245" s="188"/>
      <c r="X245" s="357">
        <f t="shared" si="240"/>
        <v>0</v>
      </c>
      <c r="Y245" s="358">
        <f t="shared" si="241"/>
        <v>0</v>
      </c>
      <c r="Z245" s="184">
        <f t="shared" si="198"/>
        <v>0</v>
      </c>
    </row>
    <row r="246" spans="1:26" ht="25.5" hidden="1">
      <c r="A246" s="187">
        <v>3</v>
      </c>
      <c r="B246" s="328" t="s">
        <v>126</v>
      </c>
      <c r="C246" s="189" t="s">
        <v>137</v>
      </c>
      <c r="D246" s="286">
        <v>0</v>
      </c>
      <c r="E246" s="190" t="s">
        <v>92</v>
      </c>
      <c r="F246" s="339">
        <v>1000</v>
      </c>
      <c r="G246" s="355">
        <f t="shared" si="254"/>
        <v>0</v>
      </c>
      <c r="H246" s="356">
        <f t="shared" si="235"/>
        <v>0</v>
      </c>
      <c r="I246" s="357"/>
      <c r="J246" s="357"/>
      <c r="K246" s="357">
        <f t="shared" si="236"/>
        <v>0</v>
      </c>
      <c r="L246" s="357"/>
      <c r="M246" s="357"/>
      <c r="N246" s="357">
        <f t="shared" si="237"/>
        <v>0</v>
      </c>
      <c r="O246" s="358">
        <f t="shared" si="238"/>
        <v>0</v>
      </c>
      <c r="P246" s="359">
        <f t="shared" si="255"/>
        <v>0</v>
      </c>
      <c r="Q246" s="321">
        <v>3</v>
      </c>
      <c r="R246" s="188">
        <f t="shared" si="245"/>
        <v>0</v>
      </c>
      <c r="S246" s="188"/>
      <c r="T246" s="188"/>
      <c r="U246" s="357">
        <f t="shared" si="239"/>
        <v>0</v>
      </c>
      <c r="V246" s="188"/>
      <c r="W246" s="188"/>
      <c r="X246" s="357">
        <f t="shared" si="240"/>
        <v>0</v>
      </c>
      <c r="Y246" s="358">
        <f t="shared" si="241"/>
        <v>0</v>
      </c>
      <c r="Z246" s="184">
        <f t="shared" si="198"/>
        <v>0</v>
      </c>
    </row>
    <row r="247" spans="1:26" hidden="1">
      <c r="A247" s="219" t="s">
        <v>127</v>
      </c>
      <c r="B247" s="326"/>
      <c r="C247" s="218"/>
      <c r="D247" s="179"/>
      <c r="E247" s="179"/>
      <c r="F247" s="180"/>
      <c r="G247" s="207">
        <f>SUM(G248:G250)</f>
        <v>28800</v>
      </c>
      <c r="H247" s="207">
        <f t="shared" ref="H247:Y247" si="256">SUM(H248:H250)</f>
        <v>23040.000000000004</v>
      </c>
      <c r="I247" s="207">
        <f t="shared" si="256"/>
        <v>0</v>
      </c>
      <c r="J247" s="207">
        <f t="shared" si="256"/>
        <v>0</v>
      </c>
      <c r="K247" s="207">
        <f t="shared" si="256"/>
        <v>0</v>
      </c>
      <c r="L247" s="207">
        <f t="shared" si="256"/>
        <v>0</v>
      </c>
      <c r="M247" s="207">
        <f t="shared" si="256"/>
        <v>5760.0000000000009</v>
      </c>
      <c r="N247" s="207">
        <f t="shared" si="256"/>
        <v>5760.0000000000009</v>
      </c>
      <c r="O247" s="207">
        <f t="shared" si="256"/>
        <v>28800.000000000007</v>
      </c>
      <c r="P247" s="207">
        <f t="shared" si="256"/>
        <v>4137.9310344827591</v>
      </c>
      <c r="Q247" s="320"/>
      <c r="R247" s="214">
        <f t="shared" si="256"/>
        <v>3310.3448275862074</v>
      </c>
      <c r="S247" s="214">
        <f t="shared" si="256"/>
        <v>0</v>
      </c>
      <c r="T247" s="214">
        <f t="shared" si="256"/>
        <v>0</v>
      </c>
      <c r="U247" s="207">
        <f t="shared" si="256"/>
        <v>0</v>
      </c>
      <c r="V247" s="214">
        <f t="shared" si="256"/>
        <v>0</v>
      </c>
      <c r="W247" s="214">
        <f t="shared" si="256"/>
        <v>827.58620689655186</v>
      </c>
      <c r="X247" s="207">
        <f t="shared" si="256"/>
        <v>827.58620689655186</v>
      </c>
      <c r="Y247" s="207">
        <f t="shared" si="256"/>
        <v>4137.9310344827591</v>
      </c>
      <c r="Z247" s="184">
        <f t="shared" si="198"/>
        <v>0</v>
      </c>
    </row>
    <row r="248" spans="1:26" ht="25.5" hidden="1">
      <c r="A248" s="187">
        <v>3</v>
      </c>
      <c r="B248" s="328" t="s">
        <v>127</v>
      </c>
      <c r="C248" s="189" t="s">
        <v>187</v>
      </c>
      <c r="D248" s="286">
        <f>32</f>
        <v>32</v>
      </c>
      <c r="E248" s="190" t="s">
        <v>188</v>
      </c>
      <c r="F248" s="339">
        <v>300</v>
      </c>
      <c r="G248" s="355">
        <f>D248*F248</f>
        <v>9600</v>
      </c>
      <c r="H248" s="356">
        <f>R248*$Y$4</f>
        <v>7680.0000000000009</v>
      </c>
      <c r="I248" s="357"/>
      <c r="J248" s="357"/>
      <c r="K248" s="357">
        <f t="shared" ref="K248:K250" si="257">I248+J248</f>
        <v>0</v>
      </c>
      <c r="L248" s="357"/>
      <c r="M248" s="357">
        <f>W248*$Y$4</f>
        <v>1920.0000000000002</v>
      </c>
      <c r="N248" s="357">
        <f t="shared" ref="N248:N250" si="258">L248+M248</f>
        <v>1920.0000000000002</v>
      </c>
      <c r="O248" s="358">
        <f t="shared" ref="O248:O250" si="259">H248+K248+N248</f>
        <v>9600.0000000000018</v>
      </c>
      <c r="P248" s="359">
        <f>G248/$Y$4</f>
        <v>1379.3103448275863</v>
      </c>
      <c r="Q248" s="321">
        <v>1</v>
      </c>
      <c r="R248" s="188">
        <f>P248*0.8</f>
        <v>1103.4482758620691</v>
      </c>
      <c r="S248" s="188"/>
      <c r="T248" s="188"/>
      <c r="U248" s="357">
        <f t="shared" ref="U248:U250" si="260">S248+T248</f>
        <v>0</v>
      </c>
      <c r="V248" s="188"/>
      <c r="W248" s="188">
        <f>P248*0.2</f>
        <v>275.86206896551727</v>
      </c>
      <c r="X248" s="357">
        <f t="shared" ref="X248:X250" si="261">V248+W248</f>
        <v>275.86206896551727</v>
      </c>
      <c r="Y248" s="358">
        <f t="shared" ref="Y248:Y250" si="262">R248+U248+X248</f>
        <v>1379.3103448275863</v>
      </c>
      <c r="Z248" s="184">
        <f t="shared" si="198"/>
        <v>0</v>
      </c>
    </row>
    <row r="249" spans="1:26" ht="25.5">
      <c r="A249" s="187">
        <v>3</v>
      </c>
      <c r="B249" s="328" t="s">
        <v>127</v>
      </c>
      <c r="C249" s="189" t="s">
        <v>187</v>
      </c>
      <c r="D249" s="286">
        <f>32</f>
        <v>32</v>
      </c>
      <c r="E249" s="190" t="s">
        <v>188</v>
      </c>
      <c r="F249" s="339">
        <v>300</v>
      </c>
      <c r="G249" s="355">
        <f t="shared" ref="G249:G250" si="263">D249*F249</f>
        <v>9600</v>
      </c>
      <c r="H249" s="356">
        <f t="shared" ref="H249:H250" si="264">R249*$Y$4</f>
        <v>7680.0000000000009</v>
      </c>
      <c r="I249" s="357"/>
      <c r="J249" s="357"/>
      <c r="K249" s="357">
        <f t="shared" si="257"/>
        <v>0</v>
      </c>
      <c r="L249" s="357"/>
      <c r="M249" s="357">
        <f t="shared" ref="M249:M250" si="265">W249*$Y$4</f>
        <v>1920.0000000000002</v>
      </c>
      <c r="N249" s="357">
        <f t="shared" si="258"/>
        <v>1920.0000000000002</v>
      </c>
      <c r="O249" s="358">
        <f t="shared" si="259"/>
        <v>9600.0000000000018</v>
      </c>
      <c r="P249" s="359">
        <f t="shared" ref="P249:P250" si="266">G249/$Y$4</f>
        <v>1379.3103448275863</v>
      </c>
      <c r="Q249" s="321">
        <v>2</v>
      </c>
      <c r="R249" s="188">
        <f t="shared" ref="R249:R250" si="267">P249*0.8</f>
        <v>1103.4482758620691</v>
      </c>
      <c r="S249" s="188"/>
      <c r="T249" s="188"/>
      <c r="U249" s="357">
        <f t="shared" si="260"/>
        <v>0</v>
      </c>
      <c r="V249" s="188"/>
      <c r="W249" s="188">
        <f t="shared" ref="W249:W250" si="268">P249*0.2</f>
        <v>275.86206896551727</v>
      </c>
      <c r="X249" s="357">
        <f t="shared" si="261"/>
        <v>275.86206896551727</v>
      </c>
      <c r="Y249" s="358">
        <f t="shared" si="262"/>
        <v>1379.3103448275863</v>
      </c>
      <c r="Z249" s="184">
        <f t="shared" si="198"/>
        <v>0</v>
      </c>
    </row>
    <row r="250" spans="1:26" ht="25.5" hidden="1">
      <c r="A250" s="187">
        <v>3</v>
      </c>
      <c r="B250" s="328" t="s">
        <v>127</v>
      </c>
      <c r="C250" s="189" t="s">
        <v>187</v>
      </c>
      <c r="D250" s="286">
        <f>32</f>
        <v>32</v>
      </c>
      <c r="E250" s="190" t="s">
        <v>188</v>
      </c>
      <c r="F250" s="339">
        <v>300</v>
      </c>
      <c r="G250" s="355">
        <f t="shared" si="263"/>
        <v>9600</v>
      </c>
      <c r="H250" s="356">
        <f t="shared" si="264"/>
        <v>7680.0000000000009</v>
      </c>
      <c r="I250" s="357"/>
      <c r="J250" s="357"/>
      <c r="K250" s="357">
        <f t="shared" si="257"/>
        <v>0</v>
      </c>
      <c r="L250" s="357"/>
      <c r="M250" s="357">
        <f t="shared" si="265"/>
        <v>1920.0000000000002</v>
      </c>
      <c r="N250" s="357">
        <f t="shared" si="258"/>
        <v>1920.0000000000002</v>
      </c>
      <c r="O250" s="358">
        <f t="shared" si="259"/>
        <v>9600.0000000000018</v>
      </c>
      <c r="P250" s="359">
        <f t="shared" si="266"/>
        <v>1379.3103448275863</v>
      </c>
      <c r="Q250" s="321">
        <v>3</v>
      </c>
      <c r="R250" s="188">
        <f t="shared" si="267"/>
        <v>1103.4482758620691</v>
      </c>
      <c r="S250" s="188"/>
      <c r="T250" s="188"/>
      <c r="U250" s="357">
        <f t="shared" si="260"/>
        <v>0</v>
      </c>
      <c r="V250" s="188"/>
      <c r="W250" s="188">
        <f t="shared" si="268"/>
        <v>275.86206896551727</v>
      </c>
      <c r="X250" s="357">
        <f t="shared" si="261"/>
        <v>275.86206896551727</v>
      </c>
      <c r="Y250" s="358">
        <f t="shared" si="262"/>
        <v>1379.3103448275863</v>
      </c>
      <c r="Z250" s="184">
        <f t="shared" si="198"/>
        <v>0</v>
      </c>
    </row>
    <row r="251" spans="1:26" hidden="1">
      <c r="A251" s="219" t="s">
        <v>128</v>
      </c>
      <c r="B251" s="326"/>
      <c r="C251" s="218"/>
      <c r="D251" s="179"/>
      <c r="E251" s="179"/>
      <c r="F251" s="180"/>
      <c r="G251" s="207">
        <f t="shared" ref="G251:P251" si="269">SUM(G252:G263)</f>
        <v>46832.085599999999</v>
      </c>
      <c r="H251" s="352">
        <f t="shared" si="269"/>
        <v>46832.085599999999</v>
      </c>
      <c r="I251" s="353">
        <f t="shared" si="269"/>
        <v>0</v>
      </c>
      <c r="J251" s="353">
        <f t="shared" si="269"/>
        <v>0</v>
      </c>
      <c r="K251" s="353">
        <f t="shared" si="269"/>
        <v>0</v>
      </c>
      <c r="L251" s="353">
        <f t="shared" si="269"/>
        <v>0</v>
      </c>
      <c r="M251" s="353">
        <f t="shared" si="269"/>
        <v>0</v>
      </c>
      <c r="N251" s="353">
        <f t="shared" ref="N251" si="270">SUM(N252:N263)</f>
        <v>0</v>
      </c>
      <c r="O251" s="354">
        <f t="shared" si="269"/>
        <v>46832.085599999999</v>
      </c>
      <c r="P251" s="352">
        <f t="shared" si="269"/>
        <v>6728.7479310344825</v>
      </c>
      <c r="Q251" s="320"/>
      <c r="R251" s="181">
        <f t="shared" ref="R251:Y251" si="271">SUM(R252:R263)</f>
        <v>6728.7479310344825</v>
      </c>
      <c r="S251" s="181">
        <f t="shared" si="271"/>
        <v>0</v>
      </c>
      <c r="T251" s="181">
        <f t="shared" si="271"/>
        <v>0</v>
      </c>
      <c r="U251" s="353">
        <f t="shared" si="271"/>
        <v>0</v>
      </c>
      <c r="V251" s="181">
        <f t="shared" si="271"/>
        <v>0</v>
      </c>
      <c r="W251" s="181">
        <f t="shared" si="271"/>
        <v>0</v>
      </c>
      <c r="X251" s="353">
        <f t="shared" si="271"/>
        <v>0</v>
      </c>
      <c r="Y251" s="354">
        <f t="shared" si="271"/>
        <v>6728.7479310344825</v>
      </c>
      <c r="Z251" s="184">
        <f t="shared" si="198"/>
        <v>0</v>
      </c>
    </row>
    <row r="252" spans="1:26" ht="38.25" hidden="1">
      <c r="A252" s="187">
        <v>3</v>
      </c>
      <c r="B252" s="328" t="s">
        <v>128</v>
      </c>
      <c r="C252" s="189" t="s">
        <v>243</v>
      </c>
      <c r="D252" s="190">
        <f>4</f>
        <v>4</v>
      </c>
      <c r="E252" s="190" t="s">
        <v>81</v>
      </c>
      <c r="F252" s="339">
        <v>800</v>
      </c>
      <c r="G252" s="355">
        <f>D252*F252</f>
        <v>3200</v>
      </c>
      <c r="H252" s="356">
        <f t="shared" ref="H252:H263" si="272">R252*$Y$4</f>
        <v>3200</v>
      </c>
      <c r="I252" s="357"/>
      <c r="J252" s="357"/>
      <c r="K252" s="357">
        <f t="shared" ref="K252:K263" si="273">I252+J252</f>
        <v>0</v>
      </c>
      <c r="L252" s="357"/>
      <c r="M252" s="357"/>
      <c r="N252" s="357">
        <f t="shared" ref="N252:N263" si="274">L252+M252</f>
        <v>0</v>
      </c>
      <c r="O252" s="358">
        <f t="shared" ref="O252:O263" si="275">H252+K252+N252</f>
        <v>3200</v>
      </c>
      <c r="P252" s="359">
        <f>G252/$Y$4</f>
        <v>459.77011494252872</v>
      </c>
      <c r="Q252" s="321">
        <v>1</v>
      </c>
      <c r="R252" s="188">
        <f t="shared" ref="R252:R263" si="276">P252</f>
        <v>459.77011494252872</v>
      </c>
      <c r="S252" s="188"/>
      <c r="T252" s="188"/>
      <c r="U252" s="357">
        <f t="shared" ref="U252:U263" si="277">S252+T252</f>
        <v>0</v>
      </c>
      <c r="V252" s="188"/>
      <c r="W252" s="188"/>
      <c r="X252" s="357">
        <f t="shared" ref="X252:X263" si="278">V252+W252</f>
        <v>0</v>
      </c>
      <c r="Y252" s="358">
        <f t="shared" ref="Y252:Y263" si="279">R252+U252+X252</f>
        <v>459.77011494252872</v>
      </c>
      <c r="Z252" s="184">
        <f t="shared" si="198"/>
        <v>0</v>
      </c>
    </row>
    <row r="253" spans="1:26" ht="38.25">
      <c r="A253" s="187">
        <v>3</v>
      </c>
      <c r="B253" s="328" t="s">
        <v>128</v>
      </c>
      <c r="C253" s="189" t="s">
        <v>243</v>
      </c>
      <c r="D253" s="190">
        <f>4</f>
        <v>4</v>
      </c>
      <c r="E253" s="190" t="s">
        <v>81</v>
      </c>
      <c r="F253" s="339">
        <v>800</v>
      </c>
      <c r="G253" s="355">
        <f t="shared" ref="G253:G254" si="280">D253*F253</f>
        <v>3200</v>
      </c>
      <c r="H253" s="356">
        <f t="shared" si="272"/>
        <v>3200</v>
      </c>
      <c r="I253" s="357"/>
      <c r="J253" s="357"/>
      <c r="K253" s="357">
        <f t="shared" si="273"/>
        <v>0</v>
      </c>
      <c r="L253" s="357"/>
      <c r="M253" s="357"/>
      <c r="N253" s="357">
        <f t="shared" si="274"/>
        <v>0</v>
      </c>
      <c r="O253" s="358">
        <f t="shared" si="275"/>
        <v>3200</v>
      </c>
      <c r="P253" s="359">
        <f t="shared" ref="P253:P254" si="281">G253/$Y$4</f>
        <v>459.77011494252872</v>
      </c>
      <c r="Q253" s="321">
        <v>2</v>
      </c>
      <c r="R253" s="188">
        <f t="shared" si="276"/>
        <v>459.77011494252872</v>
      </c>
      <c r="S253" s="188"/>
      <c r="T253" s="188"/>
      <c r="U253" s="357">
        <f t="shared" si="277"/>
        <v>0</v>
      </c>
      <c r="V253" s="188"/>
      <c r="W253" s="188"/>
      <c r="X253" s="357">
        <f t="shared" si="278"/>
        <v>0</v>
      </c>
      <c r="Y253" s="358">
        <f t="shared" si="279"/>
        <v>459.77011494252872</v>
      </c>
      <c r="Z253" s="184">
        <f t="shared" si="198"/>
        <v>0</v>
      </c>
    </row>
    <row r="254" spans="1:26" ht="38.25" hidden="1">
      <c r="A254" s="187">
        <v>3</v>
      </c>
      <c r="B254" s="328" t="s">
        <v>128</v>
      </c>
      <c r="C254" s="189" t="s">
        <v>243</v>
      </c>
      <c r="D254" s="190">
        <f>4</f>
        <v>4</v>
      </c>
      <c r="E254" s="190" t="s">
        <v>81</v>
      </c>
      <c r="F254" s="339">
        <v>800</v>
      </c>
      <c r="G254" s="355">
        <f t="shared" si="280"/>
        <v>3200</v>
      </c>
      <c r="H254" s="356">
        <f t="shared" si="272"/>
        <v>3200</v>
      </c>
      <c r="I254" s="357"/>
      <c r="J254" s="357"/>
      <c r="K254" s="357">
        <f t="shared" si="273"/>
        <v>0</v>
      </c>
      <c r="L254" s="357"/>
      <c r="M254" s="357"/>
      <c r="N254" s="357">
        <f t="shared" si="274"/>
        <v>0</v>
      </c>
      <c r="O254" s="358">
        <f t="shared" si="275"/>
        <v>3200</v>
      </c>
      <c r="P254" s="359">
        <f t="shared" si="281"/>
        <v>459.77011494252872</v>
      </c>
      <c r="Q254" s="321">
        <v>3</v>
      </c>
      <c r="R254" s="188">
        <f t="shared" si="276"/>
        <v>459.77011494252872</v>
      </c>
      <c r="S254" s="188"/>
      <c r="T254" s="188"/>
      <c r="U254" s="357">
        <f t="shared" si="277"/>
        <v>0</v>
      </c>
      <c r="V254" s="188"/>
      <c r="W254" s="188"/>
      <c r="X254" s="357">
        <f t="shared" si="278"/>
        <v>0</v>
      </c>
      <c r="Y254" s="358">
        <f t="shared" si="279"/>
        <v>459.77011494252872</v>
      </c>
      <c r="Z254" s="184">
        <f t="shared" si="198"/>
        <v>0</v>
      </c>
    </row>
    <row r="255" spans="1:26" ht="38.25" hidden="1">
      <c r="A255" s="187">
        <v>3</v>
      </c>
      <c r="B255" s="328" t="s">
        <v>128</v>
      </c>
      <c r="C255" s="189" t="s">
        <v>159</v>
      </c>
      <c r="D255" s="190">
        <f>4</f>
        <v>4</v>
      </c>
      <c r="E255" s="190" t="s">
        <v>81</v>
      </c>
      <c r="F255" s="339">
        <v>400</v>
      </c>
      <c r="G255" s="355">
        <f>D255*F255</f>
        <v>1600</v>
      </c>
      <c r="H255" s="356">
        <f t="shared" si="272"/>
        <v>1600</v>
      </c>
      <c r="I255" s="357"/>
      <c r="J255" s="357"/>
      <c r="K255" s="357">
        <f t="shared" si="273"/>
        <v>0</v>
      </c>
      <c r="L255" s="357"/>
      <c r="M255" s="357"/>
      <c r="N255" s="357">
        <f t="shared" si="274"/>
        <v>0</v>
      </c>
      <c r="O255" s="358">
        <f t="shared" si="275"/>
        <v>1600</v>
      </c>
      <c r="P255" s="359">
        <f>G255/$Y$4</f>
        <v>229.88505747126436</v>
      </c>
      <c r="Q255" s="321">
        <v>1</v>
      </c>
      <c r="R255" s="188">
        <f t="shared" si="276"/>
        <v>229.88505747126436</v>
      </c>
      <c r="S255" s="188"/>
      <c r="T255" s="188"/>
      <c r="U255" s="357">
        <f t="shared" si="277"/>
        <v>0</v>
      </c>
      <c r="V255" s="188"/>
      <c r="W255" s="188"/>
      <c r="X255" s="357">
        <f t="shared" si="278"/>
        <v>0</v>
      </c>
      <c r="Y255" s="358">
        <f t="shared" si="279"/>
        <v>229.88505747126436</v>
      </c>
      <c r="Z255" s="184">
        <f t="shared" si="198"/>
        <v>0</v>
      </c>
    </row>
    <row r="256" spans="1:26" ht="38.25">
      <c r="A256" s="187">
        <v>3</v>
      </c>
      <c r="B256" s="328" t="s">
        <v>128</v>
      </c>
      <c r="C256" s="189" t="s">
        <v>159</v>
      </c>
      <c r="D256" s="190">
        <f>4</f>
        <v>4</v>
      </c>
      <c r="E256" s="190" t="s">
        <v>81</v>
      </c>
      <c r="F256" s="339">
        <v>400</v>
      </c>
      <c r="G256" s="355">
        <f t="shared" ref="G256:G257" si="282">D256*F256</f>
        <v>1600</v>
      </c>
      <c r="H256" s="356">
        <f t="shared" si="272"/>
        <v>1600</v>
      </c>
      <c r="I256" s="357"/>
      <c r="J256" s="357"/>
      <c r="K256" s="357">
        <f t="shared" si="273"/>
        <v>0</v>
      </c>
      <c r="L256" s="357"/>
      <c r="M256" s="357"/>
      <c r="N256" s="357">
        <f t="shared" si="274"/>
        <v>0</v>
      </c>
      <c r="O256" s="358">
        <f t="shared" si="275"/>
        <v>1600</v>
      </c>
      <c r="P256" s="359">
        <f t="shared" ref="P256:P257" si="283">G256/$Y$4</f>
        <v>229.88505747126436</v>
      </c>
      <c r="Q256" s="321">
        <v>2</v>
      </c>
      <c r="R256" s="188">
        <f t="shared" si="276"/>
        <v>229.88505747126436</v>
      </c>
      <c r="S256" s="188"/>
      <c r="T256" s="188"/>
      <c r="U256" s="357">
        <f t="shared" si="277"/>
        <v>0</v>
      </c>
      <c r="V256" s="188"/>
      <c r="W256" s="188"/>
      <c r="X256" s="357">
        <f t="shared" si="278"/>
        <v>0</v>
      </c>
      <c r="Y256" s="358">
        <f t="shared" si="279"/>
        <v>229.88505747126436</v>
      </c>
      <c r="Z256" s="184">
        <f t="shared" si="198"/>
        <v>0</v>
      </c>
    </row>
    <row r="257" spans="1:26" ht="38.25" hidden="1">
      <c r="A257" s="187">
        <v>3</v>
      </c>
      <c r="B257" s="328" t="s">
        <v>128</v>
      </c>
      <c r="C257" s="189" t="s">
        <v>159</v>
      </c>
      <c r="D257" s="190">
        <f>4</f>
        <v>4</v>
      </c>
      <c r="E257" s="190" t="s">
        <v>81</v>
      </c>
      <c r="F257" s="339">
        <v>400</v>
      </c>
      <c r="G257" s="355">
        <f t="shared" si="282"/>
        <v>1600</v>
      </c>
      <c r="H257" s="356">
        <f t="shared" si="272"/>
        <v>1600</v>
      </c>
      <c r="I257" s="357"/>
      <c r="J257" s="357"/>
      <c r="K257" s="357">
        <f t="shared" si="273"/>
        <v>0</v>
      </c>
      <c r="L257" s="357"/>
      <c r="M257" s="357"/>
      <c r="N257" s="357">
        <f t="shared" si="274"/>
        <v>0</v>
      </c>
      <c r="O257" s="358">
        <f t="shared" si="275"/>
        <v>1600</v>
      </c>
      <c r="P257" s="359">
        <f t="shared" si="283"/>
        <v>229.88505747126436</v>
      </c>
      <c r="Q257" s="321">
        <v>3</v>
      </c>
      <c r="R257" s="188">
        <f t="shared" si="276"/>
        <v>229.88505747126436</v>
      </c>
      <c r="S257" s="188"/>
      <c r="T257" s="188"/>
      <c r="U257" s="357">
        <f t="shared" si="277"/>
        <v>0</v>
      </c>
      <c r="V257" s="188"/>
      <c r="W257" s="188"/>
      <c r="X257" s="357">
        <f t="shared" si="278"/>
        <v>0</v>
      </c>
      <c r="Y257" s="358">
        <f t="shared" si="279"/>
        <v>229.88505747126436</v>
      </c>
      <c r="Z257" s="184">
        <f t="shared" si="198"/>
        <v>0</v>
      </c>
    </row>
    <row r="258" spans="1:26" ht="38.25" hidden="1">
      <c r="A258" s="187">
        <v>3</v>
      </c>
      <c r="B258" s="328" t="s">
        <v>128</v>
      </c>
      <c r="C258" s="189" t="s">
        <v>276</v>
      </c>
      <c r="D258" s="190">
        <f>4</f>
        <v>4</v>
      </c>
      <c r="E258" s="190" t="s">
        <v>81</v>
      </c>
      <c r="F258" s="339">
        <f>1500+200-140.9922</f>
        <v>1559.0078000000001</v>
      </c>
      <c r="G258" s="355">
        <f>D258*F258</f>
        <v>6236.0312000000004</v>
      </c>
      <c r="H258" s="356">
        <f t="shared" si="272"/>
        <v>6236.0312000000004</v>
      </c>
      <c r="I258" s="357"/>
      <c r="J258" s="357"/>
      <c r="K258" s="357">
        <f t="shared" si="273"/>
        <v>0</v>
      </c>
      <c r="L258" s="357"/>
      <c r="M258" s="357"/>
      <c r="N258" s="357">
        <f t="shared" si="274"/>
        <v>0</v>
      </c>
      <c r="O258" s="358">
        <f t="shared" si="275"/>
        <v>6236.0312000000004</v>
      </c>
      <c r="P258" s="359">
        <f>G258/$Y$4</f>
        <v>895.98149425287363</v>
      </c>
      <c r="Q258" s="321">
        <v>1</v>
      </c>
      <c r="R258" s="188">
        <f t="shared" si="276"/>
        <v>895.98149425287363</v>
      </c>
      <c r="S258" s="188"/>
      <c r="T258" s="188"/>
      <c r="U258" s="357">
        <f t="shared" si="277"/>
        <v>0</v>
      </c>
      <c r="V258" s="188"/>
      <c r="W258" s="188"/>
      <c r="X258" s="357">
        <f t="shared" si="278"/>
        <v>0</v>
      </c>
      <c r="Y258" s="358">
        <f t="shared" si="279"/>
        <v>895.98149425287363</v>
      </c>
      <c r="Z258" s="184">
        <f t="shared" si="198"/>
        <v>0</v>
      </c>
    </row>
    <row r="259" spans="1:26" ht="38.25">
      <c r="A259" s="187">
        <v>3</v>
      </c>
      <c r="B259" s="328" t="s">
        <v>128</v>
      </c>
      <c r="C259" s="189" t="s">
        <v>276</v>
      </c>
      <c r="D259" s="190">
        <f>4</f>
        <v>4</v>
      </c>
      <c r="E259" s="190" t="s">
        <v>81</v>
      </c>
      <c r="F259" s="339">
        <f>1500+200-48.4938</f>
        <v>1651.5062</v>
      </c>
      <c r="G259" s="355">
        <f t="shared" ref="G259:G262" si="284">D259*F259</f>
        <v>6606.0248000000001</v>
      </c>
      <c r="H259" s="356">
        <f t="shared" si="272"/>
        <v>6606.0248000000001</v>
      </c>
      <c r="I259" s="357"/>
      <c r="J259" s="357"/>
      <c r="K259" s="357">
        <f t="shared" si="273"/>
        <v>0</v>
      </c>
      <c r="L259" s="357"/>
      <c r="M259" s="357"/>
      <c r="N259" s="357">
        <f t="shared" si="274"/>
        <v>0</v>
      </c>
      <c r="O259" s="358">
        <f t="shared" si="275"/>
        <v>6606.0248000000001</v>
      </c>
      <c r="P259" s="359">
        <f t="shared" ref="P259:P262" si="285">G259/$Y$4</f>
        <v>949.1414942528736</v>
      </c>
      <c r="Q259" s="321">
        <v>2</v>
      </c>
      <c r="R259" s="188">
        <f t="shared" si="276"/>
        <v>949.1414942528736</v>
      </c>
      <c r="S259" s="188"/>
      <c r="T259" s="188"/>
      <c r="U259" s="357">
        <f t="shared" si="277"/>
        <v>0</v>
      </c>
      <c r="V259" s="188"/>
      <c r="W259" s="188"/>
      <c r="X259" s="357">
        <f t="shared" si="278"/>
        <v>0</v>
      </c>
      <c r="Y259" s="358">
        <f t="shared" si="279"/>
        <v>949.1414942528736</v>
      </c>
      <c r="Z259" s="184">
        <f t="shared" si="198"/>
        <v>0</v>
      </c>
    </row>
    <row r="260" spans="1:26" ht="38.25" hidden="1">
      <c r="A260" s="187">
        <v>3</v>
      </c>
      <c r="B260" s="328" t="s">
        <v>128</v>
      </c>
      <c r="C260" s="189" t="s">
        <v>276</v>
      </c>
      <c r="D260" s="190">
        <f>4</f>
        <v>4</v>
      </c>
      <c r="E260" s="190" t="s">
        <v>81</v>
      </c>
      <c r="F260" s="339">
        <f>1500+200+197.5074</f>
        <v>1897.5074</v>
      </c>
      <c r="G260" s="355">
        <f t="shared" si="284"/>
        <v>7590.0295999999998</v>
      </c>
      <c r="H260" s="356">
        <f t="shared" si="272"/>
        <v>7590.0295999999989</v>
      </c>
      <c r="I260" s="357"/>
      <c r="J260" s="357"/>
      <c r="K260" s="357">
        <f t="shared" si="273"/>
        <v>0</v>
      </c>
      <c r="L260" s="357"/>
      <c r="M260" s="357"/>
      <c r="N260" s="357">
        <f t="shared" si="274"/>
        <v>0</v>
      </c>
      <c r="O260" s="358">
        <f t="shared" si="275"/>
        <v>7590.0295999999989</v>
      </c>
      <c r="P260" s="359">
        <f t="shared" si="285"/>
        <v>1090.5214942528735</v>
      </c>
      <c r="Q260" s="321">
        <v>3</v>
      </c>
      <c r="R260" s="188">
        <f t="shared" si="276"/>
        <v>1090.5214942528735</v>
      </c>
      <c r="S260" s="188"/>
      <c r="T260" s="188"/>
      <c r="U260" s="357">
        <f t="shared" si="277"/>
        <v>0</v>
      </c>
      <c r="V260" s="188"/>
      <c r="W260" s="188"/>
      <c r="X260" s="357">
        <f t="shared" si="278"/>
        <v>0</v>
      </c>
      <c r="Y260" s="358">
        <f t="shared" si="279"/>
        <v>1090.5214942528735</v>
      </c>
      <c r="Z260" s="184">
        <f t="shared" si="198"/>
        <v>0</v>
      </c>
    </row>
    <row r="261" spans="1:26" ht="38.25" hidden="1">
      <c r="A261" s="187">
        <v>3</v>
      </c>
      <c r="B261" s="328" t="s">
        <v>128</v>
      </c>
      <c r="C261" s="189" t="s">
        <v>191</v>
      </c>
      <c r="D261" s="190">
        <f>4</f>
        <v>4</v>
      </c>
      <c r="E261" s="190" t="s">
        <v>81</v>
      </c>
      <c r="F261" s="339">
        <v>1000</v>
      </c>
      <c r="G261" s="355">
        <f t="shared" si="284"/>
        <v>4000</v>
      </c>
      <c r="H261" s="356">
        <f t="shared" si="272"/>
        <v>4000</v>
      </c>
      <c r="I261" s="357"/>
      <c r="J261" s="357"/>
      <c r="K261" s="357">
        <f t="shared" si="273"/>
        <v>0</v>
      </c>
      <c r="L261" s="357"/>
      <c r="M261" s="357"/>
      <c r="N261" s="357">
        <f t="shared" si="274"/>
        <v>0</v>
      </c>
      <c r="O261" s="358">
        <f t="shared" si="275"/>
        <v>4000</v>
      </c>
      <c r="P261" s="359">
        <f t="shared" si="285"/>
        <v>574.71264367816093</v>
      </c>
      <c r="Q261" s="321">
        <v>1</v>
      </c>
      <c r="R261" s="188">
        <f t="shared" si="276"/>
        <v>574.71264367816093</v>
      </c>
      <c r="S261" s="188"/>
      <c r="T261" s="188"/>
      <c r="U261" s="357">
        <f t="shared" si="277"/>
        <v>0</v>
      </c>
      <c r="V261" s="188"/>
      <c r="W261" s="188"/>
      <c r="X261" s="357">
        <f t="shared" si="278"/>
        <v>0</v>
      </c>
      <c r="Y261" s="358">
        <f t="shared" si="279"/>
        <v>574.71264367816093</v>
      </c>
      <c r="Z261" s="184">
        <f t="shared" si="198"/>
        <v>0</v>
      </c>
    </row>
    <row r="262" spans="1:26" ht="38.25">
      <c r="A262" s="187">
        <v>3</v>
      </c>
      <c r="B262" s="328" t="s">
        <v>128</v>
      </c>
      <c r="C262" s="189" t="s">
        <v>191</v>
      </c>
      <c r="D262" s="190">
        <f>4</f>
        <v>4</v>
      </c>
      <c r="E262" s="190" t="s">
        <v>81</v>
      </c>
      <c r="F262" s="339">
        <v>1000</v>
      </c>
      <c r="G262" s="355">
        <f t="shared" si="284"/>
        <v>4000</v>
      </c>
      <c r="H262" s="356">
        <f t="shared" si="272"/>
        <v>4000</v>
      </c>
      <c r="I262" s="357"/>
      <c r="J262" s="357"/>
      <c r="K262" s="357">
        <f t="shared" si="273"/>
        <v>0</v>
      </c>
      <c r="L262" s="357"/>
      <c r="M262" s="357"/>
      <c r="N262" s="357">
        <f t="shared" si="274"/>
        <v>0</v>
      </c>
      <c r="O262" s="358">
        <f t="shared" si="275"/>
        <v>4000</v>
      </c>
      <c r="P262" s="359">
        <f t="shared" si="285"/>
        <v>574.71264367816093</v>
      </c>
      <c r="Q262" s="321">
        <v>2</v>
      </c>
      <c r="R262" s="188">
        <f t="shared" si="276"/>
        <v>574.71264367816093</v>
      </c>
      <c r="S262" s="188"/>
      <c r="T262" s="188"/>
      <c r="U262" s="357">
        <f t="shared" si="277"/>
        <v>0</v>
      </c>
      <c r="V262" s="188"/>
      <c r="W262" s="188"/>
      <c r="X262" s="357">
        <f t="shared" si="278"/>
        <v>0</v>
      </c>
      <c r="Y262" s="358">
        <f t="shared" si="279"/>
        <v>574.71264367816093</v>
      </c>
      <c r="Z262" s="184">
        <f t="shared" si="198"/>
        <v>0</v>
      </c>
    </row>
    <row r="263" spans="1:26" ht="38.25" hidden="1">
      <c r="A263" s="187">
        <v>3</v>
      </c>
      <c r="B263" s="328" t="s">
        <v>128</v>
      </c>
      <c r="C263" s="189" t="s">
        <v>191</v>
      </c>
      <c r="D263" s="190">
        <f>4</f>
        <v>4</v>
      </c>
      <c r="E263" s="190" t="s">
        <v>81</v>
      </c>
      <c r="F263" s="339">
        <v>1000</v>
      </c>
      <c r="G263" s="355">
        <f>D263*F263</f>
        <v>4000</v>
      </c>
      <c r="H263" s="356">
        <f t="shared" si="272"/>
        <v>4000</v>
      </c>
      <c r="I263" s="357"/>
      <c r="J263" s="357"/>
      <c r="K263" s="357">
        <f t="shared" si="273"/>
        <v>0</v>
      </c>
      <c r="L263" s="357"/>
      <c r="M263" s="357"/>
      <c r="N263" s="357">
        <f t="shared" si="274"/>
        <v>0</v>
      </c>
      <c r="O263" s="358">
        <f t="shared" si="275"/>
        <v>4000</v>
      </c>
      <c r="P263" s="359">
        <f>G263/$Y$4</f>
        <v>574.71264367816093</v>
      </c>
      <c r="Q263" s="321">
        <v>3</v>
      </c>
      <c r="R263" s="188">
        <f t="shared" si="276"/>
        <v>574.71264367816093</v>
      </c>
      <c r="S263" s="188"/>
      <c r="T263" s="188"/>
      <c r="U263" s="357">
        <f t="shared" si="277"/>
        <v>0</v>
      </c>
      <c r="V263" s="188"/>
      <c r="W263" s="188"/>
      <c r="X263" s="357">
        <f t="shared" si="278"/>
        <v>0</v>
      </c>
      <c r="Y263" s="358">
        <f t="shared" si="279"/>
        <v>574.71264367816093</v>
      </c>
      <c r="Z263" s="184">
        <f t="shared" si="198"/>
        <v>0</v>
      </c>
    </row>
    <row r="264" spans="1:26" hidden="1">
      <c r="A264" s="221" t="s">
        <v>84</v>
      </c>
      <c r="B264" s="325"/>
      <c r="C264" s="222"/>
      <c r="D264" s="283"/>
      <c r="E264" s="283"/>
      <c r="F264" s="223"/>
      <c r="G264" s="209">
        <f t="shared" ref="G264:P264" si="286">G265+G275+G297</f>
        <v>63760</v>
      </c>
      <c r="H264" s="210">
        <f t="shared" si="286"/>
        <v>51760</v>
      </c>
      <c r="I264" s="211">
        <f t="shared" si="286"/>
        <v>12000</v>
      </c>
      <c r="J264" s="211">
        <f t="shared" si="286"/>
        <v>0</v>
      </c>
      <c r="K264" s="211">
        <f t="shared" si="286"/>
        <v>12000</v>
      </c>
      <c r="L264" s="211">
        <f t="shared" si="286"/>
        <v>0</v>
      </c>
      <c r="M264" s="211">
        <f t="shared" si="286"/>
        <v>0</v>
      </c>
      <c r="N264" s="211">
        <f t="shared" si="286"/>
        <v>0</v>
      </c>
      <c r="O264" s="212">
        <f t="shared" si="286"/>
        <v>63760</v>
      </c>
      <c r="P264" s="280">
        <f t="shared" si="286"/>
        <v>9160.9195402298847</v>
      </c>
      <c r="Q264" s="319"/>
      <c r="R264" s="453">
        <f t="shared" ref="R264:Y264" si="287">R265+R275+R297</f>
        <v>7436.7816091954019</v>
      </c>
      <c r="S264" s="453">
        <f t="shared" si="287"/>
        <v>1724.1379310344828</v>
      </c>
      <c r="T264" s="453">
        <f t="shared" si="287"/>
        <v>0</v>
      </c>
      <c r="U264" s="454">
        <f t="shared" si="287"/>
        <v>1724.1379310344828</v>
      </c>
      <c r="V264" s="453">
        <f t="shared" si="287"/>
        <v>0</v>
      </c>
      <c r="W264" s="453">
        <f t="shared" si="287"/>
        <v>0</v>
      </c>
      <c r="X264" s="454">
        <f t="shared" si="287"/>
        <v>0</v>
      </c>
      <c r="Y264" s="455">
        <f t="shared" si="287"/>
        <v>9160.9195402298847</v>
      </c>
      <c r="Z264" s="184">
        <f t="shared" si="198"/>
        <v>0</v>
      </c>
    </row>
    <row r="265" spans="1:26" hidden="1">
      <c r="A265" s="219" t="s">
        <v>365</v>
      </c>
      <c r="B265" s="326"/>
      <c r="C265" s="218"/>
      <c r="D265" s="185"/>
      <c r="E265" s="185"/>
      <c r="F265" s="186"/>
      <c r="G265" s="207">
        <f t="shared" ref="G265:P265" si="288">SUM(G266:G274)</f>
        <v>9500</v>
      </c>
      <c r="H265" s="352">
        <f t="shared" si="288"/>
        <v>9500</v>
      </c>
      <c r="I265" s="353">
        <f t="shared" si="288"/>
        <v>0</v>
      </c>
      <c r="J265" s="353">
        <f t="shared" si="288"/>
        <v>0</v>
      </c>
      <c r="K265" s="353">
        <f t="shared" ref="K265" si="289">SUM(K266:K274)</f>
        <v>0</v>
      </c>
      <c r="L265" s="353">
        <f t="shared" si="288"/>
        <v>0</v>
      </c>
      <c r="M265" s="353">
        <f t="shared" si="288"/>
        <v>0</v>
      </c>
      <c r="N265" s="353">
        <f t="shared" si="288"/>
        <v>0</v>
      </c>
      <c r="O265" s="354">
        <f t="shared" si="288"/>
        <v>9500</v>
      </c>
      <c r="P265" s="352">
        <f t="shared" si="288"/>
        <v>1364.9425287356321</v>
      </c>
      <c r="Q265" s="320"/>
      <c r="R265" s="181">
        <f t="shared" ref="R265:Y265" si="290">SUM(R266:R274)</f>
        <v>1364.9425287356321</v>
      </c>
      <c r="S265" s="181">
        <f t="shared" si="290"/>
        <v>0</v>
      </c>
      <c r="T265" s="181">
        <f t="shared" si="290"/>
        <v>0</v>
      </c>
      <c r="U265" s="353">
        <f t="shared" si="290"/>
        <v>0</v>
      </c>
      <c r="V265" s="181">
        <f t="shared" si="290"/>
        <v>0</v>
      </c>
      <c r="W265" s="181">
        <f t="shared" si="290"/>
        <v>0</v>
      </c>
      <c r="X265" s="353">
        <f t="shared" si="290"/>
        <v>0</v>
      </c>
      <c r="Y265" s="354">
        <f t="shared" si="290"/>
        <v>1364.9425287356321</v>
      </c>
      <c r="Z265" s="184">
        <f t="shared" si="198"/>
        <v>0</v>
      </c>
    </row>
    <row r="266" spans="1:26" ht="25.5" hidden="1">
      <c r="A266" s="187">
        <v>3</v>
      </c>
      <c r="B266" s="328" t="s">
        <v>364</v>
      </c>
      <c r="C266" s="191" t="s">
        <v>136</v>
      </c>
      <c r="D266" s="284">
        <f>1</f>
        <v>1</v>
      </c>
      <c r="E266" s="187" t="s">
        <v>92</v>
      </c>
      <c r="F266" s="340">
        <v>1500</v>
      </c>
      <c r="G266" s="355">
        <f t="shared" ref="G266:G273" si="291">D266*F266</f>
        <v>1500</v>
      </c>
      <c r="H266" s="356">
        <f t="shared" ref="H266:H274" si="292">R266*$Y$4</f>
        <v>1500</v>
      </c>
      <c r="I266" s="357"/>
      <c r="J266" s="357"/>
      <c r="K266" s="357">
        <f t="shared" ref="K266:K274" si="293">I266+J266</f>
        <v>0</v>
      </c>
      <c r="L266" s="357"/>
      <c r="M266" s="357"/>
      <c r="N266" s="357">
        <f t="shared" ref="N266:N274" si="294">L266+M266</f>
        <v>0</v>
      </c>
      <c r="O266" s="358">
        <f t="shared" ref="O266:O274" si="295">H266+K266+N266</f>
        <v>1500</v>
      </c>
      <c r="P266" s="359">
        <f t="shared" ref="P266:P273" si="296">G266/$Y$4</f>
        <v>215.51724137931035</v>
      </c>
      <c r="Q266" s="321">
        <v>1</v>
      </c>
      <c r="R266" s="188">
        <f t="shared" ref="R266:R273" si="297">P266</f>
        <v>215.51724137931035</v>
      </c>
      <c r="S266" s="188"/>
      <c r="T266" s="188"/>
      <c r="U266" s="357">
        <f t="shared" ref="U266:U274" si="298">S266+T266</f>
        <v>0</v>
      </c>
      <c r="V266" s="188"/>
      <c r="W266" s="188"/>
      <c r="X266" s="357">
        <f t="shared" ref="X266:X274" si="299">V266+W266</f>
        <v>0</v>
      </c>
      <c r="Y266" s="358">
        <f t="shared" ref="Y266:Y274" si="300">R266+U266+X266</f>
        <v>215.51724137931035</v>
      </c>
      <c r="Z266" s="184">
        <f t="shared" si="198"/>
        <v>0</v>
      </c>
    </row>
    <row r="267" spans="1:26" ht="25.5">
      <c r="A267" s="187">
        <v>3</v>
      </c>
      <c r="B267" s="328" t="s">
        <v>364</v>
      </c>
      <c r="C267" s="191" t="s">
        <v>136</v>
      </c>
      <c r="D267" s="284">
        <f>1</f>
        <v>1</v>
      </c>
      <c r="E267" s="187" t="s">
        <v>92</v>
      </c>
      <c r="F267" s="340">
        <v>1500</v>
      </c>
      <c r="G267" s="355">
        <f t="shared" si="291"/>
        <v>1500</v>
      </c>
      <c r="H267" s="356">
        <f t="shared" si="292"/>
        <v>1500</v>
      </c>
      <c r="I267" s="357"/>
      <c r="J267" s="357"/>
      <c r="K267" s="357">
        <f t="shared" si="293"/>
        <v>0</v>
      </c>
      <c r="L267" s="357"/>
      <c r="M267" s="357"/>
      <c r="N267" s="357">
        <f t="shared" si="294"/>
        <v>0</v>
      </c>
      <c r="O267" s="358">
        <f t="shared" si="295"/>
        <v>1500</v>
      </c>
      <c r="P267" s="359">
        <f t="shared" si="296"/>
        <v>215.51724137931035</v>
      </c>
      <c r="Q267" s="321">
        <v>2</v>
      </c>
      <c r="R267" s="188">
        <f t="shared" si="297"/>
        <v>215.51724137931035</v>
      </c>
      <c r="S267" s="188"/>
      <c r="T267" s="188"/>
      <c r="U267" s="357">
        <f t="shared" si="298"/>
        <v>0</v>
      </c>
      <c r="V267" s="188"/>
      <c r="W267" s="188"/>
      <c r="X267" s="357">
        <f t="shared" si="299"/>
        <v>0</v>
      </c>
      <c r="Y267" s="358">
        <f t="shared" si="300"/>
        <v>215.51724137931035</v>
      </c>
      <c r="Z267" s="184">
        <f t="shared" si="198"/>
        <v>0</v>
      </c>
    </row>
    <row r="268" spans="1:26" ht="25.5" hidden="1">
      <c r="A268" s="187">
        <v>3</v>
      </c>
      <c r="B268" s="328" t="s">
        <v>364</v>
      </c>
      <c r="C268" s="191" t="s">
        <v>136</v>
      </c>
      <c r="D268" s="284">
        <f>1</f>
        <v>1</v>
      </c>
      <c r="E268" s="187" t="s">
        <v>92</v>
      </c>
      <c r="F268" s="340">
        <v>1500</v>
      </c>
      <c r="G268" s="355">
        <f t="shared" si="291"/>
        <v>1500</v>
      </c>
      <c r="H268" s="356">
        <f t="shared" si="292"/>
        <v>1500</v>
      </c>
      <c r="I268" s="357"/>
      <c r="J268" s="357"/>
      <c r="K268" s="357">
        <f t="shared" si="293"/>
        <v>0</v>
      </c>
      <c r="L268" s="357"/>
      <c r="M268" s="357"/>
      <c r="N268" s="357">
        <f t="shared" si="294"/>
        <v>0</v>
      </c>
      <c r="O268" s="358">
        <f t="shared" si="295"/>
        <v>1500</v>
      </c>
      <c r="P268" s="359">
        <f t="shared" si="296"/>
        <v>215.51724137931035</v>
      </c>
      <c r="Q268" s="321">
        <v>3</v>
      </c>
      <c r="R268" s="188">
        <f t="shared" si="297"/>
        <v>215.51724137931035</v>
      </c>
      <c r="S268" s="188"/>
      <c r="T268" s="188"/>
      <c r="U268" s="357">
        <f t="shared" si="298"/>
        <v>0</v>
      </c>
      <c r="V268" s="188"/>
      <c r="W268" s="188"/>
      <c r="X268" s="357">
        <f t="shared" si="299"/>
        <v>0</v>
      </c>
      <c r="Y268" s="358">
        <f t="shared" si="300"/>
        <v>215.51724137931035</v>
      </c>
      <c r="Z268" s="184">
        <f t="shared" si="198"/>
        <v>0</v>
      </c>
    </row>
    <row r="269" spans="1:26" ht="25.5" hidden="1">
      <c r="A269" s="187">
        <v>3</v>
      </c>
      <c r="B269" s="328" t="s">
        <v>364</v>
      </c>
      <c r="C269" s="191" t="s">
        <v>245</v>
      </c>
      <c r="D269" s="285">
        <v>5</v>
      </c>
      <c r="E269" s="192" t="s">
        <v>80</v>
      </c>
      <c r="F269" s="337">
        <v>400</v>
      </c>
      <c r="G269" s="355">
        <f t="shared" si="291"/>
        <v>2000</v>
      </c>
      <c r="H269" s="356">
        <f t="shared" si="292"/>
        <v>2000</v>
      </c>
      <c r="I269" s="357"/>
      <c r="J269" s="357"/>
      <c r="K269" s="357">
        <f t="shared" si="293"/>
        <v>0</v>
      </c>
      <c r="L269" s="357"/>
      <c r="M269" s="357"/>
      <c r="N269" s="357">
        <f t="shared" si="294"/>
        <v>0</v>
      </c>
      <c r="O269" s="358">
        <f t="shared" si="295"/>
        <v>2000</v>
      </c>
      <c r="P269" s="359">
        <f t="shared" si="296"/>
        <v>287.35632183908046</v>
      </c>
      <c r="Q269" s="321">
        <v>1</v>
      </c>
      <c r="R269" s="188">
        <f t="shared" si="297"/>
        <v>287.35632183908046</v>
      </c>
      <c r="S269" s="188"/>
      <c r="T269" s="188"/>
      <c r="U269" s="357">
        <f t="shared" si="298"/>
        <v>0</v>
      </c>
      <c r="V269" s="188"/>
      <c r="W269" s="188"/>
      <c r="X269" s="357">
        <f t="shared" si="299"/>
        <v>0</v>
      </c>
      <c r="Y269" s="358">
        <f t="shared" si="300"/>
        <v>287.35632183908046</v>
      </c>
      <c r="Z269" s="184">
        <f t="shared" si="198"/>
        <v>0</v>
      </c>
    </row>
    <row r="270" spans="1:26" ht="25.5" hidden="1">
      <c r="A270" s="187">
        <v>3</v>
      </c>
      <c r="B270" s="328" t="s">
        <v>364</v>
      </c>
      <c r="C270" s="191" t="s">
        <v>245</v>
      </c>
      <c r="D270" s="285">
        <v>0</v>
      </c>
      <c r="E270" s="192" t="s">
        <v>80</v>
      </c>
      <c r="F270" s="337">
        <v>400</v>
      </c>
      <c r="G270" s="355">
        <f t="shared" si="291"/>
        <v>0</v>
      </c>
      <c r="H270" s="356">
        <f t="shared" si="292"/>
        <v>0</v>
      </c>
      <c r="I270" s="357"/>
      <c r="J270" s="357"/>
      <c r="K270" s="357">
        <f t="shared" si="293"/>
        <v>0</v>
      </c>
      <c r="L270" s="357"/>
      <c r="M270" s="357"/>
      <c r="N270" s="357">
        <f t="shared" si="294"/>
        <v>0</v>
      </c>
      <c r="O270" s="358">
        <f t="shared" si="295"/>
        <v>0</v>
      </c>
      <c r="P270" s="359">
        <f t="shared" si="296"/>
        <v>0</v>
      </c>
      <c r="Q270" s="321">
        <v>2</v>
      </c>
      <c r="R270" s="188">
        <f t="shared" si="297"/>
        <v>0</v>
      </c>
      <c r="S270" s="188"/>
      <c r="T270" s="188"/>
      <c r="U270" s="357">
        <f t="shared" si="298"/>
        <v>0</v>
      </c>
      <c r="V270" s="188"/>
      <c r="W270" s="188"/>
      <c r="X270" s="357">
        <f t="shared" si="299"/>
        <v>0</v>
      </c>
      <c r="Y270" s="358">
        <f t="shared" si="300"/>
        <v>0</v>
      </c>
      <c r="Z270" s="184">
        <f t="shared" si="198"/>
        <v>0</v>
      </c>
    </row>
    <row r="271" spans="1:26" ht="25.5" hidden="1">
      <c r="A271" s="187">
        <v>3</v>
      </c>
      <c r="B271" s="328" t="s">
        <v>364</v>
      </c>
      <c r="C271" s="191" t="s">
        <v>245</v>
      </c>
      <c r="D271" s="285">
        <v>0</v>
      </c>
      <c r="E271" s="192" t="s">
        <v>80</v>
      </c>
      <c r="F271" s="337">
        <v>400</v>
      </c>
      <c r="G271" s="355">
        <f t="shared" si="291"/>
        <v>0</v>
      </c>
      <c r="H271" s="356">
        <f t="shared" si="292"/>
        <v>0</v>
      </c>
      <c r="I271" s="357"/>
      <c r="J271" s="357"/>
      <c r="K271" s="357">
        <f t="shared" si="293"/>
        <v>0</v>
      </c>
      <c r="L271" s="357"/>
      <c r="M271" s="357"/>
      <c r="N271" s="357">
        <f t="shared" si="294"/>
        <v>0</v>
      </c>
      <c r="O271" s="358">
        <f t="shared" si="295"/>
        <v>0</v>
      </c>
      <c r="P271" s="359">
        <f t="shared" si="296"/>
        <v>0</v>
      </c>
      <c r="Q271" s="321">
        <v>3</v>
      </c>
      <c r="R271" s="188">
        <f t="shared" si="297"/>
        <v>0</v>
      </c>
      <c r="S271" s="188"/>
      <c r="T271" s="188"/>
      <c r="U271" s="357">
        <f t="shared" si="298"/>
        <v>0</v>
      </c>
      <c r="V271" s="188"/>
      <c r="W271" s="188"/>
      <c r="X271" s="357">
        <f t="shared" si="299"/>
        <v>0</v>
      </c>
      <c r="Y271" s="358">
        <f t="shared" si="300"/>
        <v>0</v>
      </c>
      <c r="Z271" s="184">
        <f t="shared" ref="Z271:Z302" si="301">P271-Y271</f>
        <v>0</v>
      </c>
    </row>
    <row r="272" spans="1:26" ht="25.5" hidden="1">
      <c r="A272" s="187">
        <v>3</v>
      </c>
      <c r="B272" s="328" t="s">
        <v>364</v>
      </c>
      <c r="C272" s="189" t="s">
        <v>152</v>
      </c>
      <c r="D272" s="285">
        <v>30</v>
      </c>
      <c r="E272" s="192" t="s">
        <v>80</v>
      </c>
      <c r="F272" s="183">
        <v>100</v>
      </c>
      <c r="G272" s="355">
        <f t="shared" si="291"/>
        <v>3000</v>
      </c>
      <c r="H272" s="356">
        <f t="shared" si="292"/>
        <v>3000</v>
      </c>
      <c r="I272" s="357"/>
      <c r="J272" s="357"/>
      <c r="K272" s="357">
        <f t="shared" si="293"/>
        <v>0</v>
      </c>
      <c r="L272" s="357"/>
      <c r="M272" s="357"/>
      <c r="N272" s="357">
        <f t="shared" si="294"/>
        <v>0</v>
      </c>
      <c r="O272" s="358">
        <f t="shared" si="295"/>
        <v>3000</v>
      </c>
      <c r="P272" s="359">
        <f t="shared" si="296"/>
        <v>431.0344827586207</v>
      </c>
      <c r="Q272" s="321">
        <v>1</v>
      </c>
      <c r="R272" s="188">
        <f t="shared" si="297"/>
        <v>431.0344827586207</v>
      </c>
      <c r="S272" s="188"/>
      <c r="T272" s="188"/>
      <c r="U272" s="357">
        <f t="shared" si="298"/>
        <v>0</v>
      </c>
      <c r="V272" s="188"/>
      <c r="W272" s="188"/>
      <c r="X272" s="357">
        <f t="shared" si="299"/>
        <v>0</v>
      </c>
      <c r="Y272" s="358">
        <f t="shared" si="300"/>
        <v>431.0344827586207</v>
      </c>
      <c r="Z272" s="184">
        <f t="shared" si="301"/>
        <v>0</v>
      </c>
    </row>
    <row r="273" spans="1:26" ht="25.5" hidden="1">
      <c r="A273" s="187">
        <v>3</v>
      </c>
      <c r="B273" s="328" t="s">
        <v>364</v>
      </c>
      <c r="C273" s="189" t="s">
        <v>152</v>
      </c>
      <c r="D273" s="285">
        <v>0</v>
      </c>
      <c r="E273" s="192" t="s">
        <v>80</v>
      </c>
      <c r="F273" s="183">
        <v>100</v>
      </c>
      <c r="G273" s="355">
        <f t="shared" si="291"/>
        <v>0</v>
      </c>
      <c r="H273" s="356">
        <f t="shared" si="292"/>
        <v>0</v>
      </c>
      <c r="I273" s="357"/>
      <c r="J273" s="357"/>
      <c r="K273" s="357">
        <f t="shared" si="293"/>
        <v>0</v>
      </c>
      <c r="L273" s="357"/>
      <c r="M273" s="357"/>
      <c r="N273" s="357">
        <f t="shared" si="294"/>
        <v>0</v>
      </c>
      <c r="O273" s="358">
        <f t="shared" si="295"/>
        <v>0</v>
      </c>
      <c r="P273" s="359">
        <f t="shared" si="296"/>
        <v>0</v>
      </c>
      <c r="Q273" s="321">
        <v>2</v>
      </c>
      <c r="R273" s="188">
        <f t="shared" si="297"/>
        <v>0</v>
      </c>
      <c r="S273" s="188"/>
      <c r="T273" s="188"/>
      <c r="U273" s="357">
        <f t="shared" si="298"/>
        <v>0</v>
      </c>
      <c r="V273" s="188"/>
      <c r="W273" s="188"/>
      <c r="X273" s="357">
        <f t="shared" si="299"/>
        <v>0</v>
      </c>
      <c r="Y273" s="358">
        <f t="shared" si="300"/>
        <v>0</v>
      </c>
      <c r="Z273" s="184">
        <f t="shared" si="301"/>
        <v>0</v>
      </c>
    </row>
    <row r="274" spans="1:26" ht="25.5" hidden="1">
      <c r="A274" s="187">
        <v>3</v>
      </c>
      <c r="B274" s="328" t="s">
        <v>364</v>
      </c>
      <c r="C274" s="189" t="s">
        <v>152</v>
      </c>
      <c r="D274" s="285">
        <v>0</v>
      </c>
      <c r="E274" s="192" t="s">
        <v>80</v>
      </c>
      <c r="F274" s="183">
        <v>100</v>
      </c>
      <c r="G274" s="355">
        <f>D274*F274</f>
        <v>0</v>
      </c>
      <c r="H274" s="356">
        <f t="shared" si="292"/>
        <v>0</v>
      </c>
      <c r="I274" s="357"/>
      <c r="J274" s="357"/>
      <c r="K274" s="357">
        <f t="shared" si="293"/>
        <v>0</v>
      </c>
      <c r="L274" s="357"/>
      <c r="M274" s="357"/>
      <c r="N274" s="357">
        <f t="shared" si="294"/>
        <v>0</v>
      </c>
      <c r="O274" s="358">
        <f t="shared" si="295"/>
        <v>0</v>
      </c>
      <c r="P274" s="359">
        <f>G274/$Y$4</f>
        <v>0</v>
      </c>
      <c r="Q274" s="321">
        <v>3</v>
      </c>
      <c r="R274" s="188">
        <f>P274</f>
        <v>0</v>
      </c>
      <c r="S274" s="188"/>
      <c r="T274" s="188"/>
      <c r="U274" s="357">
        <f t="shared" si="298"/>
        <v>0</v>
      </c>
      <c r="V274" s="188"/>
      <c r="W274" s="188"/>
      <c r="X274" s="357">
        <f t="shared" si="299"/>
        <v>0</v>
      </c>
      <c r="Y274" s="358">
        <f t="shared" si="300"/>
        <v>0</v>
      </c>
      <c r="Z274" s="184">
        <f t="shared" si="301"/>
        <v>0</v>
      </c>
    </row>
    <row r="275" spans="1:26" hidden="1">
      <c r="A275" s="219" t="s">
        <v>129</v>
      </c>
      <c r="B275" s="326"/>
      <c r="C275" s="218"/>
      <c r="D275" s="185"/>
      <c r="E275" s="185"/>
      <c r="F275" s="186"/>
      <c r="G275" s="207">
        <f>SUM(G276:G296)</f>
        <v>53760</v>
      </c>
      <c r="H275" s="352">
        <f t="shared" ref="H275:Y275" si="302">SUM(H276:H296)</f>
        <v>41760</v>
      </c>
      <c r="I275" s="353">
        <f t="shared" si="302"/>
        <v>12000</v>
      </c>
      <c r="J275" s="353">
        <f t="shared" si="302"/>
        <v>0</v>
      </c>
      <c r="K275" s="353">
        <f t="shared" si="302"/>
        <v>12000</v>
      </c>
      <c r="L275" s="353">
        <f t="shared" si="302"/>
        <v>0</v>
      </c>
      <c r="M275" s="353">
        <f t="shared" si="302"/>
        <v>0</v>
      </c>
      <c r="N275" s="353">
        <f t="shared" si="302"/>
        <v>0</v>
      </c>
      <c r="O275" s="354">
        <f t="shared" si="302"/>
        <v>53760</v>
      </c>
      <c r="P275" s="352">
        <f t="shared" si="302"/>
        <v>7724.1379310344828</v>
      </c>
      <c r="Q275" s="320"/>
      <c r="R275" s="181">
        <f t="shared" si="302"/>
        <v>6000</v>
      </c>
      <c r="S275" s="181">
        <f t="shared" si="302"/>
        <v>1724.1379310344828</v>
      </c>
      <c r="T275" s="181">
        <f t="shared" si="302"/>
        <v>0</v>
      </c>
      <c r="U275" s="353">
        <f t="shared" si="302"/>
        <v>1724.1379310344828</v>
      </c>
      <c r="V275" s="181">
        <f t="shared" si="302"/>
        <v>0</v>
      </c>
      <c r="W275" s="181">
        <f t="shared" si="302"/>
        <v>0</v>
      </c>
      <c r="X275" s="353">
        <f t="shared" si="302"/>
        <v>0</v>
      </c>
      <c r="Y275" s="354">
        <f t="shared" si="302"/>
        <v>7724.1379310344828</v>
      </c>
      <c r="Z275" s="184">
        <f t="shared" si="301"/>
        <v>0</v>
      </c>
    </row>
    <row r="276" spans="1:26" hidden="1">
      <c r="A276" s="187">
        <v>3</v>
      </c>
      <c r="B276" s="328" t="s">
        <v>129</v>
      </c>
      <c r="C276" s="189" t="s">
        <v>131</v>
      </c>
      <c r="D276" s="286">
        <v>8</v>
      </c>
      <c r="E276" s="190" t="s">
        <v>132</v>
      </c>
      <c r="F276" s="339">
        <v>1500</v>
      </c>
      <c r="G276" s="355">
        <f>D276*F276</f>
        <v>12000</v>
      </c>
      <c r="H276" s="356">
        <f t="shared" ref="H276:I296" si="303">R276*$Y$4</f>
        <v>0</v>
      </c>
      <c r="I276" s="357">
        <f>S276*$Y$4</f>
        <v>12000</v>
      </c>
      <c r="J276" s="357"/>
      <c r="K276" s="357">
        <f t="shared" ref="K276:K296" si="304">I276+J276</f>
        <v>12000</v>
      </c>
      <c r="L276" s="357"/>
      <c r="M276" s="357"/>
      <c r="N276" s="357">
        <f t="shared" ref="N276:N296" si="305">L276+M276</f>
        <v>0</v>
      </c>
      <c r="O276" s="358">
        <f t="shared" ref="O276:O296" si="306">H276+K276+N276</f>
        <v>12000</v>
      </c>
      <c r="P276" s="359">
        <f>G276/$Y$4</f>
        <v>1724.1379310344828</v>
      </c>
      <c r="Q276" s="321">
        <v>1</v>
      </c>
      <c r="R276" s="188"/>
      <c r="S276" s="188">
        <f>P276</f>
        <v>1724.1379310344828</v>
      </c>
      <c r="T276" s="188"/>
      <c r="U276" s="357">
        <f t="shared" ref="U276:U296" si="307">S276+T276</f>
        <v>1724.1379310344828</v>
      </c>
      <c r="V276" s="188"/>
      <c r="W276" s="188"/>
      <c r="X276" s="357">
        <f t="shared" ref="X276:X296" si="308">V276+W276</f>
        <v>0</v>
      </c>
      <c r="Y276" s="358">
        <f t="shared" ref="Y276:Y296" si="309">R276+U276+X276</f>
        <v>1724.1379310344828</v>
      </c>
      <c r="Z276" s="184">
        <f t="shared" si="301"/>
        <v>0</v>
      </c>
    </row>
    <row r="277" spans="1:26" hidden="1">
      <c r="A277" s="187">
        <v>3</v>
      </c>
      <c r="B277" s="328" t="s">
        <v>129</v>
      </c>
      <c r="C277" s="189" t="s">
        <v>131</v>
      </c>
      <c r="D277" s="286">
        <v>0</v>
      </c>
      <c r="E277" s="190" t="s">
        <v>132</v>
      </c>
      <c r="F277" s="339">
        <v>1500</v>
      </c>
      <c r="G277" s="355">
        <f t="shared" ref="G277:G278" si="310">D277*F277</f>
        <v>0</v>
      </c>
      <c r="H277" s="356">
        <f t="shared" si="303"/>
        <v>0</v>
      </c>
      <c r="I277" s="357">
        <f t="shared" si="303"/>
        <v>0</v>
      </c>
      <c r="J277" s="357"/>
      <c r="K277" s="357">
        <f t="shared" si="304"/>
        <v>0</v>
      </c>
      <c r="L277" s="357"/>
      <c r="M277" s="357"/>
      <c r="N277" s="357">
        <f t="shared" si="305"/>
        <v>0</v>
      </c>
      <c r="O277" s="358">
        <f t="shared" si="306"/>
        <v>0</v>
      </c>
      <c r="P277" s="359">
        <f t="shared" ref="P277:P278" si="311">G277/$Y$4</f>
        <v>0</v>
      </c>
      <c r="Q277" s="321">
        <v>2</v>
      </c>
      <c r="R277" s="188"/>
      <c r="S277" s="188">
        <f t="shared" ref="S277:S278" si="312">P277</f>
        <v>0</v>
      </c>
      <c r="T277" s="188"/>
      <c r="U277" s="357">
        <f t="shared" si="307"/>
        <v>0</v>
      </c>
      <c r="V277" s="188"/>
      <c r="W277" s="188"/>
      <c r="X277" s="357">
        <f t="shared" si="308"/>
        <v>0</v>
      </c>
      <c r="Y277" s="358">
        <f t="shared" si="309"/>
        <v>0</v>
      </c>
      <c r="Z277" s="184">
        <f t="shared" si="301"/>
        <v>0</v>
      </c>
    </row>
    <row r="278" spans="1:26" hidden="1">
      <c r="A278" s="187">
        <v>3</v>
      </c>
      <c r="B278" s="328" t="s">
        <v>129</v>
      </c>
      <c r="C278" s="189" t="s">
        <v>131</v>
      </c>
      <c r="D278" s="286">
        <v>0</v>
      </c>
      <c r="E278" s="190" t="s">
        <v>132</v>
      </c>
      <c r="F278" s="339">
        <v>1500</v>
      </c>
      <c r="G278" s="355">
        <f t="shared" si="310"/>
        <v>0</v>
      </c>
      <c r="H278" s="356">
        <f t="shared" si="303"/>
        <v>0</v>
      </c>
      <c r="I278" s="357">
        <f t="shared" si="303"/>
        <v>0</v>
      </c>
      <c r="J278" s="357"/>
      <c r="K278" s="357">
        <f t="shared" si="304"/>
        <v>0</v>
      </c>
      <c r="L278" s="357"/>
      <c r="M278" s="357"/>
      <c r="N278" s="357">
        <f t="shared" si="305"/>
        <v>0</v>
      </c>
      <c r="O278" s="358">
        <f t="shared" si="306"/>
        <v>0</v>
      </c>
      <c r="P278" s="359">
        <f t="shared" si="311"/>
        <v>0</v>
      </c>
      <c r="Q278" s="321">
        <v>3</v>
      </c>
      <c r="R278" s="188"/>
      <c r="S278" s="188">
        <f t="shared" si="312"/>
        <v>0</v>
      </c>
      <c r="T278" s="188"/>
      <c r="U278" s="357">
        <f t="shared" si="307"/>
        <v>0</v>
      </c>
      <c r="V278" s="188"/>
      <c r="W278" s="188"/>
      <c r="X278" s="357">
        <f t="shared" si="308"/>
        <v>0</v>
      </c>
      <c r="Y278" s="358">
        <f t="shared" si="309"/>
        <v>0</v>
      </c>
      <c r="Z278" s="184">
        <f t="shared" si="301"/>
        <v>0</v>
      </c>
    </row>
    <row r="279" spans="1:26" ht="25.5" hidden="1">
      <c r="A279" s="187">
        <v>3</v>
      </c>
      <c r="B279" s="328" t="s">
        <v>129</v>
      </c>
      <c r="C279" s="191" t="s">
        <v>277</v>
      </c>
      <c r="D279" s="284">
        <f>1*8</f>
        <v>8</v>
      </c>
      <c r="E279" s="187" t="s">
        <v>134</v>
      </c>
      <c r="F279" s="340">
        <f>22*30*2</f>
        <v>1320</v>
      </c>
      <c r="G279" s="355">
        <f>D279*F279</f>
        <v>10560</v>
      </c>
      <c r="H279" s="356">
        <f t="shared" si="303"/>
        <v>10560</v>
      </c>
      <c r="I279" s="357"/>
      <c r="J279" s="357"/>
      <c r="K279" s="357">
        <f t="shared" si="304"/>
        <v>0</v>
      </c>
      <c r="L279" s="357"/>
      <c r="M279" s="357"/>
      <c r="N279" s="357">
        <f t="shared" si="305"/>
        <v>0</v>
      </c>
      <c r="O279" s="358">
        <f t="shared" si="306"/>
        <v>10560</v>
      </c>
      <c r="P279" s="359">
        <f>G279/$Y$4</f>
        <v>1517.2413793103449</v>
      </c>
      <c r="Q279" s="321">
        <v>1</v>
      </c>
      <c r="R279" s="188">
        <f>P279</f>
        <v>1517.2413793103449</v>
      </c>
      <c r="S279" s="188"/>
      <c r="T279" s="188"/>
      <c r="U279" s="357">
        <f t="shared" si="307"/>
        <v>0</v>
      </c>
      <c r="V279" s="188"/>
      <c r="W279" s="188"/>
      <c r="X279" s="357">
        <f t="shared" si="308"/>
        <v>0</v>
      </c>
      <c r="Y279" s="358">
        <f t="shared" si="309"/>
        <v>1517.2413793103449</v>
      </c>
      <c r="Z279" s="184">
        <f t="shared" si="301"/>
        <v>0</v>
      </c>
    </row>
    <row r="280" spans="1:26" ht="25.5">
      <c r="A280" s="187">
        <v>3</v>
      </c>
      <c r="B280" s="328" t="s">
        <v>129</v>
      </c>
      <c r="C280" s="191" t="s">
        <v>277</v>
      </c>
      <c r="D280" s="284">
        <f>1*8</f>
        <v>8</v>
      </c>
      <c r="E280" s="187" t="s">
        <v>134</v>
      </c>
      <c r="F280" s="340">
        <f t="shared" ref="F280:F281" si="313">22*30*2</f>
        <v>1320</v>
      </c>
      <c r="G280" s="355">
        <f t="shared" ref="G280:G287" si="314">D280*F280</f>
        <v>10560</v>
      </c>
      <c r="H280" s="356">
        <f t="shared" si="303"/>
        <v>10560</v>
      </c>
      <c r="I280" s="357"/>
      <c r="J280" s="357"/>
      <c r="K280" s="357">
        <f t="shared" si="304"/>
        <v>0</v>
      </c>
      <c r="L280" s="357"/>
      <c r="M280" s="357"/>
      <c r="N280" s="357">
        <f t="shared" si="305"/>
        <v>0</v>
      </c>
      <c r="O280" s="358">
        <f t="shared" si="306"/>
        <v>10560</v>
      </c>
      <c r="P280" s="359">
        <f t="shared" ref="P280:P287" si="315">G280/$Y$4</f>
        <v>1517.2413793103449</v>
      </c>
      <c r="Q280" s="321">
        <v>2</v>
      </c>
      <c r="R280" s="188">
        <f t="shared" ref="R280:R287" si="316">P280</f>
        <v>1517.2413793103449</v>
      </c>
      <c r="S280" s="188"/>
      <c r="T280" s="188"/>
      <c r="U280" s="357">
        <f t="shared" si="307"/>
        <v>0</v>
      </c>
      <c r="V280" s="188"/>
      <c r="W280" s="188"/>
      <c r="X280" s="357">
        <f t="shared" si="308"/>
        <v>0</v>
      </c>
      <c r="Y280" s="358">
        <f t="shared" si="309"/>
        <v>1517.2413793103449</v>
      </c>
      <c r="Z280" s="184">
        <f t="shared" si="301"/>
        <v>0</v>
      </c>
    </row>
    <row r="281" spans="1:26" ht="25.5" hidden="1">
      <c r="A281" s="187">
        <v>3</v>
      </c>
      <c r="B281" s="328" t="s">
        <v>129</v>
      </c>
      <c r="C281" s="191" t="s">
        <v>277</v>
      </c>
      <c r="D281" s="284">
        <v>0</v>
      </c>
      <c r="E281" s="187" t="s">
        <v>134</v>
      </c>
      <c r="F281" s="340">
        <f t="shared" si="313"/>
        <v>1320</v>
      </c>
      <c r="G281" s="355">
        <f t="shared" si="314"/>
        <v>0</v>
      </c>
      <c r="H281" s="356">
        <f t="shared" si="303"/>
        <v>0</v>
      </c>
      <c r="I281" s="357"/>
      <c r="J281" s="357"/>
      <c r="K281" s="357">
        <f t="shared" si="304"/>
        <v>0</v>
      </c>
      <c r="L281" s="357"/>
      <c r="M281" s="357"/>
      <c r="N281" s="357">
        <f t="shared" si="305"/>
        <v>0</v>
      </c>
      <c r="O281" s="358">
        <f t="shared" si="306"/>
        <v>0</v>
      </c>
      <c r="P281" s="359">
        <f t="shared" si="315"/>
        <v>0</v>
      </c>
      <c r="Q281" s="321">
        <v>3</v>
      </c>
      <c r="R281" s="188">
        <f t="shared" si="316"/>
        <v>0</v>
      </c>
      <c r="S281" s="188"/>
      <c r="T281" s="188"/>
      <c r="U281" s="357">
        <f t="shared" si="307"/>
        <v>0</v>
      </c>
      <c r="V281" s="188"/>
      <c r="W281" s="188"/>
      <c r="X281" s="357">
        <f t="shared" si="308"/>
        <v>0</v>
      </c>
      <c r="Y281" s="358">
        <f t="shared" si="309"/>
        <v>0</v>
      </c>
      <c r="Z281" s="184">
        <f t="shared" si="301"/>
        <v>0</v>
      </c>
    </row>
    <row r="282" spans="1:26" hidden="1">
      <c r="A282" s="187">
        <v>3</v>
      </c>
      <c r="B282" s="328" t="s">
        <v>129</v>
      </c>
      <c r="C282" s="191" t="s">
        <v>135</v>
      </c>
      <c r="D282" s="284">
        <v>8</v>
      </c>
      <c r="E282" s="187" t="s">
        <v>134</v>
      </c>
      <c r="F282" s="340">
        <v>400</v>
      </c>
      <c r="G282" s="355">
        <f t="shared" si="314"/>
        <v>3200</v>
      </c>
      <c r="H282" s="356">
        <f t="shared" si="303"/>
        <v>3200</v>
      </c>
      <c r="I282" s="357"/>
      <c r="J282" s="357"/>
      <c r="K282" s="357">
        <f t="shared" si="304"/>
        <v>0</v>
      </c>
      <c r="L282" s="357"/>
      <c r="M282" s="357"/>
      <c r="N282" s="357">
        <f t="shared" si="305"/>
        <v>0</v>
      </c>
      <c r="O282" s="358">
        <f t="shared" si="306"/>
        <v>3200</v>
      </c>
      <c r="P282" s="359">
        <f t="shared" si="315"/>
        <v>459.77011494252872</v>
      </c>
      <c r="Q282" s="321">
        <v>1</v>
      </c>
      <c r="R282" s="188">
        <f t="shared" si="316"/>
        <v>459.77011494252872</v>
      </c>
      <c r="S282" s="188"/>
      <c r="T282" s="188"/>
      <c r="U282" s="357">
        <f t="shared" si="307"/>
        <v>0</v>
      </c>
      <c r="V282" s="188"/>
      <c r="W282" s="188"/>
      <c r="X282" s="357">
        <f t="shared" si="308"/>
        <v>0</v>
      </c>
      <c r="Y282" s="358">
        <f t="shared" si="309"/>
        <v>459.77011494252872</v>
      </c>
      <c r="Z282" s="184">
        <f t="shared" si="301"/>
        <v>0</v>
      </c>
    </row>
    <row r="283" spans="1:26">
      <c r="A283" s="187">
        <v>3</v>
      </c>
      <c r="B283" s="328" t="s">
        <v>129</v>
      </c>
      <c r="C283" s="191" t="s">
        <v>135</v>
      </c>
      <c r="D283" s="284">
        <v>8</v>
      </c>
      <c r="E283" s="187" t="s">
        <v>134</v>
      </c>
      <c r="F283" s="340">
        <v>400</v>
      </c>
      <c r="G283" s="355">
        <f t="shared" si="314"/>
        <v>3200</v>
      </c>
      <c r="H283" s="356">
        <f t="shared" si="303"/>
        <v>3200</v>
      </c>
      <c r="I283" s="357"/>
      <c r="J283" s="357"/>
      <c r="K283" s="357">
        <f t="shared" si="304"/>
        <v>0</v>
      </c>
      <c r="L283" s="357"/>
      <c r="M283" s="357"/>
      <c r="N283" s="357">
        <f t="shared" si="305"/>
        <v>0</v>
      </c>
      <c r="O283" s="358">
        <f t="shared" si="306"/>
        <v>3200</v>
      </c>
      <c r="P283" s="359">
        <f t="shared" si="315"/>
        <v>459.77011494252872</v>
      </c>
      <c r="Q283" s="321">
        <v>2</v>
      </c>
      <c r="R283" s="188">
        <f t="shared" si="316"/>
        <v>459.77011494252872</v>
      </c>
      <c r="S283" s="188"/>
      <c r="T283" s="188"/>
      <c r="U283" s="357">
        <f t="shared" si="307"/>
        <v>0</v>
      </c>
      <c r="V283" s="188"/>
      <c r="W283" s="188"/>
      <c r="X283" s="357">
        <f t="shared" si="308"/>
        <v>0</v>
      </c>
      <c r="Y283" s="358">
        <f t="shared" si="309"/>
        <v>459.77011494252872</v>
      </c>
      <c r="Z283" s="184">
        <f t="shared" si="301"/>
        <v>0</v>
      </c>
    </row>
    <row r="284" spans="1:26" hidden="1">
      <c r="A284" s="187">
        <v>3</v>
      </c>
      <c r="B284" s="328" t="s">
        <v>129</v>
      </c>
      <c r="C284" s="191" t="s">
        <v>135</v>
      </c>
      <c r="D284" s="284">
        <v>0</v>
      </c>
      <c r="E284" s="187" t="s">
        <v>134</v>
      </c>
      <c r="F284" s="340">
        <v>400</v>
      </c>
      <c r="G284" s="355">
        <f t="shared" si="314"/>
        <v>0</v>
      </c>
      <c r="H284" s="356">
        <f t="shared" si="303"/>
        <v>0</v>
      </c>
      <c r="I284" s="357"/>
      <c r="J284" s="357"/>
      <c r="K284" s="357">
        <f t="shared" si="304"/>
        <v>0</v>
      </c>
      <c r="L284" s="357"/>
      <c r="M284" s="357"/>
      <c r="N284" s="357">
        <f t="shared" si="305"/>
        <v>0</v>
      </c>
      <c r="O284" s="358">
        <f t="shared" si="306"/>
        <v>0</v>
      </c>
      <c r="P284" s="359">
        <f t="shared" si="315"/>
        <v>0</v>
      </c>
      <c r="Q284" s="321">
        <v>3</v>
      </c>
      <c r="R284" s="188">
        <f t="shared" si="316"/>
        <v>0</v>
      </c>
      <c r="S284" s="188"/>
      <c r="T284" s="188"/>
      <c r="U284" s="357">
        <f t="shared" si="307"/>
        <v>0</v>
      </c>
      <c r="V284" s="188"/>
      <c r="W284" s="188"/>
      <c r="X284" s="357">
        <f t="shared" si="308"/>
        <v>0</v>
      </c>
      <c r="Y284" s="358">
        <f t="shared" si="309"/>
        <v>0</v>
      </c>
      <c r="Z284" s="184">
        <f t="shared" si="301"/>
        <v>0</v>
      </c>
    </row>
    <row r="285" spans="1:26" hidden="1">
      <c r="A285" s="187">
        <v>3</v>
      </c>
      <c r="B285" s="328" t="s">
        <v>129</v>
      </c>
      <c r="C285" s="191" t="s">
        <v>136</v>
      </c>
      <c r="D285" s="284">
        <v>1</v>
      </c>
      <c r="E285" s="187" t="s">
        <v>92</v>
      </c>
      <c r="F285" s="340">
        <v>1500</v>
      </c>
      <c r="G285" s="355">
        <f t="shared" si="314"/>
        <v>1500</v>
      </c>
      <c r="H285" s="356">
        <f t="shared" si="303"/>
        <v>1500</v>
      </c>
      <c r="I285" s="357"/>
      <c r="J285" s="357"/>
      <c r="K285" s="357">
        <f t="shared" si="304"/>
        <v>0</v>
      </c>
      <c r="L285" s="357"/>
      <c r="M285" s="357"/>
      <c r="N285" s="357">
        <f t="shared" si="305"/>
        <v>0</v>
      </c>
      <c r="O285" s="358">
        <f t="shared" si="306"/>
        <v>1500</v>
      </c>
      <c r="P285" s="359">
        <f t="shared" si="315"/>
        <v>215.51724137931035</v>
      </c>
      <c r="Q285" s="321">
        <v>1</v>
      </c>
      <c r="R285" s="188">
        <f t="shared" si="316"/>
        <v>215.51724137931035</v>
      </c>
      <c r="S285" s="188"/>
      <c r="T285" s="188"/>
      <c r="U285" s="357">
        <f t="shared" si="307"/>
        <v>0</v>
      </c>
      <c r="V285" s="188"/>
      <c r="W285" s="188"/>
      <c r="X285" s="357">
        <f t="shared" si="308"/>
        <v>0</v>
      </c>
      <c r="Y285" s="358">
        <f t="shared" si="309"/>
        <v>215.51724137931035</v>
      </c>
      <c r="Z285" s="184">
        <f t="shared" si="301"/>
        <v>0</v>
      </c>
    </row>
    <row r="286" spans="1:26">
      <c r="A286" s="187">
        <v>3</v>
      </c>
      <c r="B286" s="328" t="s">
        <v>129</v>
      </c>
      <c r="C286" s="191" t="s">
        <v>136</v>
      </c>
      <c r="D286" s="284">
        <v>1</v>
      </c>
      <c r="E286" s="187" t="s">
        <v>92</v>
      </c>
      <c r="F286" s="340">
        <v>1500</v>
      </c>
      <c r="G286" s="355">
        <f t="shared" si="314"/>
        <v>1500</v>
      </c>
      <c r="H286" s="356">
        <f t="shared" si="303"/>
        <v>1500</v>
      </c>
      <c r="I286" s="357"/>
      <c r="J286" s="357"/>
      <c r="K286" s="357">
        <f t="shared" si="304"/>
        <v>0</v>
      </c>
      <c r="L286" s="357"/>
      <c r="M286" s="357"/>
      <c r="N286" s="357">
        <f t="shared" si="305"/>
        <v>0</v>
      </c>
      <c r="O286" s="358">
        <f t="shared" si="306"/>
        <v>1500</v>
      </c>
      <c r="P286" s="359">
        <f t="shared" si="315"/>
        <v>215.51724137931035</v>
      </c>
      <c r="Q286" s="321">
        <v>2</v>
      </c>
      <c r="R286" s="188">
        <f t="shared" si="316"/>
        <v>215.51724137931035</v>
      </c>
      <c r="S286" s="188"/>
      <c r="T286" s="188"/>
      <c r="U286" s="357">
        <f t="shared" si="307"/>
        <v>0</v>
      </c>
      <c r="V286" s="188"/>
      <c r="W286" s="188"/>
      <c r="X286" s="357">
        <f t="shared" si="308"/>
        <v>0</v>
      </c>
      <c r="Y286" s="358">
        <f t="shared" si="309"/>
        <v>215.51724137931035</v>
      </c>
      <c r="Z286" s="184">
        <f t="shared" si="301"/>
        <v>0</v>
      </c>
    </row>
    <row r="287" spans="1:26" hidden="1">
      <c r="A287" s="187">
        <v>3</v>
      </c>
      <c r="B287" s="328" t="s">
        <v>129</v>
      </c>
      <c r="C287" s="191" t="s">
        <v>136</v>
      </c>
      <c r="D287" s="284">
        <v>0</v>
      </c>
      <c r="E287" s="187" t="s">
        <v>92</v>
      </c>
      <c r="F287" s="340">
        <v>1500</v>
      </c>
      <c r="G287" s="355">
        <f t="shared" si="314"/>
        <v>0</v>
      </c>
      <c r="H287" s="356">
        <f t="shared" si="303"/>
        <v>0</v>
      </c>
      <c r="I287" s="357"/>
      <c r="J287" s="357"/>
      <c r="K287" s="357">
        <f t="shared" si="304"/>
        <v>0</v>
      </c>
      <c r="L287" s="357"/>
      <c r="M287" s="357"/>
      <c r="N287" s="357">
        <f t="shared" si="305"/>
        <v>0</v>
      </c>
      <c r="O287" s="358">
        <f t="shared" si="306"/>
        <v>0</v>
      </c>
      <c r="P287" s="359">
        <f t="shared" si="315"/>
        <v>0</v>
      </c>
      <c r="Q287" s="321">
        <v>3</v>
      </c>
      <c r="R287" s="188">
        <f t="shared" si="316"/>
        <v>0</v>
      </c>
      <c r="S287" s="188"/>
      <c r="T287" s="188"/>
      <c r="U287" s="357">
        <f t="shared" si="307"/>
        <v>0</v>
      </c>
      <c r="V287" s="188"/>
      <c r="W287" s="188"/>
      <c r="X287" s="357">
        <f t="shared" si="308"/>
        <v>0</v>
      </c>
      <c r="Y287" s="358">
        <f t="shared" si="309"/>
        <v>0</v>
      </c>
      <c r="Z287" s="184">
        <f t="shared" si="301"/>
        <v>0</v>
      </c>
    </row>
    <row r="288" spans="1:26" hidden="1">
      <c r="A288" s="187">
        <v>3</v>
      </c>
      <c r="B288" s="328" t="s">
        <v>129</v>
      </c>
      <c r="C288" s="191" t="s">
        <v>137</v>
      </c>
      <c r="D288" s="284">
        <v>1</v>
      </c>
      <c r="E288" s="187" t="s">
        <v>92</v>
      </c>
      <c r="F288" s="340">
        <v>1000</v>
      </c>
      <c r="G288" s="355">
        <f>D288*F288</f>
        <v>1000</v>
      </c>
      <c r="H288" s="356">
        <f t="shared" si="303"/>
        <v>1000</v>
      </c>
      <c r="I288" s="357"/>
      <c r="J288" s="357"/>
      <c r="K288" s="357">
        <f t="shared" si="304"/>
        <v>0</v>
      </c>
      <c r="L288" s="357"/>
      <c r="M288" s="357"/>
      <c r="N288" s="357">
        <f t="shared" si="305"/>
        <v>0</v>
      </c>
      <c r="O288" s="358">
        <f t="shared" si="306"/>
        <v>1000</v>
      </c>
      <c r="P288" s="359">
        <f>G288/$Y$4</f>
        <v>143.67816091954023</v>
      </c>
      <c r="Q288" s="321">
        <v>1</v>
      </c>
      <c r="R288" s="188">
        <f>P288</f>
        <v>143.67816091954023</v>
      </c>
      <c r="S288" s="188"/>
      <c r="T288" s="188"/>
      <c r="U288" s="357">
        <f t="shared" si="307"/>
        <v>0</v>
      </c>
      <c r="V288" s="188"/>
      <c r="W288" s="188"/>
      <c r="X288" s="357">
        <f t="shared" si="308"/>
        <v>0</v>
      </c>
      <c r="Y288" s="358">
        <f t="shared" si="309"/>
        <v>143.67816091954023</v>
      </c>
      <c r="Z288" s="184">
        <f t="shared" si="301"/>
        <v>0</v>
      </c>
    </row>
    <row r="289" spans="1:26">
      <c r="A289" s="187">
        <v>3</v>
      </c>
      <c r="B289" s="328" t="s">
        <v>129</v>
      </c>
      <c r="C289" s="191" t="s">
        <v>137</v>
      </c>
      <c r="D289" s="284">
        <v>1</v>
      </c>
      <c r="E289" s="187" t="s">
        <v>92</v>
      </c>
      <c r="F289" s="340">
        <v>1000</v>
      </c>
      <c r="G289" s="355">
        <f t="shared" ref="G289:G290" si="317">D289*F289</f>
        <v>1000</v>
      </c>
      <c r="H289" s="356">
        <f t="shared" si="303"/>
        <v>1000</v>
      </c>
      <c r="I289" s="357"/>
      <c r="J289" s="357"/>
      <c r="K289" s="357">
        <f t="shared" si="304"/>
        <v>0</v>
      </c>
      <c r="L289" s="357"/>
      <c r="M289" s="357"/>
      <c r="N289" s="357">
        <f t="shared" si="305"/>
        <v>0</v>
      </c>
      <c r="O289" s="358">
        <f t="shared" si="306"/>
        <v>1000</v>
      </c>
      <c r="P289" s="359">
        <f t="shared" ref="P289:P290" si="318">G289/$Y$4</f>
        <v>143.67816091954023</v>
      </c>
      <c r="Q289" s="321">
        <v>2</v>
      </c>
      <c r="R289" s="188">
        <f t="shared" ref="R289:R290" si="319">P289</f>
        <v>143.67816091954023</v>
      </c>
      <c r="S289" s="188"/>
      <c r="T289" s="188"/>
      <c r="U289" s="357">
        <f t="shared" si="307"/>
        <v>0</v>
      </c>
      <c r="V289" s="188"/>
      <c r="W289" s="188"/>
      <c r="X289" s="357">
        <f t="shared" si="308"/>
        <v>0</v>
      </c>
      <c r="Y289" s="358">
        <f t="shared" si="309"/>
        <v>143.67816091954023</v>
      </c>
      <c r="Z289" s="184">
        <f t="shared" si="301"/>
        <v>0</v>
      </c>
    </row>
    <row r="290" spans="1:26" hidden="1">
      <c r="A290" s="187">
        <v>3</v>
      </c>
      <c r="B290" s="328" t="s">
        <v>129</v>
      </c>
      <c r="C290" s="191" t="s">
        <v>137</v>
      </c>
      <c r="D290" s="284">
        <v>0</v>
      </c>
      <c r="E290" s="187" t="s">
        <v>92</v>
      </c>
      <c r="F290" s="340">
        <v>1000</v>
      </c>
      <c r="G290" s="355">
        <f t="shared" si="317"/>
        <v>0</v>
      </c>
      <c r="H290" s="356">
        <f t="shared" si="303"/>
        <v>0</v>
      </c>
      <c r="I290" s="357"/>
      <c r="J290" s="357"/>
      <c r="K290" s="357">
        <f t="shared" si="304"/>
        <v>0</v>
      </c>
      <c r="L290" s="357"/>
      <c r="M290" s="357"/>
      <c r="N290" s="357">
        <f t="shared" si="305"/>
        <v>0</v>
      </c>
      <c r="O290" s="358">
        <f t="shared" si="306"/>
        <v>0</v>
      </c>
      <c r="P290" s="359">
        <f t="shared" si="318"/>
        <v>0</v>
      </c>
      <c r="Q290" s="321">
        <v>3</v>
      </c>
      <c r="R290" s="188">
        <f t="shared" si="319"/>
        <v>0</v>
      </c>
      <c r="S290" s="188"/>
      <c r="T290" s="188"/>
      <c r="U290" s="357">
        <f t="shared" si="307"/>
        <v>0</v>
      </c>
      <c r="V290" s="188"/>
      <c r="W290" s="188"/>
      <c r="X290" s="357">
        <f t="shared" si="308"/>
        <v>0</v>
      </c>
      <c r="Y290" s="358">
        <f t="shared" si="309"/>
        <v>0</v>
      </c>
      <c r="Z290" s="184">
        <f t="shared" si="301"/>
        <v>0</v>
      </c>
    </row>
    <row r="291" spans="1:26" hidden="1">
      <c r="A291" s="187">
        <v>3</v>
      </c>
      <c r="B291" s="328" t="s">
        <v>129</v>
      </c>
      <c r="C291" s="305" t="s">
        <v>138</v>
      </c>
      <c r="D291" s="306">
        <v>22</v>
      </c>
      <c r="E291" s="187" t="s">
        <v>139</v>
      </c>
      <c r="F291" s="338">
        <v>90</v>
      </c>
      <c r="G291" s="355">
        <f>D291*F291</f>
        <v>1980</v>
      </c>
      <c r="H291" s="356">
        <f t="shared" si="303"/>
        <v>1980</v>
      </c>
      <c r="I291" s="357"/>
      <c r="J291" s="357"/>
      <c r="K291" s="357">
        <f t="shared" si="304"/>
        <v>0</v>
      </c>
      <c r="L291" s="357"/>
      <c r="M291" s="357"/>
      <c r="N291" s="357">
        <f t="shared" si="305"/>
        <v>0</v>
      </c>
      <c r="O291" s="358">
        <f t="shared" si="306"/>
        <v>1980</v>
      </c>
      <c r="P291" s="359">
        <f>G291/$Y$4</f>
        <v>284.48275862068965</v>
      </c>
      <c r="Q291" s="321">
        <v>1</v>
      </c>
      <c r="R291" s="188">
        <f>P291</f>
        <v>284.48275862068965</v>
      </c>
      <c r="S291" s="188"/>
      <c r="T291" s="188"/>
      <c r="U291" s="357">
        <f t="shared" si="307"/>
        <v>0</v>
      </c>
      <c r="V291" s="188"/>
      <c r="W291" s="188"/>
      <c r="X291" s="357">
        <f t="shared" si="308"/>
        <v>0</v>
      </c>
      <c r="Y291" s="358">
        <f t="shared" si="309"/>
        <v>284.48275862068965</v>
      </c>
      <c r="Z291" s="184">
        <f t="shared" si="301"/>
        <v>0</v>
      </c>
    </row>
    <row r="292" spans="1:26">
      <c r="A292" s="187">
        <v>3</v>
      </c>
      <c r="B292" s="328" t="s">
        <v>129</v>
      </c>
      <c r="C292" s="305" t="s">
        <v>138</v>
      </c>
      <c r="D292" s="306">
        <v>22</v>
      </c>
      <c r="E292" s="187" t="s">
        <v>139</v>
      </c>
      <c r="F292" s="338">
        <v>90</v>
      </c>
      <c r="G292" s="355">
        <f t="shared" ref="G292:G295" si="320">D292*F292</f>
        <v>1980</v>
      </c>
      <c r="H292" s="356">
        <f t="shared" si="303"/>
        <v>1980</v>
      </c>
      <c r="I292" s="357"/>
      <c r="J292" s="357"/>
      <c r="K292" s="357">
        <f t="shared" si="304"/>
        <v>0</v>
      </c>
      <c r="L292" s="357"/>
      <c r="M292" s="357"/>
      <c r="N292" s="357">
        <f t="shared" si="305"/>
        <v>0</v>
      </c>
      <c r="O292" s="358">
        <f t="shared" si="306"/>
        <v>1980</v>
      </c>
      <c r="P292" s="359">
        <f t="shared" ref="P292:P295" si="321">G292/$Y$4</f>
        <v>284.48275862068965</v>
      </c>
      <c r="Q292" s="321">
        <v>2</v>
      </c>
      <c r="R292" s="188">
        <f t="shared" ref="R292:R295" si="322">P292</f>
        <v>284.48275862068965</v>
      </c>
      <c r="S292" s="188"/>
      <c r="T292" s="188"/>
      <c r="U292" s="357">
        <f t="shared" si="307"/>
        <v>0</v>
      </c>
      <c r="V292" s="188"/>
      <c r="W292" s="188"/>
      <c r="X292" s="357">
        <f t="shared" si="308"/>
        <v>0</v>
      </c>
      <c r="Y292" s="358">
        <f t="shared" si="309"/>
        <v>284.48275862068965</v>
      </c>
      <c r="Z292" s="184">
        <f t="shared" si="301"/>
        <v>0</v>
      </c>
    </row>
    <row r="293" spans="1:26" hidden="1">
      <c r="A293" s="187">
        <v>3</v>
      </c>
      <c r="B293" s="328" t="s">
        <v>129</v>
      </c>
      <c r="C293" s="305" t="s">
        <v>138</v>
      </c>
      <c r="D293" s="306">
        <v>0</v>
      </c>
      <c r="E293" s="187" t="s">
        <v>139</v>
      </c>
      <c r="F293" s="338">
        <v>90</v>
      </c>
      <c r="G293" s="355">
        <f t="shared" si="320"/>
        <v>0</v>
      </c>
      <c r="H293" s="356">
        <f t="shared" si="303"/>
        <v>0</v>
      </c>
      <c r="I293" s="357"/>
      <c r="J293" s="357"/>
      <c r="K293" s="357">
        <f t="shared" si="304"/>
        <v>0</v>
      </c>
      <c r="L293" s="357"/>
      <c r="M293" s="357"/>
      <c r="N293" s="357">
        <f t="shared" si="305"/>
        <v>0</v>
      </c>
      <c r="O293" s="358">
        <f t="shared" si="306"/>
        <v>0</v>
      </c>
      <c r="P293" s="359">
        <f t="shared" si="321"/>
        <v>0</v>
      </c>
      <c r="Q293" s="321">
        <v>3</v>
      </c>
      <c r="R293" s="188">
        <f t="shared" si="322"/>
        <v>0</v>
      </c>
      <c r="S293" s="188"/>
      <c r="T293" s="188"/>
      <c r="U293" s="357">
        <f t="shared" si="307"/>
        <v>0</v>
      </c>
      <c r="V293" s="188"/>
      <c r="W293" s="188"/>
      <c r="X293" s="357">
        <f t="shared" si="308"/>
        <v>0</v>
      </c>
      <c r="Y293" s="358">
        <f t="shared" si="309"/>
        <v>0</v>
      </c>
      <c r="Z293" s="184">
        <f t="shared" si="301"/>
        <v>0</v>
      </c>
    </row>
    <row r="294" spans="1:26" hidden="1">
      <c r="A294" s="187">
        <v>3</v>
      </c>
      <c r="B294" s="328" t="s">
        <v>129</v>
      </c>
      <c r="C294" s="189" t="s">
        <v>289</v>
      </c>
      <c r="D294" s="182">
        <v>22</v>
      </c>
      <c r="E294" s="190" t="s">
        <v>80</v>
      </c>
      <c r="F294" s="183">
        <v>120</v>
      </c>
      <c r="G294" s="355">
        <f t="shared" si="320"/>
        <v>2640</v>
      </c>
      <c r="H294" s="356">
        <f t="shared" si="303"/>
        <v>2640</v>
      </c>
      <c r="I294" s="357"/>
      <c r="J294" s="357"/>
      <c r="K294" s="357">
        <f t="shared" si="304"/>
        <v>0</v>
      </c>
      <c r="L294" s="357"/>
      <c r="M294" s="357"/>
      <c r="N294" s="357">
        <f t="shared" si="305"/>
        <v>0</v>
      </c>
      <c r="O294" s="358">
        <f t="shared" si="306"/>
        <v>2640</v>
      </c>
      <c r="P294" s="359">
        <f t="shared" si="321"/>
        <v>379.31034482758622</v>
      </c>
      <c r="Q294" s="321">
        <v>1</v>
      </c>
      <c r="R294" s="188">
        <f t="shared" si="322"/>
        <v>379.31034482758622</v>
      </c>
      <c r="S294" s="188"/>
      <c r="T294" s="188"/>
      <c r="U294" s="357">
        <f t="shared" si="307"/>
        <v>0</v>
      </c>
      <c r="V294" s="188"/>
      <c r="W294" s="188"/>
      <c r="X294" s="357">
        <f t="shared" si="308"/>
        <v>0</v>
      </c>
      <c r="Y294" s="358">
        <f t="shared" si="309"/>
        <v>379.31034482758622</v>
      </c>
      <c r="Z294" s="184">
        <f t="shared" si="301"/>
        <v>0</v>
      </c>
    </row>
    <row r="295" spans="1:26">
      <c r="A295" s="187">
        <v>3</v>
      </c>
      <c r="B295" s="328" t="s">
        <v>129</v>
      </c>
      <c r="C295" s="189" t="s">
        <v>289</v>
      </c>
      <c r="D295" s="182">
        <v>22</v>
      </c>
      <c r="E295" s="190" t="s">
        <v>80</v>
      </c>
      <c r="F295" s="183">
        <v>120</v>
      </c>
      <c r="G295" s="355">
        <f t="shared" si="320"/>
        <v>2640</v>
      </c>
      <c r="H295" s="356">
        <f t="shared" si="303"/>
        <v>2640</v>
      </c>
      <c r="I295" s="357"/>
      <c r="J295" s="357"/>
      <c r="K295" s="357">
        <f t="shared" si="304"/>
        <v>0</v>
      </c>
      <c r="L295" s="357"/>
      <c r="M295" s="357"/>
      <c r="N295" s="357">
        <f t="shared" si="305"/>
        <v>0</v>
      </c>
      <c r="O295" s="358">
        <f t="shared" si="306"/>
        <v>2640</v>
      </c>
      <c r="P295" s="359">
        <f t="shared" si="321"/>
        <v>379.31034482758622</v>
      </c>
      <c r="Q295" s="321">
        <v>2</v>
      </c>
      <c r="R295" s="188">
        <f t="shared" si="322"/>
        <v>379.31034482758622</v>
      </c>
      <c r="S295" s="188"/>
      <c r="T295" s="188"/>
      <c r="U295" s="357">
        <f t="shared" si="307"/>
        <v>0</v>
      </c>
      <c r="V295" s="188"/>
      <c r="W295" s="188"/>
      <c r="X295" s="357">
        <f t="shared" si="308"/>
        <v>0</v>
      </c>
      <c r="Y295" s="358">
        <f t="shared" si="309"/>
        <v>379.31034482758622</v>
      </c>
      <c r="Z295" s="184">
        <f t="shared" si="301"/>
        <v>0</v>
      </c>
    </row>
    <row r="296" spans="1:26" hidden="1">
      <c r="A296" s="187">
        <v>3</v>
      </c>
      <c r="B296" s="328" t="s">
        <v>129</v>
      </c>
      <c r="C296" s="189" t="s">
        <v>289</v>
      </c>
      <c r="D296" s="182">
        <v>0</v>
      </c>
      <c r="E296" s="190" t="s">
        <v>80</v>
      </c>
      <c r="F296" s="183">
        <v>120</v>
      </c>
      <c r="G296" s="355">
        <f>D296*F296</f>
        <v>0</v>
      </c>
      <c r="H296" s="356">
        <f t="shared" si="303"/>
        <v>0</v>
      </c>
      <c r="I296" s="357"/>
      <c r="J296" s="357"/>
      <c r="K296" s="357">
        <f t="shared" si="304"/>
        <v>0</v>
      </c>
      <c r="L296" s="357"/>
      <c r="M296" s="357"/>
      <c r="N296" s="357">
        <f t="shared" si="305"/>
        <v>0</v>
      </c>
      <c r="O296" s="358">
        <f t="shared" si="306"/>
        <v>0</v>
      </c>
      <c r="P296" s="359">
        <f>G296/$Y$4</f>
        <v>0</v>
      </c>
      <c r="Q296" s="321">
        <v>3</v>
      </c>
      <c r="R296" s="188">
        <f>P296</f>
        <v>0</v>
      </c>
      <c r="S296" s="188"/>
      <c r="T296" s="188"/>
      <c r="U296" s="357">
        <f t="shared" si="307"/>
        <v>0</v>
      </c>
      <c r="V296" s="188"/>
      <c r="W296" s="188"/>
      <c r="X296" s="357">
        <f t="shared" si="308"/>
        <v>0</v>
      </c>
      <c r="Y296" s="358">
        <f t="shared" si="309"/>
        <v>0</v>
      </c>
      <c r="Z296" s="184">
        <f t="shared" si="301"/>
        <v>0</v>
      </c>
    </row>
    <row r="297" spans="1:26" hidden="1">
      <c r="A297" s="219" t="s">
        <v>130</v>
      </c>
      <c r="B297" s="326"/>
      <c r="C297" s="218"/>
      <c r="D297" s="185"/>
      <c r="E297" s="185"/>
      <c r="F297" s="186"/>
      <c r="G297" s="207">
        <f>SUM(G298:G300)</f>
        <v>500</v>
      </c>
      <c r="H297" s="207">
        <f t="shared" ref="H297:Y297" si="323">SUM(H298:H300)</f>
        <v>500</v>
      </c>
      <c r="I297" s="207">
        <f t="shared" si="323"/>
        <v>0</v>
      </c>
      <c r="J297" s="207">
        <f t="shared" si="323"/>
        <v>0</v>
      </c>
      <c r="K297" s="207">
        <f t="shared" si="323"/>
        <v>0</v>
      </c>
      <c r="L297" s="207">
        <f t="shared" si="323"/>
        <v>0</v>
      </c>
      <c r="M297" s="207">
        <f t="shared" si="323"/>
        <v>0</v>
      </c>
      <c r="N297" s="207">
        <f t="shared" si="323"/>
        <v>0</v>
      </c>
      <c r="O297" s="207">
        <f t="shared" si="323"/>
        <v>500</v>
      </c>
      <c r="P297" s="207">
        <f t="shared" si="323"/>
        <v>71.839080459770116</v>
      </c>
      <c r="Q297" s="319"/>
      <c r="R297" s="214">
        <f t="shared" si="323"/>
        <v>71.839080459770116</v>
      </c>
      <c r="S297" s="214">
        <f t="shared" si="323"/>
        <v>0</v>
      </c>
      <c r="T297" s="214">
        <f t="shared" si="323"/>
        <v>0</v>
      </c>
      <c r="U297" s="207">
        <f t="shared" si="323"/>
        <v>0</v>
      </c>
      <c r="V297" s="214">
        <f t="shared" si="323"/>
        <v>0</v>
      </c>
      <c r="W297" s="214">
        <f t="shared" si="323"/>
        <v>0</v>
      </c>
      <c r="X297" s="207">
        <f t="shared" si="323"/>
        <v>0</v>
      </c>
      <c r="Y297" s="207">
        <f t="shared" si="323"/>
        <v>71.839080459770116</v>
      </c>
      <c r="Z297" s="184">
        <f t="shared" si="301"/>
        <v>0</v>
      </c>
    </row>
    <row r="298" spans="1:26" ht="25.5" hidden="1">
      <c r="A298" s="187">
        <v>3</v>
      </c>
      <c r="B298" s="328" t="s">
        <v>130</v>
      </c>
      <c r="C298" s="191" t="s">
        <v>133</v>
      </c>
      <c r="D298" s="284">
        <v>0</v>
      </c>
      <c r="E298" s="187" t="s">
        <v>92</v>
      </c>
      <c r="F298" s="340">
        <v>500</v>
      </c>
      <c r="G298" s="355">
        <f t="shared" ref="G298:G300" si="324">D298*F298</f>
        <v>0</v>
      </c>
      <c r="H298" s="356">
        <f>R298*$Y$4</f>
        <v>0</v>
      </c>
      <c r="I298" s="357"/>
      <c r="J298" s="357"/>
      <c r="K298" s="357">
        <f t="shared" ref="K298:K300" si="325">I298+J298</f>
        <v>0</v>
      </c>
      <c r="L298" s="357"/>
      <c r="M298" s="357"/>
      <c r="N298" s="357">
        <f t="shared" ref="N298:N300" si="326">L298+M298</f>
        <v>0</v>
      </c>
      <c r="O298" s="358">
        <f t="shared" ref="O298:O300" si="327">H298+K298+N298</f>
        <v>0</v>
      </c>
      <c r="P298" s="359">
        <f t="shared" ref="P298:P300" si="328">G298/$Y$4</f>
        <v>0</v>
      </c>
      <c r="Q298" s="321">
        <v>1</v>
      </c>
      <c r="R298" s="188">
        <f t="shared" ref="R298:R300" si="329">P298</f>
        <v>0</v>
      </c>
      <c r="S298" s="188"/>
      <c r="T298" s="188"/>
      <c r="U298" s="357">
        <f t="shared" ref="U298:U300" si="330">S298+T298</f>
        <v>0</v>
      </c>
      <c r="V298" s="188"/>
      <c r="W298" s="188"/>
      <c r="X298" s="357">
        <f t="shared" ref="X298:X300" si="331">V298+W298</f>
        <v>0</v>
      </c>
      <c r="Y298" s="358">
        <f t="shared" ref="Y298:Y300" si="332">R298+U298+X298</f>
        <v>0</v>
      </c>
      <c r="Z298" s="184">
        <f t="shared" si="301"/>
        <v>0</v>
      </c>
    </row>
    <row r="299" spans="1:26" ht="25.5">
      <c r="A299" s="187">
        <v>3</v>
      </c>
      <c r="B299" s="328" t="s">
        <v>130</v>
      </c>
      <c r="C299" s="191" t="s">
        <v>133</v>
      </c>
      <c r="D299" s="284">
        <v>1</v>
      </c>
      <c r="E299" s="187" t="s">
        <v>92</v>
      </c>
      <c r="F299" s="340">
        <v>250</v>
      </c>
      <c r="G299" s="355">
        <f t="shared" si="324"/>
        <v>250</v>
      </c>
      <c r="H299" s="356">
        <f t="shared" ref="H299:H300" si="333">R299*$Y$4</f>
        <v>250</v>
      </c>
      <c r="I299" s="357"/>
      <c r="J299" s="357"/>
      <c r="K299" s="357">
        <f t="shared" si="325"/>
        <v>0</v>
      </c>
      <c r="L299" s="357"/>
      <c r="M299" s="357"/>
      <c r="N299" s="357">
        <f t="shared" si="326"/>
        <v>0</v>
      </c>
      <c r="O299" s="358">
        <f t="shared" si="327"/>
        <v>250</v>
      </c>
      <c r="P299" s="359">
        <f t="shared" si="328"/>
        <v>35.919540229885058</v>
      </c>
      <c r="Q299" s="321">
        <v>2</v>
      </c>
      <c r="R299" s="188">
        <f t="shared" si="329"/>
        <v>35.919540229885058</v>
      </c>
      <c r="S299" s="188"/>
      <c r="T299" s="188"/>
      <c r="U299" s="357">
        <f t="shared" si="330"/>
        <v>0</v>
      </c>
      <c r="V299" s="188"/>
      <c r="W299" s="188"/>
      <c r="X299" s="357">
        <f t="shared" si="331"/>
        <v>0</v>
      </c>
      <c r="Y299" s="358">
        <f t="shared" si="332"/>
        <v>35.919540229885058</v>
      </c>
      <c r="Z299" s="184">
        <f t="shared" si="301"/>
        <v>0</v>
      </c>
    </row>
    <row r="300" spans="1:26" ht="25.5" hidden="1">
      <c r="A300" s="187">
        <v>3</v>
      </c>
      <c r="B300" s="328" t="s">
        <v>130</v>
      </c>
      <c r="C300" s="191" t="s">
        <v>133</v>
      </c>
      <c r="D300" s="284">
        <v>1</v>
      </c>
      <c r="E300" s="187" t="s">
        <v>92</v>
      </c>
      <c r="F300" s="340">
        <v>250</v>
      </c>
      <c r="G300" s="355">
        <f t="shared" si="324"/>
        <v>250</v>
      </c>
      <c r="H300" s="356">
        <f t="shared" si="333"/>
        <v>250</v>
      </c>
      <c r="I300" s="357"/>
      <c r="J300" s="357"/>
      <c r="K300" s="357">
        <f t="shared" si="325"/>
        <v>0</v>
      </c>
      <c r="L300" s="357"/>
      <c r="M300" s="357"/>
      <c r="N300" s="357">
        <f t="shared" si="326"/>
        <v>0</v>
      </c>
      <c r="O300" s="358">
        <f t="shared" si="327"/>
        <v>250</v>
      </c>
      <c r="P300" s="359">
        <f t="shared" si="328"/>
        <v>35.919540229885058</v>
      </c>
      <c r="Q300" s="321">
        <v>3</v>
      </c>
      <c r="R300" s="188">
        <f t="shared" si="329"/>
        <v>35.919540229885058</v>
      </c>
      <c r="S300" s="188"/>
      <c r="T300" s="188"/>
      <c r="U300" s="357">
        <f t="shared" si="330"/>
        <v>0</v>
      </c>
      <c r="V300" s="188"/>
      <c r="W300" s="188"/>
      <c r="X300" s="357">
        <f t="shared" si="331"/>
        <v>0</v>
      </c>
      <c r="Y300" s="358">
        <f t="shared" si="332"/>
        <v>35.919540229885058</v>
      </c>
      <c r="Z300" s="184">
        <f t="shared" si="301"/>
        <v>0</v>
      </c>
    </row>
    <row r="301" spans="1:26" hidden="1">
      <c r="A301" s="221" t="s">
        <v>85</v>
      </c>
      <c r="B301" s="325"/>
      <c r="C301" s="222"/>
      <c r="D301" s="283"/>
      <c r="E301" s="283"/>
      <c r="F301" s="223"/>
      <c r="G301" s="209">
        <f t="shared" ref="G301:P301" si="334">G302+G318+G325+G353+G389</f>
        <v>227250</v>
      </c>
      <c r="H301" s="210">
        <f t="shared" si="334"/>
        <v>227250</v>
      </c>
      <c r="I301" s="211">
        <f t="shared" si="334"/>
        <v>0</v>
      </c>
      <c r="J301" s="211">
        <f t="shared" si="334"/>
        <v>0</v>
      </c>
      <c r="K301" s="211">
        <f t="shared" si="334"/>
        <v>0</v>
      </c>
      <c r="L301" s="211">
        <f t="shared" si="334"/>
        <v>0</v>
      </c>
      <c r="M301" s="211">
        <f t="shared" si="334"/>
        <v>0</v>
      </c>
      <c r="N301" s="211">
        <f t="shared" si="334"/>
        <v>0</v>
      </c>
      <c r="O301" s="212">
        <f t="shared" si="334"/>
        <v>227250</v>
      </c>
      <c r="P301" s="280">
        <f t="shared" si="334"/>
        <v>32650.862068965518</v>
      </c>
      <c r="Q301" s="319"/>
      <c r="R301" s="366">
        <f t="shared" ref="R301:Y301" si="335">R302+R318+R325+R353+R389</f>
        <v>32650.862068965518</v>
      </c>
      <c r="S301" s="366">
        <f t="shared" si="335"/>
        <v>0</v>
      </c>
      <c r="T301" s="366">
        <f t="shared" si="335"/>
        <v>0</v>
      </c>
      <c r="U301" s="367">
        <f t="shared" si="335"/>
        <v>0</v>
      </c>
      <c r="V301" s="366">
        <f t="shared" si="335"/>
        <v>0</v>
      </c>
      <c r="W301" s="366">
        <f t="shared" si="335"/>
        <v>0</v>
      </c>
      <c r="X301" s="367">
        <f t="shared" si="335"/>
        <v>0</v>
      </c>
      <c r="Y301" s="368">
        <f t="shared" si="335"/>
        <v>32650.862068965518</v>
      </c>
      <c r="Z301" s="184">
        <f t="shared" si="301"/>
        <v>0</v>
      </c>
    </row>
    <row r="302" spans="1:26" hidden="1">
      <c r="A302" s="219" t="s">
        <v>366</v>
      </c>
      <c r="B302" s="326"/>
      <c r="C302" s="218"/>
      <c r="D302" s="179"/>
      <c r="E302" s="179"/>
      <c r="F302" s="180"/>
      <c r="G302" s="207">
        <f t="shared" ref="G302:P302" si="336">SUM(G303:G317)</f>
        <v>19950</v>
      </c>
      <c r="H302" s="352">
        <f t="shared" si="336"/>
        <v>19950</v>
      </c>
      <c r="I302" s="353">
        <f t="shared" si="336"/>
        <v>0</v>
      </c>
      <c r="J302" s="353">
        <f t="shared" si="336"/>
        <v>0</v>
      </c>
      <c r="K302" s="353">
        <f t="shared" ref="K302" si="337">SUM(K303:K317)</f>
        <v>0</v>
      </c>
      <c r="L302" s="353">
        <f t="shared" si="336"/>
        <v>0</v>
      </c>
      <c r="M302" s="353">
        <f t="shared" si="336"/>
        <v>0</v>
      </c>
      <c r="N302" s="353">
        <f t="shared" si="336"/>
        <v>0</v>
      </c>
      <c r="O302" s="354">
        <f t="shared" si="336"/>
        <v>19950</v>
      </c>
      <c r="P302" s="352">
        <f t="shared" si="336"/>
        <v>2866.3793103448274</v>
      </c>
      <c r="Q302" s="320"/>
      <c r="R302" s="181">
        <f t="shared" ref="R302:Y302" si="338">SUM(R303:R317)</f>
        <v>2866.3793103448274</v>
      </c>
      <c r="S302" s="181">
        <f t="shared" si="338"/>
        <v>0</v>
      </c>
      <c r="T302" s="181">
        <f t="shared" si="338"/>
        <v>0</v>
      </c>
      <c r="U302" s="353">
        <f t="shared" si="338"/>
        <v>0</v>
      </c>
      <c r="V302" s="181">
        <f t="shared" si="338"/>
        <v>0</v>
      </c>
      <c r="W302" s="181">
        <f t="shared" si="338"/>
        <v>0</v>
      </c>
      <c r="X302" s="353">
        <f t="shared" si="338"/>
        <v>0</v>
      </c>
      <c r="Y302" s="354">
        <f t="shared" si="338"/>
        <v>2866.3793103448274</v>
      </c>
      <c r="Z302" s="184">
        <f t="shared" si="301"/>
        <v>0</v>
      </c>
    </row>
    <row r="303" spans="1:26" ht="25.5" hidden="1">
      <c r="A303" s="187">
        <v>3</v>
      </c>
      <c r="B303" s="328" t="s">
        <v>366</v>
      </c>
      <c r="C303" s="191" t="s">
        <v>250</v>
      </c>
      <c r="D303" s="307">
        <v>4</v>
      </c>
      <c r="E303" s="308" t="s">
        <v>220</v>
      </c>
      <c r="F303" s="341">
        <f>500</f>
        <v>500</v>
      </c>
      <c r="G303" s="355">
        <f t="shared" ref="G303:G317" si="339">D303*F303</f>
        <v>2000</v>
      </c>
      <c r="H303" s="356">
        <f t="shared" ref="H303:H317" si="340">R303*$Y$4</f>
        <v>2000</v>
      </c>
      <c r="I303" s="357"/>
      <c r="J303" s="357"/>
      <c r="K303" s="357">
        <f t="shared" ref="K303:K317" si="341">I303+J303</f>
        <v>0</v>
      </c>
      <c r="L303" s="357"/>
      <c r="M303" s="357"/>
      <c r="N303" s="357">
        <f t="shared" ref="N303:N317" si="342">L303+M303</f>
        <v>0</v>
      </c>
      <c r="O303" s="358">
        <f t="shared" ref="O303:O317" si="343">H303+K303+N303</f>
        <v>2000</v>
      </c>
      <c r="P303" s="359">
        <f t="shared" ref="P303:P317" si="344">G303/$Y$4</f>
        <v>287.35632183908046</v>
      </c>
      <c r="Q303" s="321">
        <v>1</v>
      </c>
      <c r="R303" s="188">
        <f t="shared" ref="R303:R317" si="345">P303</f>
        <v>287.35632183908046</v>
      </c>
      <c r="S303" s="188"/>
      <c r="T303" s="188"/>
      <c r="U303" s="357">
        <f t="shared" ref="U303:U317" si="346">S303+T303</f>
        <v>0</v>
      </c>
      <c r="V303" s="188"/>
      <c r="W303" s="188"/>
      <c r="X303" s="357">
        <f t="shared" ref="X303:X317" si="347">V303+W303</f>
        <v>0</v>
      </c>
      <c r="Y303" s="358">
        <f t="shared" ref="Y303:Y317" si="348">R303+U303+X303</f>
        <v>287.35632183908046</v>
      </c>
      <c r="Z303" s="184"/>
    </row>
    <row r="304" spans="1:26" ht="25.5" hidden="1">
      <c r="A304" s="187">
        <v>3</v>
      </c>
      <c r="B304" s="328" t="s">
        <v>366</v>
      </c>
      <c r="C304" s="191" t="s">
        <v>250</v>
      </c>
      <c r="D304" s="307">
        <v>0</v>
      </c>
      <c r="E304" s="308" t="s">
        <v>220</v>
      </c>
      <c r="F304" s="341">
        <f>500</f>
        <v>500</v>
      </c>
      <c r="G304" s="355">
        <f t="shared" si="339"/>
        <v>0</v>
      </c>
      <c r="H304" s="356">
        <f t="shared" si="340"/>
        <v>0</v>
      </c>
      <c r="I304" s="357"/>
      <c r="J304" s="357"/>
      <c r="K304" s="357">
        <f t="shared" si="341"/>
        <v>0</v>
      </c>
      <c r="L304" s="357"/>
      <c r="M304" s="357"/>
      <c r="N304" s="357">
        <f t="shared" si="342"/>
        <v>0</v>
      </c>
      <c r="O304" s="358">
        <f t="shared" si="343"/>
        <v>0</v>
      </c>
      <c r="P304" s="359">
        <f t="shared" si="344"/>
        <v>0</v>
      </c>
      <c r="Q304" s="321">
        <v>2</v>
      </c>
      <c r="R304" s="188">
        <f t="shared" si="345"/>
        <v>0</v>
      </c>
      <c r="S304" s="188"/>
      <c r="T304" s="188"/>
      <c r="U304" s="357">
        <f t="shared" si="346"/>
        <v>0</v>
      </c>
      <c r="V304" s="188"/>
      <c r="W304" s="188"/>
      <c r="X304" s="357">
        <f t="shared" si="347"/>
        <v>0</v>
      </c>
      <c r="Y304" s="358">
        <f t="shared" si="348"/>
        <v>0</v>
      </c>
      <c r="Z304" s="184"/>
    </row>
    <row r="305" spans="1:26" ht="25.5" hidden="1">
      <c r="A305" s="187">
        <v>3</v>
      </c>
      <c r="B305" s="328" t="s">
        <v>366</v>
      </c>
      <c r="C305" s="191" t="s">
        <v>250</v>
      </c>
      <c r="D305" s="307">
        <v>0</v>
      </c>
      <c r="E305" s="308" t="s">
        <v>220</v>
      </c>
      <c r="F305" s="341">
        <f>500</f>
        <v>500</v>
      </c>
      <c r="G305" s="355">
        <f t="shared" si="339"/>
        <v>0</v>
      </c>
      <c r="H305" s="356">
        <f t="shared" si="340"/>
        <v>0</v>
      </c>
      <c r="I305" s="357"/>
      <c r="J305" s="357"/>
      <c r="K305" s="357">
        <f t="shared" si="341"/>
        <v>0</v>
      </c>
      <c r="L305" s="357"/>
      <c r="M305" s="357"/>
      <c r="N305" s="357">
        <f t="shared" si="342"/>
        <v>0</v>
      </c>
      <c r="O305" s="358">
        <f t="shared" si="343"/>
        <v>0</v>
      </c>
      <c r="P305" s="359">
        <f t="shared" si="344"/>
        <v>0</v>
      </c>
      <c r="Q305" s="321">
        <v>3</v>
      </c>
      <c r="R305" s="188">
        <f t="shared" si="345"/>
        <v>0</v>
      </c>
      <c r="S305" s="188"/>
      <c r="T305" s="188"/>
      <c r="U305" s="357">
        <f t="shared" si="346"/>
        <v>0</v>
      </c>
      <c r="V305" s="188"/>
      <c r="W305" s="188"/>
      <c r="X305" s="357">
        <f t="shared" si="347"/>
        <v>0</v>
      </c>
      <c r="Y305" s="358">
        <f t="shared" si="348"/>
        <v>0</v>
      </c>
      <c r="Z305" s="184"/>
    </row>
    <row r="306" spans="1:26" ht="25.5" hidden="1">
      <c r="A306" s="187">
        <v>3</v>
      </c>
      <c r="B306" s="328" t="s">
        <v>366</v>
      </c>
      <c r="C306" s="191" t="s">
        <v>286</v>
      </c>
      <c r="D306" s="307">
        <v>4</v>
      </c>
      <c r="E306" s="308" t="s">
        <v>220</v>
      </c>
      <c r="F306" s="341">
        <v>4000</v>
      </c>
      <c r="G306" s="355">
        <f t="shared" si="339"/>
        <v>16000</v>
      </c>
      <c r="H306" s="356">
        <f t="shared" si="340"/>
        <v>16000</v>
      </c>
      <c r="I306" s="357"/>
      <c r="J306" s="357"/>
      <c r="K306" s="357">
        <f t="shared" si="341"/>
        <v>0</v>
      </c>
      <c r="L306" s="357"/>
      <c r="M306" s="357"/>
      <c r="N306" s="357">
        <f t="shared" si="342"/>
        <v>0</v>
      </c>
      <c r="O306" s="358">
        <f t="shared" si="343"/>
        <v>16000</v>
      </c>
      <c r="P306" s="359">
        <f t="shared" si="344"/>
        <v>2298.8505747126437</v>
      </c>
      <c r="Q306" s="321">
        <v>1</v>
      </c>
      <c r="R306" s="331">
        <f t="shared" si="345"/>
        <v>2298.8505747126437</v>
      </c>
      <c r="S306" s="188"/>
      <c r="T306" s="188"/>
      <c r="U306" s="357">
        <f t="shared" si="346"/>
        <v>0</v>
      </c>
      <c r="V306" s="188"/>
      <c r="W306" s="188"/>
      <c r="X306" s="357">
        <f t="shared" si="347"/>
        <v>0</v>
      </c>
      <c r="Y306" s="358">
        <f t="shared" si="348"/>
        <v>2298.8505747126437</v>
      </c>
      <c r="Z306" s="184"/>
    </row>
    <row r="307" spans="1:26" ht="25.5" hidden="1">
      <c r="A307" s="187">
        <v>3</v>
      </c>
      <c r="B307" s="328" t="s">
        <v>366</v>
      </c>
      <c r="C307" s="191" t="s">
        <v>286</v>
      </c>
      <c r="D307" s="307">
        <v>0</v>
      </c>
      <c r="E307" s="308" t="s">
        <v>220</v>
      </c>
      <c r="F307" s="341">
        <v>4000</v>
      </c>
      <c r="G307" s="355">
        <f t="shared" si="339"/>
        <v>0</v>
      </c>
      <c r="H307" s="356">
        <f t="shared" si="340"/>
        <v>0</v>
      </c>
      <c r="I307" s="357"/>
      <c r="J307" s="357"/>
      <c r="K307" s="357">
        <f t="shared" si="341"/>
        <v>0</v>
      </c>
      <c r="L307" s="357"/>
      <c r="M307" s="357"/>
      <c r="N307" s="357">
        <f t="shared" si="342"/>
        <v>0</v>
      </c>
      <c r="O307" s="358">
        <f t="shared" si="343"/>
        <v>0</v>
      </c>
      <c r="P307" s="359">
        <f t="shared" si="344"/>
        <v>0</v>
      </c>
      <c r="Q307" s="321">
        <v>2</v>
      </c>
      <c r="R307" s="188">
        <f t="shared" si="345"/>
        <v>0</v>
      </c>
      <c r="S307" s="188"/>
      <c r="T307" s="188"/>
      <c r="U307" s="357">
        <f t="shared" si="346"/>
        <v>0</v>
      </c>
      <c r="V307" s="188"/>
      <c r="W307" s="188"/>
      <c r="X307" s="357">
        <f t="shared" si="347"/>
        <v>0</v>
      </c>
      <c r="Y307" s="358">
        <f t="shared" si="348"/>
        <v>0</v>
      </c>
      <c r="Z307" s="184"/>
    </row>
    <row r="308" spans="1:26" ht="25.5" hidden="1">
      <c r="A308" s="187">
        <v>3</v>
      </c>
      <c r="B308" s="328" t="s">
        <v>366</v>
      </c>
      <c r="C308" s="191" t="s">
        <v>286</v>
      </c>
      <c r="D308" s="307">
        <v>0</v>
      </c>
      <c r="E308" s="308" t="s">
        <v>220</v>
      </c>
      <c r="F308" s="341">
        <v>4000</v>
      </c>
      <c r="G308" s="355">
        <f t="shared" si="339"/>
        <v>0</v>
      </c>
      <c r="H308" s="356">
        <f t="shared" si="340"/>
        <v>0</v>
      </c>
      <c r="I308" s="357"/>
      <c r="J308" s="357"/>
      <c r="K308" s="357">
        <f t="shared" si="341"/>
        <v>0</v>
      </c>
      <c r="L308" s="357"/>
      <c r="M308" s="357"/>
      <c r="N308" s="357">
        <f t="shared" si="342"/>
        <v>0</v>
      </c>
      <c r="O308" s="358">
        <f t="shared" si="343"/>
        <v>0</v>
      </c>
      <c r="P308" s="359">
        <f t="shared" si="344"/>
        <v>0</v>
      </c>
      <c r="Q308" s="321">
        <v>3</v>
      </c>
      <c r="R308" s="188">
        <f t="shared" si="345"/>
        <v>0</v>
      </c>
      <c r="S308" s="188"/>
      <c r="T308" s="188"/>
      <c r="U308" s="357">
        <f t="shared" si="346"/>
        <v>0</v>
      </c>
      <c r="V308" s="188"/>
      <c r="W308" s="188"/>
      <c r="X308" s="357">
        <f t="shared" si="347"/>
        <v>0</v>
      </c>
      <c r="Y308" s="358">
        <f t="shared" si="348"/>
        <v>0</v>
      </c>
      <c r="Z308" s="184"/>
    </row>
    <row r="309" spans="1:26" hidden="1">
      <c r="A309" s="187">
        <v>3</v>
      </c>
      <c r="B309" s="328" t="s">
        <v>366</v>
      </c>
      <c r="C309" s="191" t="s">
        <v>278</v>
      </c>
      <c r="D309" s="309">
        <v>6</v>
      </c>
      <c r="E309" s="308" t="s">
        <v>79</v>
      </c>
      <c r="F309" s="341">
        <v>150</v>
      </c>
      <c r="G309" s="355">
        <f t="shared" si="339"/>
        <v>900</v>
      </c>
      <c r="H309" s="356">
        <f t="shared" si="340"/>
        <v>900.00000000000011</v>
      </c>
      <c r="I309" s="357"/>
      <c r="J309" s="357"/>
      <c r="K309" s="357">
        <f t="shared" si="341"/>
        <v>0</v>
      </c>
      <c r="L309" s="357"/>
      <c r="M309" s="357"/>
      <c r="N309" s="357">
        <f t="shared" si="342"/>
        <v>0</v>
      </c>
      <c r="O309" s="358">
        <f t="shared" si="343"/>
        <v>900.00000000000011</v>
      </c>
      <c r="P309" s="359">
        <f t="shared" si="344"/>
        <v>129.31034482758622</v>
      </c>
      <c r="Q309" s="321">
        <v>1</v>
      </c>
      <c r="R309" s="188">
        <f t="shared" si="345"/>
        <v>129.31034482758622</v>
      </c>
      <c r="S309" s="188"/>
      <c r="T309" s="188"/>
      <c r="U309" s="357">
        <f t="shared" si="346"/>
        <v>0</v>
      </c>
      <c r="V309" s="188"/>
      <c r="W309" s="188"/>
      <c r="X309" s="357">
        <f t="shared" si="347"/>
        <v>0</v>
      </c>
      <c r="Y309" s="358">
        <f t="shared" si="348"/>
        <v>129.31034482758622</v>
      </c>
      <c r="Z309" s="184"/>
    </row>
    <row r="310" spans="1:26" hidden="1">
      <c r="A310" s="187">
        <v>3</v>
      </c>
      <c r="B310" s="328" t="s">
        <v>366</v>
      </c>
      <c r="C310" s="191" t="s">
        <v>278</v>
      </c>
      <c r="D310" s="309">
        <v>0</v>
      </c>
      <c r="E310" s="308" t="s">
        <v>79</v>
      </c>
      <c r="F310" s="341">
        <v>150</v>
      </c>
      <c r="G310" s="355">
        <f t="shared" si="339"/>
        <v>0</v>
      </c>
      <c r="H310" s="356">
        <f t="shared" si="340"/>
        <v>0</v>
      </c>
      <c r="I310" s="357"/>
      <c r="J310" s="357"/>
      <c r="K310" s="357">
        <f t="shared" si="341"/>
        <v>0</v>
      </c>
      <c r="L310" s="357"/>
      <c r="M310" s="357"/>
      <c r="N310" s="357">
        <f t="shared" si="342"/>
        <v>0</v>
      </c>
      <c r="O310" s="358">
        <f t="shared" si="343"/>
        <v>0</v>
      </c>
      <c r="P310" s="359">
        <f t="shared" si="344"/>
        <v>0</v>
      </c>
      <c r="Q310" s="321">
        <v>2</v>
      </c>
      <c r="R310" s="188">
        <f t="shared" si="345"/>
        <v>0</v>
      </c>
      <c r="S310" s="188"/>
      <c r="T310" s="188"/>
      <c r="U310" s="357">
        <f t="shared" si="346"/>
        <v>0</v>
      </c>
      <c r="V310" s="188"/>
      <c r="W310" s="188"/>
      <c r="X310" s="357">
        <f t="shared" si="347"/>
        <v>0</v>
      </c>
      <c r="Y310" s="358">
        <f t="shared" si="348"/>
        <v>0</v>
      </c>
      <c r="Z310" s="184"/>
    </row>
    <row r="311" spans="1:26" hidden="1">
      <c r="A311" s="187">
        <v>3</v>
      </c>
      <c r="B311" s="328" t="s">
        <v>366</v>
      </c>
      <c r="C311" s="191" t="s">
        <v>278</v>
      </c>
      <c r="D311" s="309">
        <v>0</v>
      </c>
      <c r="E311" s="308" t="s">
        <v>79</v>
      </c>
      <c r="F311" s="341">
        <v>150</v>
      </c>
      <c r="G311" s="355">
        <f t="shared" si="339"/>
        <v>0</v>
      </c>
      <c r="H311" s="356">
        <f t="shared" si="340"/>
        <v>0</v>
      </c>
      <c r="I311" s="357"/>
      <c r="J311" s="357"/>
      <c r="K311" s="357">
        <f t="shared" si="341"/>
        <v>0</v>
      </c>
      <c r="L311" s="357"/>
      <c r="M311" s="357"/>
      <c r="N311" s="357">
        <f t="shared" si="342"/>
        <v>0</v>
      </c>
      <c r="O311" s="358">
        <f t="shared" si="343"/>
        <v>0</v>
      </c>
      <c r="P311" s="359">
        <f t="shared" si="344"/>
        <v>0</v>
      </c>
      <c r="Q311" s="321">
        <v>3</v>
      </c>
      <c r="R311" s="188">
        <f t="shared" si="345"/>
        <v>0</v>
      </c>
      <c r="S311" s="188"/>
      <c r="T311" s="188"/>
      <c r="U311" s="357">
        <f t="shared" si="346"/>
        <v>0</v>
      </c>
      <c r="V311" s="188"/>
      <c r="W311" s="188"/>
      <c r="X311" s="357">
        <f t="shared" si="347"/>
        <v>0</v>
      </c>
      <c r="Y311" s="358">
        <f t="shared" si="348"/>
        <v>0</v>
      </c>
      <c r="Z311" s="184"/>
    </row>
    <row r="312" spans="1:26" hidden="1">
      <c r="A312" s="187">
        <v>3</v>
      </c>
      <c r="B312" s="328" t="s">
        <v>366</v>
      </c>
      <c r="C312" s="191" t="s">
        <v>279</v>
      </c>
      <c r="D312" s="309">
        <v>3</v>
      </c>
      <c r="E312" s="308" t="s">
        <v>146</v>
      </c>
      <c r="F312" s="341">
        <v>50</v>
      </c>
      <c r="G312" s="355">
        <f t="shared" si="339"/>
        <v>150</v>
      </c>
      <c r="H312" s="356">
        <f t="shared" si="340"/>
        <v>150</v>
      </c>
      <c r="I312" s="357"/>
      <c r="J312" s="357"/>
      <c r="K312" s="357">
        <f t="shared" si="341"/>
        <v>0</v>
      </c>
      <c r="L312" s="357"/>
      <c r="M312" s="357"/>
      <c r="N312" s="357">
        <f t="shared" si="342"/>
        <v>0</v>
      </c>
      <c r="O312" s="358">
        <f t="shared" si="343"/>
        <v>150</v>
      </c>
      <c r="P312" s="359">
        <f t="shared" si="344"/>
        <v>21.551724137931036</v>
      </c>
      <c r="Q312" s="321">
        <v>1</v>
      </c>
      <c r="R312" s="188">
        <f t="shared" si="345"/>
        <v>21.551724137931036</v>
      </c>
      <c r="S312" s="188"/>
      <c r="T312" s="188"/>
      <c r="U312" s="357">
        <f t="shared" si="346"/>
        <v>0</v>
      </c>
      <c r="V312" s="188"/>
      <c r="W312" s="188"/>
      <c r="X312" s="357">
        <f t="shared" si="347"/>
        <v>0</v>
      </c>
      <c r="Y312" s="358">
        <f t="shared" si="348"/>
        <v>21.551724137931036</v>
      </c>
      <c r="Z312" s="184"/>
    </row>
    <row r="313" spans="1:26" hidden="1">
      <c r="A313" s="187">
        <v>3</v>
      </c>
      <c r="B313" s="328" t="s">
        <v>366</v>
      </c>
      <c r="C313" s="191" t="s">
        <v>279</v>
      </c>
      <c r="D313" s="309">
        <v>0</v>
      </c>
      <c r="E313" s="308" t="s">
        <v>146</v>
      </c>
      <c r="F313" s="341">
        <v>50</v>
      </c>
      <c r="G313" s="355">
        <f t="shared" si="339"/>
        <v>0</v>
      </c>
      <c r="H313" s="356">
        <f t="shared" si="340"/>
        <v>0</v>
      </c>
      <c r="I313" s="357"/>
      <c r="J313" s="357"/>
      <c r="K313" s="357">
        <f t="shared" si="341"/>
        <v>0</v>
      </c>
      <c r="L313" s="357"/>
      <c r="M313" s="357"/>
      <c r="N313" s="357">
        <f t="shared" si="342"/>
        <v>0</v>
      </c>
      <c r="O313" s="358">
        <f t="shared" si="343"/>
        <v>0</v>
      </c>
      <c r="P313" s="359">
        <f t="shared" si="344"/>
        <v>0</v>
      </c>
      <c r="Q313" s="321">
        <v>2</v>
      </c>
      <c r="R313" s="188">
        <f t="shared" si="345"/>
        <v>0</v>
      </c>
      <c r="S313" s="188"/>
      <c r="T313" s="188"/>
      <c r="U313" s="357">
        <f t="shared" si="346"/>
        <v>0</v>
      </c>
      <c r="V313" s="188"/>
      <c r="W313" s="188"/>
      <c r="X313" s="357">
        <f t="shared" si="347"/>
        <v>0</v>
      </c>
      <c r="Y313" s="358">
        <f t="shared" si="348"/>
        <v>0</v>
      </c>
      <c r="Z313" s="184"/>
    </row>
    <row r="314" spans="1:26" hidden="1">
      <c r="A314" s="187">
        <v>3</v>
      </c>
      <c r="B314" s="328" t="s">
        <v>366</v>
      </c>
      <c r="C314" s="191" t="s">
        <v>279</v>
      </c>
      <c r="D314" s="309">
        <v>0</v>
      </c>
      <c r="E314" s="308" t="s">
        <v>146</v>
      </c>
      <c r="F314" s="341">
        <v>50</v>
      </c>
      <c r="G314" s="355">
        <f t="shared" si="339"/>
        <v>0</v>
      </c>
      <c r="H314" s="356">
        <f t="shared" si="340"/>
        <v>0</v>
      </c>
      <c r="I314" s="357"/>
      <c r="J314" s="357"/>
      <c r="K314" s="357">
        <f t="shared" si="341"/>
        <v>0</v>
      </c>
      <c r="L314" s="357"/>
      <c r="M314" s="357"/>
      <c r="N314" s="357">
        <f t="shared" si="342"/>
        <v>0</v>
      </c>
      <c r="O314" s="358">
        <f t="shared" si="343"/>
        <v>0</v>
      </c>
      <c r="P314" s="359">
        <f t="shared" si="344"/>
        <v>0</v>
      </c>
      <c r="Q314" s="321">
        <v>3</v>
      </c>
      <c r="R314" s="188">
        <f t="shared" si="345"/>
        <v>0</v>
      </c>
      <c r="S314" s="188"/>
      <c r="T314" s="188"/>
      <c r="U314" s="357">
        <f t="shared" si="346"/>
        <v>0</v>
      </c>
      <c r="V314" s="188"/>
      <c r="W314" s="188"/>
      <c r="X314" s="357">
        <f t="shared" si="347"/>
        <v>0</v>
      </c>
      <c r="Y314" s="358">
        <f t="shared" si="348"/>
        <v>0</v>
      </c>
      <c r="Z314" s="184"/>
    </row>
    <row r="315" spans="1:26" hidden="1">
      <c r="A315" s="187">
        <v>3</v>
      </c>
      <c r="B315" s="328" t="s">
        <v>366</v>
      </c>
      <c r="C315" s="189" t="s">
        <v>280</v>
      </c>
      <c r="D315" s="182">
        <v>9</v>
      </c>
      <c r="E315" s="190" t="s">
        <v>146</v>
      </c>
      <c r="F315" s="183">
        <v>100</v>
      </c>
      <c r="G315" s="355">
        <f t="shared" si="339"/>
        <v>900</v>
      </c>
      <c r="H315" s="356">
        <f t="shared" si="340"/>
        <v>900.00000000000011</v>
      </c>
      <c r="I315" s="357"/>
      <c r="J315" s="357"/>
      <c r="K315" s="357">
        <f t="shared" si="341"/>
        <v>0</v>
      </c>
      <c r="L315" s="357"/>
      <c r="M315" s="357"/>
      <c r="N315" s="357">
        <f t="shared" si="342"/>
        <v>0</v>
      </c>
      <c r="O315" s="358">
        <f t="shared" si="343"/>
        <v>900.00000000000011</v>
      </c>
      <c r="P315" s="359">
        <f t="shared" si="344"/>
        <v>129.31034482758622</v>
      </c>
      <c r="Q315" s="321">
        <v>1</v>
      </c>
      <c r="R315" s="188">
        <f t="shared" si="345"/>
        <v>129.31034482758622</v>
      </c>
      <c r="S315" s="188"/>
      <c r="T315" s="188"/>
      <c r="U315" s="357">
        <f t="shared" si="346"/>
        <v>0</v>
      </c>
      <c r="V315" s="188"/>
      <c r="W315" s="188"/>
      <c r="X315" s="357">
        <f t="shared" si="347"/>
        <v>0</v>
      </c>
      <c r="Y315" s="358">
        <f t="shared" si="348"/>
        <v>129.31034482758622</v>
      </c>
      <c r="Z315" s="184"/>
    </row>
    <row r="316" spans="1:26" hidden="1">
      <c r="A316" s="187">
        <v>3</v>
      </c>
      <c r="B316" s="328" t="s">
        <v>366</v>
      </c>
      <c r="C316" s="189" t="s">
        <v>280</v>
      </c>
      <c r="D316" s="182">
        <v>0</v>
      </c>
      <c r="E316" s="190" t="s">
        <v>146</v>
      </c>
      <c r="F316" s="183">
        <v>100</v>
      </c>
      <c r="G316" s="355">
        <f t="shared" si="339"/>
        <v>0</v>
      </c>
      <c r="H316" s="356">
        <f t="shared" si="340"/>
        <v>0</v>
      </c>
      <c r="I316" s="357"/>
      <c r="J316" s="357"/>
      <c r="K316" s="357">
        <f t="shared" si="341"/>
        <v>0</v>
      </c>
      <c r="L316" s="357"/>
      <c r="M316" s="357"/>
      <c r="N316" s="357">
        <f t="shared" si="342"/>
        <v>0</v>
      </c>
      <c r="O316" s="358">
        <f t="shared" si="343"/>
        <v>0</v>
      </c>
      <c r="P316" s="359">
        <f t="shared" si="344"/>
        <v>0</v>
      </c>
      <c r="Q316" s="321">
        <v>2</v>
      </c>
      <c r="R316" s="188">
        <f t="shared" si="345"/>
        <v>0</v>
      </c>
      <c r="S316" s="188"/>
      <c r="T316" s="188"/>
      <c r="U316" s="357">
        <f t="shared" si="346"/>
        <v>0</v>
      </c>
      <c r="V316" s="188"/>
      <c r="W316" s="188"/>
      <c r="X316" s="357">
        <f t="shared" si="347"/>
        <v>0</v>
      </c>
      <c r="Y316" s="358">
        <f t="shared" si="348"/>
        <v>0</v>
      </c>
      <c r="Z316" s="184"/>
    </row>
    <row r="317" spans="1:26" hidden="1">
      <c r="A317" s="187">
        <v>3</v>
      </c>
      <c r="B317" s="328" t="s">
        <v>366</v>
      </c>
      <c r="C317" s="189" t="s">
        <v>280</v>
      </c>
      <c r="D317" s="182">
        <v>0</v>
      </c>
      <c r="E317" s="190" t="s">
        <v>146</v>
      </c>
      <c r="F317" s="183">
        <v>100</v>
      </c>
      <c r="G317" s="355">
        <f t="shared" si="339"/>
        <v>0</v>
      </c>
      <c r="H317" s="356">
        <f t="shared" si="340"/>
        <v>0</v>
      </c>
      <c r="I317" s="357"/>
      <c r="J317" s="357"/>
      <c r="K317" s="357">
        <f t="shared" si="341"/>
        <v>0</v>
      </c>
      <c r="L317" s="357"/>
      <c r="M317" s="357"/>
      <c r="N317" s="357">
        <f t="shared" si="342"/>
        <v>0</v>
      </c>
      <c r="O317" s="358">
        <f t="shared" si="343"/>
        <v>0</v>
      </c>
      <c r="P317" s="359">
        <f t="shared" si="344"/>
        <v>0</v>
      </c>
      <c r="Q317" s="321">
        <v>3</v>
      </c>
      <c r="R317" s="188">
        <f t="shared" si="345"/>
        <v>0</v>
      </c>
      <c r="S317" s="188"/>
      <c r="T317" s="188"/>
      <c r="U317" s="357">
        <f t="shared" si="346"/>
        <v>0</v>
      </c>
      <c r="V317" s="188"/>
      <c r="W317" s="188"/>
      <c r="X317" s="357">
        <f t="shared" si="347"/>
        <v>0</v>
      </c>
      <c r="Y317" s="358">
        <f t="shared" si="348"/>
        <v>0</v>
      </c>
      <c r="Z317" s="184"/>
    </row>
    <row r="318" spans="1:26" hidden="1">
      <c r="A318" s="219" t="s">
        <v>247</v>
      </c>
      <c r="B318" s="326"/>
      <c r="C318" s="218"/>
      <c r="D318" s="179"/>
      <c r="E318" s="179"/>
      <c r="F318" s="180"/>
      <c r="G318" s="207">
        <f t="shared" ref="G318:P318" si="349">SUM(G319:G324)</f>
        <v>25800</v>
      </c>
      <c r="H318" s="352">
        <f t="shared" si="349"/>
        <v>25800</v>
      </c>
      <c r="I318" s="353">
        <f t="shared" si="349"/>
        <v>0</v>
      </c>
      <c r="J318" s="353">
        <f t="shared" si="349"/>
        <v>0</v>
      </c>
      <c r="K318" s="353">
        <f t="shared" si="349"/>
        <v>0</v>
      </c>
      <c r="L318" s="353">
        <f t="shared" si="349"/>
        <v>0</v>
      </c>
      <c r="M318" s="353">
        <f t="shared" si="349"/>
        <v>0</v>
      </c>
      <c r="N318" s="353">
        <f t="shared" si="349"/>
        <v>0</v>
      </c>
      <c r="O318" s="354">
        <f t="shared" si="349"/>
        <v>25800</v>
      </c>
      <c r="P318" s="352">
        <f t="shared" si="349"/>
        <v>3706.8965517241381</v>
      </c>
      <c r="Q318" s="320"/>
      <c r="R318" s="181">
        <f t="shared" ref="R318:Y318" si="350">SUM(R319:R324)</f>
        <v>3706.8965517241381</v>
      </c>
      <c r="S318" s="181">
        <f t="shared" si="350"/>
        <v>0</v>
      </c>
      <c r="T318" s="181">
        <f t="shared" si="350"/>
        <v>0</v>
      </c>
      <c r="U318" s="353">
        <f t="shared" si="350"/>
        <v>0</v>
      </c>
      <c r="V318" s="181">
        <f t="shared" si="350"/>
        <v>0</v>
      </c>
      <c r="W318" s="181">
        <f t="shared" si="350"/>
        <v>0</v>
      </c>
      <c r="X318" s="353">
        <f t="shared" si="350"/>
        <v>0</v>
      </c>
      <c r="Y318" s="354">
        <f t="shared" si="350"/>
        <v>3706.8965517241381</v>
      </c>
      <c r="Z318" s="184">
        <f t="shared" ref="Z318:Z381" si="351">P318-Y318</f>
        <v>0</v>
      </c>
    </row>
    <row r="319" spans="1:26" hidden="1">
      <c r="A319" s="187">
        <v>3</v>
      </c>
      <c r="B319" s="328" t="s">
        <v>247</v>
      </c>
      <c r="C319" s="189" t="s">
        <v>246</v>
      </c>
      <c r="D319" s="286">
        <v>4</v>
      </c>
      <c r="E319" s="190" t="s">
        <v>248</v>
      </c>
      <c r="F319" s="339">
        <v>6000</v>
      </c>
      <c r="G319" s="355">
        <f t="shared" ref="G319:G324" si="352">D319*F319</f>
        <v>24000</v>
      </c>
      <c r="H319" s="356">
        <f t="shared" ref="H319:H324" si="353">R319*$Y$4</f>
        <v>24000</v>
      </c>
      <c r="I319" s="357"/>
      <c r="J319" s="357"/>
      <c r="K319" s="357">
        <f t="shared" ref="K319:K324" si="354">I319+J319</f>
        <v>0</v>
      </c>
      <c r="L319" s="357"/>
      <c r="M319" s="357"/>
      <c r="N319" s="357">
        <f t="shared" ref="N319:N324" si="355">L319+M319</f>
        <v>0</v>
      </c>
      <c r="O319" s="358">
        <f t="shared" ref="O319:O324" si="356">H319+K319+N319</f>
        <v>24000</v>
      </c>
      <c r="P319" s="359">
        <f t="shared" ref="P319:P324" si="357">G319/$Y$4</f>
        <v>3448.2758620689656</v>
      </c>
      <c r="Q319" s="321">
        <v>1</v>
      </c>
      <c r="R319" s="188">
        <f t="shared" ref="R319:R323" si="358">P319</f>
        <v>3448.2758620689656</v>
      </c>
      <c r="S319" s="188"/>
      <c r="T319" s="188"/>
      <c r="U319" s="357">
        <f t="shared" ref="U319:U324" si="359">S319+T319</f>
        <v>0</v>
      </c>
      <c r="V319" s="188"/>
      <c r="W319" s="188"/>
      <c r="X319" s="357">
        <f t="shared" ref="X319:X324" si="360">V319+W319</f>
        <v>0</v>
      </c>
      <c r="Y319" s="358">
        <f t="shared" ref="Y319:Y324" si="361">R319+U319+X319</f>
        <v>3448.2758620689656</v>
      </c>
      <c r="Z319" s="184">
        <f t="shared" si="351"/>
        <v>0</v>
      </c>
    </row>
    <row r="320" spans="1:26" hidden="1">
      <c r="A320" s="187">
        <v>3</v>
      </c>
      <c r="B320" s="328" t="s">
        <v>247</v>
      </c>
      <c r="C320" s="189" t="s">
        <v>246</v>
      </c>
      <c r="D320" s="286">
        <v>0</v>
      </c>
      <c r="E320" s="190" t="s">
        <v>248</v>
      </c>
      <c r="F320" s="339">
        <v>6000</v>
      </c>
      <c r="G320" s="355">
        <f t="shared" si="352"/>
        <v>0</v>
      </c>
      <c r="H320" s="356">
        <f t="shared" si="353"/>
        <v>0</v>
      </c>
      <c r="I320" s="357"/>
      <c r="J320" s="357"/>
      <c r="K320" s="357">
        <f t="shared" si="354"/>
        <v>0</v>
      </c>
      <c r="L320" s="357"/>
      <c r="M320" s="357"/>
      <c r="N320" s="357">
        <f t="shared" si="355"/>
        <v>0</v>
      </c>
      <c r="O320" s="358">
        <f t="shared" si="356"/>
        <v>0</v>
      </c>
      <c r="P320" s="359">
        <f t="shared" si="357"/>
        <v>0</v>
      </c>
      <c r="Q320" s="321">
        <v>2</v>
      </c>
      <c r="R320" s="331">
        <f t="shared" si="358"/>
        <v>0</v>
      </c>
      <c r="S320" s="188"/>
      <c r="T320" s="188"/>
      <c r="U320" s="357">
        <f t="shared" si="359"/>
        <v>0</v>
      </c>
      <c r="V320" s="188"/>
      <c r="W320" s="188"/>
      <c r="X320" s="357">
        <f t="shared" si="360"/>
        <v>0</v>
      </c>
      <c r="Y320" s="358">
        <f t="shared" si="361"/>
        <v>0</v>
      </c>
      <c r="Z320" s="184">
        <f t="shared" si="351"/>
        <v>0</v>
      </c>
    </row>
    <row r="321" spans="1:26" hidden="1">
      <c r="A321" s="187">
        <v>3</v>
      </c>
      <c r="B321" s="328" t="s">
        <v>247</v>
      </c>
      <c r="C321" s="189" t="s">
        <v>246</v>
      </c>
      <c r="D321" s="286">
        <v>0</v>
      </c>
      <c r="E321" s="190" t="s">
        <v>248</v>
      </c>
      <c r="F321" s="339">
        <v>6000</v>
      </c>
      <c r="G321" s="355">
        <f t="shared" si="352"/>
        <v>0</v>
      </c>
      <c r="H321" s="356">
        <f t="shared" si="353"/>
        <v>0</v>
      </c>
      <c r="I321" s="357"/>
      <c r="J321" s="357"/>
      <c r="K321" s="357">
        <f t="shared" si="354"/>
        <v>0</v>
      </c>
      <c r="L321" s="357"/>
      <c r="M321" s="357"/>
      <c r="N321" s="357">
        <f t="shared" si="355"/>
        <v>0</v>
      </c>
      <c r="O321" s="358">
        <f t="shared" si="356"/>
        <v>0</v>
      </c>
      <c r="P321" s="359">
        <f t="shared" si="357"/>
        <v>0</v>
      </c>
      <c r="Q321" s="321">
        <v>3</v>
      </c>
      <c r="R321" s="188">
        <f t="shared" si="358"/>
        <v>0</v>
      </c>
      <c r="S321" s="188"/>
      <c r="T321" s="188"/>
      <c r="U321" s="357">
        <f t="shared" si="359"/>
        <v>0</v>
      </c>
      <c r="V321" s="188"/>
      <c r="W321" s="188"/>
      <c r="X321" s="357">
        <f t="shared" si="360"/>
        <v>0</v>
      </c>
      <c r="Y321" s="358">
        <f t="shared" si="361"/>
        <v>0</v>
      </c>
      <c r="Z321" s="184">
        <f t="shared" si="351"/>
        <v>0</v>
      </c>
    </row>
    <row r="322" spans="1:26" hidden="1">
      <c r="A322" s="187">
        <v>3</v>
      </c>
      <c r="B322" s="328" t="s">
        <v>247</v>
      </c>
      <c r="C322" s="312" t="s">
        <v>290</v>
      </c>
      <c r="D322" s="286">
        <v>12</v>
      </c>
      <c r="E322" s="190" t="s">
        <v>249</v>
      </c>
      <c r="F322" s="339">
        <v>150</v>
      </c>
      <c r="G322" s="355">
        <f t="shared" si="352"/>
        <v>1800</v>
      </c>
      <c r="H322" s="356">
        <f t="shared" si="353"/>
        <v>1800.0000000000002</v>
      </c>
      <c r="I322" s="357"/>
      <c r="J322" s="357"/>
      <c r="K322" s="357">
        <f t="shared" si="354"/>
        <v>0</v>
      </c>
      <c r="L322" s="357"/>
      <c r="M322" s="357"/>
      <c r="N322" s="357">
        <f t="shared" si="355"/>
        <v>0</v>
      </c>
      <c r="O322" s="358">
        <f t="shared" si="356"/>
        <v>1800.0000000000002</v>
      </c>
      <c r="P322" s="359">
        <f t="shared" si="357"/>
        <v>258.62068965517244</v>
      </c>
      <c r="Q322" s="321">
        <v>1</v>
      </c>
      <c r="R322" s="188">
        <f t="shared" si="358"/>
        <v>258.62068965517244</v>
      </c>
      <c r="S322" s="188"/>
      <c r="T322" s="188"/>
      <c r="U322" s="357">
        <f t="shared" si="359"/>
        <v>0</v>
      </c>
      <c r="V322" s="188"/>
      <c r="W322" s="188"/>
      <c r="X322" s="357">
        <f t="shared" si="360"/>
        <v>0</v>
      </c>
      <c r="Y322" s="358">
        <f t="shared" si="361"/>
        <v>258.62068965517244</v>
      </c>
      <c r="Z322" s="184">
        <f t="shared" si="351"/>
        <v>0</v>
      </c>
    </row>
    <row r="323" spans="1:26" hidden="1">
      <c r="A323" s="187">
        <v>3</v>
      </c>
      <c r="B323" s="328" t="s">
        <v>247</v>
      </c>
      <c r="C323" s="312" t="s">
        <v>290</v>
      </c>
      <c r="D323" s="286">
        <v>0</v>
      </c>
      <c r="E323" s="190" t="s">
        <v>249</v>
      </c>
      <c r="F323" s="339">
        <v>150</v>
      </c>
      <c r="G323" s="355">
        <f t="shared" si="352"/>
        <v>0</v>
      </c>
      <c r="H323" s="356">
        <f t="shared" si="353"/>
        <v>0</v>
      </c>
      <c r="I323" s="357"/>
      <c r="J323" s="357"/>
      <c r="K323" s="357">
        <f t="shared" si="354"/>
        <v>0</v>
      </c>
      <c r="L323" s="357"/>
      <c r="M323" s="357"/>
      <c r="N323" s="357">
        <f t="shared" si="355"/>
        <v>0</v>
      </c>
      <c r="O323" s="358">
        <f t="shared" si="356"/>
        <v>0</v>
      </c>
      <c r="P323" s="359">
        <f t="shared" si="357"/>
        <v>0</v>
      </c>
      <c r="Q323" s="321">
        <v>2</v>
      </c>
      <c r="R323" s="188">
        <f t="shared" si="358"/>
        <v>0</v>
      </c>
      <c r="S323" s="188"/>
      <c r="T323" s="188"/>
      <c r="U323" s="357">
        <f t="shared" si="359"/>
        <v>0</v>
      </c>
      <c r="V323" s="188"/>
      <c r="W323" s="188"/>
      <c r="X323" s="357">
        <f t="shared" si="360"/>
        <v>0</v>
      </c>
      <c r="Y323" s="358">
        <f t="shared" si="361"/>
        <v>0</v>
      </c>
      <c r="Z323" s="184">
        <f t="shared" si="351"/>
        <v>0</v>
      </c>
    </row>
    <row r="324" spans="1:26" hidden="1">
      <c r="A324" s="187">
        <v>3</v>
      </c>
      <c r="B324" s="328" t="s">
        <v>247</v>
      </c>
      <c r="C324" s="312" t="s">
        <v>290</v>
      </c>
      <c r="D324" s="286">
        <v>0</v>
      </c>
      <c r="E324" s="190" t="s">
        <v>249</v>
      </c>
      <c r="F324" s="339">
        <v>150</v>
      </c>
      <c r="G324" s="355">
        <f t="shared" si="352"/>
        <v>0</v>
      </c>
      <c r="H324" s="356">
        <f t="shared" si="353"/>
        <v>0</v>
      </c>
      <c r="I324" s="357"/>
      <c r="J324" s="357"/>
      <c r="K324" s="357">
        <f t="shared" si="354"/>
        <v>0</v>
      </c>
      <c r="L324" s="357"/>
      <c r="M324" s="357"/>
      <c r="N324" s="357">
        <f t="shared" si="355"/>
        <v>0</v>
      </c>
      <c r="O324" s="358">
        <f t="shared" si="356"/>
        <v>0</v>
      </c>
      <c r="P324" s="359">
        <f t="shared" si="357"/>
        <v>0</v>
      </c>
      <c r="Q324" s="321">
        <v>3</v>
      </c>
      <c r="R324" s="188">
        <f>P324</f>
        <v>0</v>
      </c>
      <c r="S324" s="188"/>
      <c r="T324" s="188"/>
      <c r="U324" s="357">
        <f t="shared" si="359"/>
        <v>0</v>
      </c>
      <c r="V324" s="188"/>
      <c r="W324" s="188"/>
      <c r="X324" s="357">
        <f t="shared" si="360"/>
        <v>0</v>
      </c>
      <c r="Y324" s="358">
        <f t="shared" si="361"/>
        <v>0</v>
      </c>
      <c r="Z324" s="184">
        <f t="shared" si="351"/>
        <v>0</v>
      </c>
    </row>
    <row r="325" spans="1:26" hidden="1">
      <c r="A325" s="219" t="s">
        <v>224</v>
      </c>
      <c r="B325" s="326"/>
      <c r="C325" s="218"/>
      <c r="D325" s="179"/>
      <c r="E325" s="179"/>
      <c r="F325" s="180"/>
      <c r="G325" s="207">
        <f t="shared" ref="G325:P325" si="362">SUM(G326:G352)</f>
        <v>66800</v>
      </c>
      <c r="H325" s="352">
        <f t="shared" si="362"/>
        <v>66800</v>
      </c>
      <c r="I325" s="353">
        <f t="shared" si="362"/>
        <v>0</v>
      </c>
      <c r="J325" s="353">
        <f t="shared" si="362"/>
        <v>0</v>
      </c>
      <c r="K325" s="353">
        <f t="shared" si="362"/>
        <v>0</v>
      </c>
      <c r="L325" s="353">
        <f t="shared" si="362"/>
        <v>0</v>
      </c>
      <c r="M325" s="353">
        <f t="shared" si="362"/>
        <v>0</v>
      </c>
      <c r="N325" s="353">
        <f t="shared" si="362"/>
        <v>0</v>
      </c>
      <c r="O325" s="354">
        <f t="shared" si="362"/>
        <v>66800</v>
      </c>
      <c r="P325" s="352">
        <f t="shared" si="362"/>
        <v>9597.7011494252893</v>
      </c>
      <c r="Q325" s="320"/>
      <c r="R325" s="181">
        <f t="shared" ref="R325:Y325" si="363">SUM(R326:R352)</f>
        <v>9597.7011494252893</v>
      </c>
      <c r="S325" s="181">
        <f t="shared" si="363"/>
        <v>0</v>
      </c>
      <c r="T325" s="181">
        <f t="shared" si="363"/>
        <v>0</v>
      </c>
      <c r="U325" s="353">
        <f t="shared" si="363"/>
        <v>0</v>
      </c>
      <c r="V325" s="181">
        <f t="shared" si="363"/>
        <v>0</v>
      </c>
      <c r="W325" s="181">
        <f t="shared" si="363"/>
        <v>0</v>
      </c>
      <c r="X325" s="353">
        <f t="shared" si="363"/>
        <v>0</v>
      </c>
      <c r="Y325" s="354">
        <f t="shared" si="363"/>
        <v>9597.7011494252893</v>
      </c>
      <c r="Z325" s="184">
        <f t="shared" si="351"/>
        <v>0</v>
      </c>
    </row>
    <row r="326" spans="1:26" ht="25.5" hidden="1">
      <c r="A326" s="187">
        <v>3</v>
      </c>
      <c r="B326" s="328" t="s">
        <v>224</v>
      </c>
      <c r="C326" s="189" t="s">
        <v>149</v>
      </c>
      <c r="D326" s="286">
        <v>1</v>
      </c>
      <c r="E326" s="190" t="s">
        <v>150</v>
      </c>
      <c r="F326" s="339">
        <v>5000</v>
      </c>
      <c r="G326" s="355">
        <f t="shared" ref="G326:G352" si="364">D326*F326</f>
        <v>5000</v>
      </c>
      <c r="H326" s="356">
        <f t="shared" ref="H326:H352" si="365">R326*$Y$4</f>
        <v>5000</v>
      </c>
      <c r="I326" s="357"/>
      <c r="J326" s="357"/>
      <c r="K326" s="357">
        <f t="shared" ref="K326:K352" si="366">I326+J326</f>
        <v>0</v>
      </c>
      <c r="L326" s="357"/>
      <c r="M326" s="357"/>
      <c r="N326" s="357">
        <f t="shared" ref="N326:N352" si="367">L326+M326</f>
        <v>0</v>
      </c>
      <c r="O326" s="358">
        <f t="shared" ref="O326:O352" si="368">H326+K326+N326</f>
        <v>5000</v>
      </c>
      <c r="P326" s="359">
        <f>G326/$Y$4</f>
        <v>718.39080459770116</v>
      </c>
      <c r="Q326" s="321">
        <v>1</v>
      </c>
      <c r="R326" s="188">
        <f t="shared" ref="R326:R352" si="369">P326</f>
        <v>718.39080459770116</v>
      </c>
      <c r="S326" s="188"/>
      <c r="T326" s="188"/>
      <c r="U326" s="357">
        <f t="shared" ref="U326:U352" si="370">S326+T326</f>
        <v>0</v>
      </c>
      <c r="V326" s="188"/>
      <c r="W326" s="188"/>
      <c r="X326" s="357">
        <f t="shared" ref="X326:X352" si="371">V326+W326</f>
        <v>0</v>
      </c>
      <c r="Y326" s="358">
        <f t="shared" ref="Y326:Y352" si="372">R326+U326+X326</f>
        <v>718.39080459770116</v>
      </c>
      <c r="Z326" s="184">
        <f t="shared" si="351"/>
        <v>0</v>
      </c>
    </row>
    <row r="327" spans="1:26" ht="25.5">
      <c r="A327" s="187">
        <v>3</v>
      </c>
      <c r="B327" s="328" t="s">
        <v>224</v>
      </c>
      <c r="C327" s="189" t="s">
        <v>149</v>
      </c>
      <c r="D327" s="286">
        <v>1</v>
      </c>
      <c r="E327" s="190" t="s">
        <v>150</v>
      </c>
      <c r="F327" s="339">
        <v>5000</v>
      </c>
      <c r="G327" s="355">
        <f t="shared" si="364"/>
        <v>5000</v>
      </c>
      <c r="H327" s="356">
        <f t="shared" si="365"/>
        <v>5000</v>
      </c>
      <c r="I327" s="357"/>
      <c r="J327" s="357"/>
      <c r="K327" s="357">
        <f t="shared" si="366"/>
        <v>0</v>
      </c>
      <c r="L327" s="357"/>
      <c r="M327" s="357"/>
      <c r="N327" s="357">
        <f t="shared" si="367"/>
        <v>0</v>
      </c>
      <c r="O327" s="358">
        <f t="shared" si="368"/>
        <v>5000</v>
      </c>
      <c r="P327" s="359">
        <f t="shared" ref="P327:P328" si="373">G327/$Y$4</f>
        <v>718.39080459770116</v>
      </c>
      <c r="Q327" s="321">
        <v>2</v>
      </c>
      <c r="R327" s="188">
        <f t="shared" si="369"/>
        <v>718.39080459770116</v>
      </c>
      <c r="S327" s="188"/>
      <c r="T327" s="188"/>
      <c r="U327" s="357">
        <f t="shared" si="370"/>
        <v>0</v>
      </c>
      <c r="V327" s="188"/>
      <c r="W327" s="188"/>
      <c r="X327" s="357">
        <f t="shared" si="371"/>
        <v>0</v>
      </c>
      <c r="Y327" s="358">
        <f t="shared" si="372"/>
        <v>718.39080459770116</v>
      </c>
      <c r="Z327" s="184">
        <f t="shared" si="351"/>
        <v>0</v>
      </c>
    </row>
    <row r="328" spans="1:26" ht="25.5" hidden="1">
      <c r="A328" s="187">
        <v>3</v>
      </c>
      <c r="B328" s="328" t="s">
        <v>224</v>
      </c>
      <c r="C328" s="189" t="s">
        <v>149</v>
      </c>
      <c r="D328" s="286">
        <v>0</v>
      </c>
      <c r="E328" s="190" t="s">
        <v>150</v>
      </c>
      <c r="F328" s="339">
        <v>5000</v>
      </c>
      <c r="G328" s="355">
        <f t="shared" si="364"/>
        <v>0</v>
      </c>
      <c r="H328" s="356">
        <f t="shared" si="365"/>
        <v>0</v>
      </c>
      <c r="I328" s="357"/>
      <c r="J328" s="357"/>
      <c r="K328" s="357">
        <f t="shared" si="366"/>
        <v>0</v>
      </c>
      <c r="L328" s="357"/>
      <c r="M328" s="357"/>
      <c r="N328" s="357">
        <f t="shared" si="367"/>
        <v>0</v>
      </c>
      <c r="O328" s="358">
        <f t="shared" si="368"/>
        <v>0</v>
      </c>
      <c r="P328" s="359">
        <f t="shared" si="373"/>
        <v>0</v>
      </c>
      <c r="Q328" s="321">
        <v>3</v>
      </c>
      <c r="R328" s="188">
        <f t="shared" si="369"/>
        <v>0</v>
      </c>
      <c r="S328" s="188"/>
      <c r="T328" s="188"/>
      <c r="U328" s="357">
        <f t="shared" si="370"/>
        <v>0</v>
      </c>
      <c r="V328" s="188"/>
      <c r="W328" s="188"/>
      <c r="X328" s="357">
        <f t="shared" si="371"/>
        <v>0</v>
      </c>
      <c r="Y328" s="358">
        <f t="shared" si="372"/>
        <v>0</v>
      </c>
      <c r="Z328" s="184">
        <f t="shared" si="351"/>
        <v>0</v>
      </c>
    </row>
    <row r="329" spans="1:26" ht="25.5" hidden="1">
      <c r="A329" s="187">
        <v>3</v>
      </c>
      <c r="B329" s="328" t="s">
        <v>224</v>
      </c>
      <c r="C329" s="189" t="s">
        <v>282</v>
      </c>
      <c r="D329" s="286">
        <f>1*20</f>
        <v>20</v>
      </c>
      <c r="E329" s="190" t="s">
        <v>134</v>
      </c>
      <c r="F329" s="339">
        <f>15*20</f>
        <v>300</v>
      </c>
      <c r="G329" s="355">
        <f t="shared" si="364"/>
        <v>6000</v>
      </c>
      <c r="H329" s="356">
        <f t="shared" si="365"/>
        <v>6000</v>
      </c>
      <c r="I329" s="357"/>
      <c r="J329" s="357"/>
      <c r="K329" s="357">
        <f t="shared" si="366"/>
        <v>0</v>
      </c>
      <c r="L329" s="357"/>
      <c r="M329" s="357"/>
      <c r="N329" s="357">
        <f t="shared" si="367"/>
        <v>0</v>
      </c>
      <c r="O329" s="358">
        <f t="shared" si="368"/>
        <v>6000</v>
      </c>
      <c r="P329" s="359">
        <f>G329/$Y$4</f>
        <v>862.06896551724139</v>
      </c>
      <c r="Q329" s="321">
        <v>1</v>
      </c>
      <c r="R329" s="188">
        <f t="shared" si="369"/>
        <v>862.06896551724139</v>
      </c>
      <c r="S329" s="188"/>
      <c r="T329" s="188"/>
      <c r="U329" s="357">
        <f t="shared" si="370"/>
        <v>0</v>
      </c>
      <c r="V329" s="188"/>
      <c r="W329" s="188"/>
      <c r="X329" s="357">
        <f t="shared" si="371"/>
        <v>0</v>
      </c>
      <c r="Y329" s="358">
        <f t="shared" si="372"/>
        <v>862.06896551724139</v>
      </c>
      <c r="Z329" s="184">
        <f t="shared" si="351"/>
        <v>0</v>
      </c>
    </row>
    <row r="330" spans="1:26" ht="25.5">
      <c r="A330" s="187">
        <v>3</v>
      </c>
      <c r="B330" s="328" t="s">
        <v>224</v>
      </c>
      <c r="C330" s="189" t="s">
        <v>282</v>
      </c>
      <c r="D330" s="286">
        <f>1*20</f>
        <v>20</v>
      </c>
      <c r="E330" s="190" t="s">
        <v>134</v>
      </c>
      <c r="F330" s="339">
        <f t="shared" ref="F330:F331" si="374">15*20</f>
        <v>300</v>
      </c>
      <c r="G330" s="355">
        <f t="shared" si="364"/>
        <v>6000</v>
      </c>
      <c r="H330" s="356">
        <f t="shared" si="365"/>
        <v>6000</v>
      </c>
      <c r="I330" s="357"/>
      <c r="J330" s="357"/>
      <c r="K330" s="357">
        <f t="shared" si="366"/>
        <v>0</v>
      </c>
      <c r="L330" s="357"/>
      <c r="M330" s="357"/>
      <c r="N330" s="357">
        <f t="shared" si="367"/>
        <v>0</v>
      </c>
      <c r="O330" s="358">
        <f t="shared" si="368"/>
        <v>6000</v>
      </c>
      <c r="P330" s="359">
        <f t="shared" ref="P330:P331" si="375">G330/$Y$4</f>
        <v>862.06896551724139</v>
      </c>
      <c r="Q330" s="321">
        <v>2</v>
      </c>
      <c r="R330" s="188">
        <f t="shared" si="369"/>
        <v>862.06896551724139</v>
      </c>
      <c r="S330" s="188"/>
      <c r="T330" s="188"/>
      <c r="U330" s="357">
        <f t="shared" si="370"/>
        <v>0</v>
      </c>
      <c r="V330" s="188"/>
      <c r="W330" s="188"/>
      <c r="X330" s="357">
        <f t="shared" si="371"/>
        <v>0</v>
      </c>
      <c r="Y330" s="358">
        <f t="shared" si="372"/>
        <v>862.06896551724139</v>
      </c>
      <c r="Z330" s="184">
        <f t="shared" si="351"/>
        <v>0</v>
      </c>
    </row>
    <row r="331" spans="1:26" ht="25.5" hidden="1">
      <c r="A331" s="187">
        <v>3</v>
      </c>
      <c r="B331" s="328" t="s">
        <v>224</v>
      </c>
      <c r="C331" s="189" t="s">
        <v>282</v>
      </c>
      <c r="D331" s="286">
        <v>0</v>
      </c>
      <c r="E331" s="190" t="s">
        <v>134</v>
      </c>
      <c r="F331" s="339">
        <f t="shared" si="374"/>
        <v>300</v>
      </c>
      <c r="G331" s="355">
        <f t="shared" si="364"/>
        <v>0</v>
      </c>
      <c r="H331" s="356">
        <f t="shared" si="365"/>
        <v>0</v>
      </c>
      <c r="I331" s="357"/>
      <c r="J331" s="357"/>
      <c r="K331" s="357">
        <f t="shared" si="366"/>
        <v>0</v>
      </c>
      <c r="L331" s="357"/>
      <c r="M331" s="357"/>
      <c r="N331" s="357">
        <f t="shared" si="367"/>
        <v>0</v>
      </c>
      <c r="O331" s="358">
        <f t="shared" si="368"/>
        <v>0</v>
      </c>
      <c r="P331" s="359">
        <f t="shared" si="375"/>
        <v>0</v>
      </c>
      <c r="Q331" s="321">
        <v>3</v>
      </c>
      <c r="R331" s="188">
        <f t="shared" si="369"/>
        <v>0</v>
      </c>
      <c r="S331" s="188"/>
      <c r="T331" s="188"/>
      <c r="U331" s="357">
        <f t="shared" si="370"/>
        <v>0</v>
      </c>
      <c r="V331" s="188"/>
      <c r="W331" s="188"/>
      <c r="X331" s="357">
        <f t="shared" si="371"/>
        <v>0</v>
      </c>
      <c r="Y331" s="358">
        <f t="shared" si="372"/>
        <v>0</v>
      </c>
      <c r="Z331" s="184">
        <f t="shared" si="351"/>
        <v>0</v>
      </c>
    </row>
    <row r="332" spans="1:26" ht="25.5" hidden="1">
      <c r="A332" s="187">
        <v>3</v>
      </c>
      <c r="B332" s="328" t="s">
        <v>224</v>
      </c>
      <c r="C332" s="189" t="s">
        <v>251</v>
      </c>
      <c r="D332" s="286">
        <v>40</v>
      </c>
      <c r="E332" s="190" t="s">
        <v>148</v>
      </c>
      <c r="F332" s="339">
        <v>20</v>
      </c>
      <c r="G332" s="355">
        <f t="shared" si="364"/>
        <v>800</v>
      </c>
      <c r="H332" s="356">
        <f t="shared" si="365"/>
        <v>800</v>
      </c>
      <c r="I332" s="357"/>
      <c r="J332" s="357"/>
      <c r="K332" s="357">
        <f t="shared" si="366"/>
        <v>0</v>
      </c>
      <c r="L332" s="357"/>
      <c r="M332" s="357"/>
      <c r="N332" s="357">
        <f t="shared" si="367"/>
        <v>0</v>
      </c>
      <c r="O332" s="358">
        <f t="shared" si="368"/>
        <v>800</v>
      </c>
      <c r="P332" s="359">
        <f>G332/$Y$4</f>
        <v>114.94252873563218</v>
      </c>
      <c r="Q332" s="321">
        <v>1</v>
      </c>
      <c r="R332" s="188">
        <f t="shared" si="369"/>
        <v>114.94252873563218</v>
      </c>
      <c r="S332" s="188"/>
      <c r="T332" s="188"/>
      <c r="U332" s="357">
        <f t="shared" si="370"/>
        <v>0</v>
      </c>
      <c r="V332" s="188"/>
      <c r="W332" s="188"/>
      <c r="X332" s="357">
        <f t="shared" si="371"/>
        <v>0</v>
      </c>
      <c r="Y332" s="358">
        <f t="shared" si="372"/>
        <v>114.94252873563218</v>
      </c>
      <c r="Z332" s="184">
        <f t="shared" si="351"/>
        <v>0</v>
      </c>
    </row>
    <row r="333" spans="1:26" ht="25.5" hidden="1">
      <c r="A333" s="187">
        <v>3</v>
      </c>
      <c r="B333" s="328" t="s">
        <v>224</v>
      </c>
      <c r="C333" s="189" t="s">
        <v>251</v>
      </c>
      <c r="D333" s="286">
        <v>0</v>
      </c>
      <c r="E333" s="190" t="s">
        <v>148</v>
      </c>
      <c r="F333" s="339">
        <v>20</v>
      </c>
      <c r="G333" s="355">
        <f t="shared" si="364"/>
        <v>0</v>
      </c>
      <c r="H333" s="356">
        <f t="shared" si="365"/>
        <v>0</v>
      </c>
      <c r="I333" s="357"/>
      <c r="J333" s="357"/>
      <c r="K333" s="357">
        <f t="shared" si="366"/>
        <v>0</v>
      </c>
      <c r="L333" s="357"/>
      <c r="M333" s="357"/>
      <c r="N333" s="357">
        <f t="shared" si="367"/>
        <v>0</v>
      </c>
      <c r="O333" s="358">
        <f t="shared" si="368"/>
        <v>0</v>
      </c>
      <c r="P333" s="359">
        <f t="shared" ref="P333:P334" si="376">G333/$Y$4</f>
        <v>0</v>
      </c>
      <c r="Q333" s="321">
        <v>2</v>
      </c>
      <c r="R333" s="188">
        <f t="shared" si="369"/>
        <v>0</v>
      </c>
      <c r="S333" s="188"/>
      <c r="T333" s="188"/>
      <c r="U333" s="357">
        <f t="shared" si="370"/>
        <v>0</v>
      </c>
      <c r="V333" s="188"/>
      <c r="W333" s="188"/>
      <c r="X333" s="357">
        <f t="shared" si="371"/>
        <v>0</v>
      </c>
      <c r="Y333" s="358">
        <f t="shared" si="372"/>
        <v>0</v>
      </c>
      <c r="Z333" s="184">
        <f t="shared" si="351"/>
        <v>0</v>
      </c>
    </row>
    <row r="334" spans="1:26" ht="25.5" hidden="1">
      <c r="A334" s="187">
        <v>3</v>
      </c>
      <c r="B334" s="328" t="s">
        <v>224</v>
      </c>
      <c r="C334" s="189" t="s">
        <v>251</v>
      </c>
      <c r="D334" s="286">
        <v>0</v>
      </c>
      <c r="E334" s="190" t="s">
        <v>148</v>
      </c>
      <c r="F334" s="339">
        <v>20</v>
      </c>
      <c r="G334" s="355">
        <f t="shared" si="364"/>
        <v>0</v>
      </c>
      <c r="H334" s="356">
        <f t="shared" si="365"/>
        <v>0</v>
      </c>
      <c r="I334" s="357"/>
      <c r="J334" s="357"/>
      <c r="K334" s="357">
        <f t="shared" si="366"/>
        <v>0</v>
      </c>
      <c r="L334" s="357"/>
      <c r="M334" s="357"/>
      <c r="N334" s="357">
        <f t="shared" si="367"/>
        <v>0</v>
      </c>
      <c r="O334" s="358">
        <f t="shared" si="368"/>
        <v>0</v>
      </c>
      <c r="P334" s="359">
        <f t="shared" si="376"/>
        <v>0</v>
      </c>
      <c r="Q334" s="321">
        <v>3</v>
      </c>
      <c r="R334" s="188">
        <f t="shared" si="369"/>
        <v>0</v>
      </c>
      <c r="S334" s="188"/>
      <c r="T334" s="188"/>
      <c r="U334" s="357">
        <f t="shared" si="370"/>
        <v>0</v>
      </c>
      <c r="V334" s="188"/>
      <c r="W334" s="188"/>
      <c r="X334" s="357">
        <f t="shared" si="371"/>
        <v>0</v>
      </c>
      <c r="Y334" s="358">
        <f t="shared" si="372"/>
        <v>0</v>
      </c>
      <c r="Z334" s="184">
        <f t="shared" si="351"/>
        <v>0</v>
      </c>
    </row>
    <row r="335" spans="1:26" ht="25.5" hidden="1">
      <c r="A335" s="187">
        <v>3</v>
      </c>
      <c r="B335" s="328" t="s">
        <v>224</v>
      </c>
      <c r="C335" s="194" t="s">
        <v>281</v>
      </c>
      <c r="D335" s="286">
        <f t="shared" ref="D335:D336" si="377">1*20</f>
        <v>20</v>
      </c>
      <c r="E335" s="195" t="s">
        <v>140</v>
      </c>
      <c r="F335" s="361">
        <v>500</v>
      </c>
      <c r="G335" s="355">
        <f t="shared" si="364"/>
        <v>10000</v>
      </c>
      <c r="H335" s="356">
        <f t="shared" si="365"/>
        <v>10000</v>
      </c>
      <c r="I335" s="357"/>
      <c r="J335" s="357"/>
      <c r="K335" s="357">
        <f t="shared" si="366"/>
        <v>0</v>
      </c>
      <c r="L335" s="357"/>
      <c r="M335" s="357"/>
      <c r="N335" s="357">
        <f t="shared" si="367"/>
        <v>0</v>
      </c>
      <c r="O335" s="358">
        <f t="shared" si="368"/>
        <v>10000</v>
      </c>
      <c r="P335" s="359">
        <f>G335/$Y$4</f>
        <v>1436.7816091954023</v>
      </c>
      <c r="Q335" s="321">
        <v>1</v>
      </c>
      <c r="R335" s="188">
        <f t="shared" si="369"/>
        <v>1436.7816091954023</v>
      </c>
      <c r="S335" s="188"/>
      <c r="T335" s="188"/>
      <c r="U335" s="357">
        <f t="shared" si="370"/>
        <v>0</v>
      </c>
      <c r="V335" s="188"/>
      <c r="W335" s="188"/>
      <c r="X335" s="357">
        <f t="shared" si="371"/>
        <v>0</v>
      </c>
      <c r="Y335" s="358">
        <f t="shared" si="372"/>
        <v>1436.7816091954023</v>
      </c>
      <c r="Z335" s="184">
        <f t="shared" si="351"/>
        <v>0</v>
      </c>
    </row>
    <row r="336" spans="1:26" ht="25.5">
      <c r="A336" s="187">
        <v>3</v>
      </c>
      <c r="B336" s="328" t="s">
        <v>224</v>
      </c>
      <c r="C336" s="194" t="s">
        <v>281</v>
      </c>
      <c r="D336" s="286">
        <f t="shared" si="377"/>
        <v>20</v>
      </c>
      <c r="E336" s="195" t="s">
        <v>140</v>
      </c>
      <c r="F336" s="361">
        <v>500</v>
      </c>
      <c r="G336" s="355">
        <f t="shared" si="364"/>
        <v>10000</v>
      </c>
      <c r="H336" s="356">
        <f t="shared" si="365"/>
        <v>10000</v>
      </c>
      <c r="I336" s="357"/>
      <c r="J336" s="357"/>
      <c r="K336" s="357">
        <f t="shared" si="366"/>
        <v>0</v>
      </c>
      <c r="L336" s="357"/>
      <c r="M336" s="357"/>
      <c r="N336" s="357">
        <f t="shared" si="367"/>
        <v>0</v>
      </c>
      <c r="O336" s="358">
        <f t="shared" si="368"/>
        <v>10000</v>
      </c>
      <c r="P336" s="359">
        <f t="shared" ref="P336:P337" si="378">G336/$Y$4</f>
        <v>1436.7816091954023</v>
      </c>
      <c r="Q336" s="321">
        <v>2</v>
      </c>
      <c r="R336" s="188">
        <f t="shared" si="369"/>
        <v>1436.7816091954023</v>
      </c>
      <c r="S336" s="188"/>
      <c r="T336" s="188"/>
      <c r="U336" s="357">
        <f t="shared" si="370"/>
        <v>0</v>
      </c>
      <c r="V336" s="188"/>
      <c r="W336" s="188"/>
      <c r="X336" s="357">
        <f t="shared" si="371"/>
        <v>0</v>
      </c>
      <c r="Y336" s="358">
        <f t="shared" si="372"/>
        <v>1436.7816091954023</v>
      </c>
      <c r="Z336" s="184">
        <f t="shared" si="351"/>
        <v>0</v>
      </c>
    </row>
    <row r="337" spans="1:26" ht="25.5" hidden="1">
      <c r="A337" s="187">
        <v>3</v>
      </c>
      <c r="B337" s="328" t="s">
        <v>224</v>
      </c>
      <c r="C337" s="194" t="s">
        <v>281</v>
      </c>
      <c r="D337" s="286">
        <v>0</v>
      </c>
      <c r="E337" s="195" t="s">
        <v>140</v>
      </c>
      <c r="F337" s="361">
        <v>500</v>
      </c>
      <c r="G337" s="355">
        <f t="shared" si="364"/>
        <v>0</v>
      </c>
      <c r="H337" s="356">
        <f t="shared" si="365"/>
        <v>0</v>
      </c>
      <c r="I337" s="357"/>
      <c r="J337" s="357"/>
      <c r="K337" s="357">
        <f t="shared" si="366"/>
        <v>0</v>
      </c>
      <c r="L337" s="357"/>
      <c r="M337" s="357"/>
      <c r="N337" s="357">
        <f t="shared" si="367"/>
        <v>0</v>
      </c>
      <c r="O337" s="358">
        <f t="shared" si="368"/>
        <v>0</v>
      </c>
      <c r="P337" s="359">
        <f t="shared" si="378"/>
        <v>0</v>
      </c>
      <c r="Q337" s="321">
        <v>3</v>
      </c>
      <c r="R337" s="188">
        <f t="shared" si="369"/>
        <v>0</v>
      </c>
      <c r="S337" s="188"/>
      <c r="T337" s="188"/>
      <c r="U337" s="357">
        <f t="shared" si="370"/>
        <v>0</v>
      </c>
      <c r="V337" s="188"/>
      <c r="W337" s="188"/>
      <c r="X337" s="357">
        <f t="shared" si="371"/>
        <v>0</v>
      </c>
      <c r="Y337" s="358">
        <f t="shared" si="372"/>
        <v>0</v>
      </c>
      <c r="Z337" s="184">
        <f t="shared" si="351"/>
        <v>0</v>
      </c>
    </row>
    <row r="338" spans="1:26" ht="25.5" hidden="1">
      <c r="A338" s="187">
        <v>3</v>
      </c>
      <c r="B338" s="328" t="s">
        <v>224</v>
      </c>
      <c r="C338" s="189" t="s">
        <v>283</v>
      </c>
      <c r="D338" s="286">
        <f>12*1</f>
        <v>12</v>
      </c>
      <c r="E338" s="190" t="s">
        <v>134</v>
      </c>
      <c r="F338" s="339">
        <f>15*20</f>
        <v>300</v>
      </c>
      <c r="G338" s="355">
        <f t="shared" si="364"/>
        <v>3600</v>
      </c>
      <c r="H338" s="356">
        <f t="shared" si="365"/>
        <v>3600.0000000000005</v>
      </c>
      <c r="I338" s="357"/>
      <c r="J338" s="357"/>
      <c r="K338" s="357">
        <f t="shared" si="366"/>
        <v>0</v>
      </c>
      <c r="L338" s="357"/>
      <c r="M338" s="357"/>
      <c r="N338" s="357">
        <f t="shared" si="367"/>
        <v>0</v>
      </c>
      <c r="O338" s="358">
        <f t="shared" si="368"/>
        <v>3600.0000000000005</v>
      </c>
      <c r="P338" s="359">
        <f>G338/$Y$4</f>
        <v>517.24137931034488</v>
      </c>
      <c r="Q338" s="321">
        <v>1</v>
      </c>
      <c r="R338" s="188">
        <f t="shared" si="369"/>
        <v>517.24137931034488</v>
      </c>
      <c r="S338" s="188"/>
      <c r="T338" s="188"/>
      <c r="U338" s="357">
        <f t="shared" si="370"/>
        <v>0</v>
      </c>
      <c r="V338" s="188"/>
      <c r="W338" s="188"/>
      <c r="X338" s="357">
        <f t="shared" si="371"/>
        <v>0</v>
      </c>
      <c r="Y338" s="358">
        <f t="shared" si="372"/>
        <v>517.24137931034488</v>
      </c>
      <c r="Z338" s="184">
        <f t="shared" si="351"/>
        <v>0</v>
      </c>
    </row>
    <row r="339" spans="1:26" ht="25.5">
      <c r="A339" s="187">
        <v>3</v>
      </c>
      <c r="B339" s="328" t="s">
        <v>224</v>
      </c>
      <c r="C339" s="189" t="s">
        <v>283</v>
      </c>
      <c r="D339" s="286">
        <f>12*1</f>
        <v>12</v>
      </c>
      <c r="E339" s="190" t="s">
        <v>134</v>
      </c>
      <c r="F339" s="339">
        <f t="shared" ref="F339:F340" si="379">15*20</f>
        <v>300</v>
      </c>
      <c r="G339" s="355">
        <f t="shared" si="364"/>
        <v>3600</v>
      </c>
      <c r="H339" s="356">
        <f t="shared" si="365"/>
        <v>3600.0000000000005</v>
      </c>
      <c r="I339" s="357"/>
      <c r="J339" s="357"/>
      <c r="K339" s="357">
        <f t="shared" si="366"/>
        <v>0</v>
      </c>
      <c r="L339" s="357"/>
      <c r="M339" s="357"/>
      <c r="N339" s="357">
        <f t="shared" si="367"/>
        <v>0</v>
      </c>
      <c r="O339" s="358">
        <f t="shared" si="368"/>
        <v>3600.0000000000005</v>
      </c>
      <c r="P339" s="359">
        <f t="shared" ref="P339:P340" si="380">G339/$Y$4</f>
        <v>517.24137931034488</v>
      </c>
      <c r="Q339" s="321">
        <v>2</v>
      </c>
      <c r="R339" s="188">
        <f t="shared" si="369"/>
        <v>517.24137931034488</v>
      </c>
      <c r="S339" s="188"/>
      <c r="T339" s="188"/>
      <c r="U339" s="357">
        <f t="shared" si="370"/>
        <v>0</v>
      </c>
      <c r="V339" s="188"/>
      <c r="W339" s="188"/>
      <c r="X339" s="357">
        <f t="shared" si="371"/>
        <v>0</v>
      </c>
      <c r="Y339" s="358">
        <f t="shared" si="372"/>
        <v>517.24137931034488</v>
      </c>
      <c r="Z339" s="184">
        <f t="shared" si="351"/>
        <v>0</v>
      </c>
    </row>
    <row r="340" spans="1:26" ht="25.5" hidden="1">
      <c r="A340" s="187">
        <v>3</v>
      </c>
      <c r="B340" s="328" t="s">
        <v>224</v>
      </c>
      <c r="C340" s="189" t="s">
        <v>283</v>
      </c>
      <c r="D340" s="286">
        <v>0</v>
      </c>
      <c r="E340" s="190" t="s">
        <v>134</v>
      </c>
      <c r="F340" s="339">
        <f t="shared" si="379"/>
        <v>300</v>
      </c>
      <c r="G340" s="355">
        <f t="shared" si="364"/>
        <v>0</v>
      </c>
      <c r="H340" s="356">
        <f t="shared" si="365"/>
        <v>0</v>
      </c>
      <c r="I340" s="357"/>
      <c r="J340" s="357"/>
      <c r="K340" s="357">
        <f t="shared" si="366"/>
        <v>0</v>
      </c>
      <c r="L340" s="357"/>
      <c r="M340" s="357"/>
      <c r="N340" s="357">
        <f t="shared" si="367"/>
        <v>0</v>
      </c>
      <c r="O340" s="358">
        <f t="shared" si="368"/>
        <v>0</v>
      </c>
      <c r="P340" s="359">
        <f t="shared" si="380"/>
        <v>0</v>
      </c>
      <c r="Q340" s="321">
        <v>3</v>
      </c>
      <c r="R340" s="188">
        <f t="shared" si="369"/>
        <v>0</v>
      </c>
      <c r="S340" s="188"/>
      <c r="T340" s="188"/>
      <c r="U340" s="357">
        <f t="shared" si="370"/>
        <v>0</v>
      </c>
      <c r="V340" s="188"/>
      <c r="W340" s="188"/>
      <c r="X340" s="357">
        <f t="shared" si="371"/>
        <v>0</v>
      </c>
      <c r="Y340" s="358">
        <f t="shared" si="372"/>
        <v>0</v>
      </c>
      <c r="Z340" s="184">
        <f t="shared" si="351"/>
        <v>0</v>
      </c>
    </row>
    <row r="341" spans="1:26" ht="25.5" hidden="1">
      <c r="A341" s="187">
        <v>3</v>
      </c>
      <c r="B341" s="328" t="s">
        <v>224</v>
      </c>
      <c r="C341" s="189" t="s">
        <v>252</v>
      </c>
      <c r="D341" s="286">
        <v>40</v>
      </c>
      <c r="E341" s="190" t="s">
        <v>148</v>
      </c>
      <c r="F341" s="339">
        <v>20</v>
      </c>
      <c r="G341" s="355">
        <f t="shared" si="364"/>
        <v>800</v>
      </c>
      <c r="H341" s="356">
        <f t="shared" si="365"/>
        <v>800</v>
      </c>
      <c r="I341" s="357"/>
      <c r="J341" s="357"/>
      <c r="K341" s="357">
        <f t="shared" si="366"/>
        <v>0</v>
      </c>
      <c r="L341" s="357"/>
      <c r="M341" s="357"/>
      <c r="N341" s="357">
        <f t="shared" si="367"/>
        <v>0</v>
      </c>
      <c r="O341" s="358">
        <f t="shared" si="368"/>
        <v>800</v>
      </c>
      <c r="P341" s="359">
        <f>G341/$Y$4</f>
        <v>114.94252873563218</v>
      </c>
      <c r="Q341" s="321">
        <v>1</v>
      </c>
      <c r="R341" s="188">
        <f t="shared" si="369"/>
        <v>114.94252873563218</v>
      </c>
      <c r="S341" s="188"/>
      <c r="T341" s="188"/>
      <c r="U341" s="357">
        <f t="shared" si="370"/>
        <v>0</v>
      </c>
      <c r="V341" s="188"/>
      <c r="W341" s="188"/>
      <c r="X341" s="357">
        <f t="shared" si="371"/>
        <v>0</v>
      </c>
      <c r="Y341" s="358">
        <f t="shared" si="372"/>
        <v>114.94252873563218</v>
      </c>
      <c r="Z341" s="184">
        <f t="shared" si="351"/>
        <v>0</v>
      </c>
    </row>
    <row r="342" spans="1:26" ht="25.5" hidden="1">
      <c r="A342" s="187">
        <v>3</v>
      </c>
      <c r="B342" s="328" t="s">
        <v>224</v>
      </c>
      <c r="C342" s="189" t="s">
        <v>252</v>
      </c>
      <c r="D342" s="286">
        <v>0</v>
      </c>
      <c r="E342" s="190" t="s">
        <v>148</v>
      </c>
      <c r="F342" s="339">
        <v>20</v>
      </c>
      <c r="G342" s="355">
        <f t="shared" si="364"/>
        <v>0</v>
      </c>
      <c r="H342" s="356">
        <f t="shared" si="365"/>
        <v>0</v>
      </c>
      <c r="I342" s="357"/>
      <c r="J342" s="357"/>
      <c r="K342" s="357">
        <f t="shared" si="366"/>
        <v>0</v>
      </c>
      <c r="L342" s="357"/>
      <c r="M342" s="357"/>
      <c r="N342" s="357">
        <f t="shared" si="367"/>
        <v>0</v>
      </c>
      <c r="O342" s="358">
        <f t="shared" si="368"/>
        <v>0</v>
      </c>
      <c r="P342" s="359">
        <f t="shared" ref="P342:P343" si="381">G342/$Y$4</f>
        <v>0</v>
      </c>
      <c r="Q342" s="321">
        <v>2</v>
      </c>
      <c r="R342" s="188">
        <f t="shared" si="369"/>
        <v>0</v>
      </c>
      <c r="S342" s="188"/>
      <c r="T342" s="188"/>
      <c r="U342" s="357">
        <f t="shared" si="370"/>
        <v>0</v>
      </c>
      <c r="V342" s="188"/>
      <c r="W342" s="188"/>
      <c r="X342" s="357">
        <f t="shared" si="371"/>
        <v>0</v>
      </c>
      <c r="Y342" s="358">
        <f t="shared" si="372"/>
        <v>0</v>
      </c>
      <c r="Z342" s="184">
        <f t="shared" si="351"/>
        <v>0</v>
      </c>
    </row>
    <row r="343" spans="1:26" ht="25.5" hidden="1">
      <c r="A343" s="187">
        <v>3</v>
      </c>
      <c r="B343" s="328" t="s">
        <v>224</v>
      </c>
      <c r="C343" s="189" t="s">
        <v>252</v>
      </c>
      <c r="D343" s="286">
        <v>0</v>
      </c>
      <c r="E343" s="190" t="s">
        <v>148</v>
      </c>
      <c r="F343" s="339">
        <v>20</v>
      </c>
      <c r="G343" s="355">
        <f t="shared" si="364"/>
        <v>0</v>
      </c>
      <c r="H343" s="356">
        <f t="shared" si="365"/>
        <v>0</v>
      </c>
      <c r="I343" s="357"/>
      <c r="J343" s="357"/>
      <c r="K343" s="357">
        <f t="shared" si="366"/>
        <v>0</v>
      </c>
      <c r="L343" s="357"/>
      <c r="M343" s="357"/>
      <c r="N343" s="357">
        <f t="shared" si="367"/>
        <v>0</v>
      </c>
      <c r="O343" s="358">
        <f t="shared" si="368"/>
        <v>0</v>
      </c>
      <c r="P343" s="359">
        <f t="shared" si="381"/>
        <v>0</v>
      </c>
      <c r="Q343" s="321">
        <v>3</v>
      </c>
      <c r="R343" s="188">
        <f t="shared" si="369"/>
        <v>0</v>
      </c>
      <c r="S343" s="188"/>
      <c r="T343" s="188"/>
      <c r="U343" s="357">
        <f t="shared" si="370"/>
        <v>0</v>
      </c>
      <c r="V343" s="188"/>
      <c r="W343" s="188"/>
      <c r="X343" s="357">
        <f t="shared" si="371"/>
        <v>0</v>
      </c>
      <c r="Y343" s="358">
        <f t="shared" si="372"/>
        <v>0</v>
      </c>
      <c r="Z343" s="184">
        <f t="shared" si="351"/>
        <v>0</v>
      </c>
    </row>
    <row r="344" spans="1:26" ht="25.5" hidden="1">
      <c r="A344" s="187">
        <v>3</v>
      </c>
      <c r="B344" s="328" t="s">
        <v>224</v>
      </c>
      <c r="C344" s="194" t="s">
        <v>284</v>
      </c>
      <c r="D344" s="286">
        <f>12*1</f>
        <v>12</v>
      </c>
      <c r="E344" s="195" t="s">
        <v>140</v>
      </c>
      <c r="F344" s="361">
        <v>500</v>
      </c>
      <c r="G344" s="355">
        <f t="shared" si="364"/>
        <v>6000</v>
      </c>
      <c r="H344" s="356">
        <f t="shared" si="365"/>
        <v>6000</v>
      </c>
      <c r="I344" s="357"/>
      <c r="J344" s="357"/>
      <c r="K344" s="357">
        <f t="shared" si="366"/>
        <v>0</v>
      </c>
      <c r="L344" s="357"/>
      <c r="M344" s="357"/>
      <c r="N344" s="357">
        <f t="shared" si="367"/>
        <v>0</v>
      </c>
      <c r="O344" s="358">
        <f t="shared" si="368"/>
        <v>6000</v>
      </c>
      <c r="P344" s="359">
        <f>G344/$Y$4</f>
        <v>862.06896551724139</v>
      </c>
      <c r="Q344" s="321">
        <v>1</v>
      </c>
      <c r="R344" s="188">
        <f t="shared" si="369"/>
        <v>862.06896551724139</v>
      </c>
      <c r="S344" s="188"/>
      <c r="T344" s="188"/>
      <c r="U344" s="357">
        <f t="shared" si="370"/>
        <v>0</v>
      </c>
      <c r="V344" s="188"/>
      <c r="W344" s="188"/>
      <c r="X344" s="357">
        <f t="shared" si="371"/>
        <v>0</v>
      </c>
      <c r="Y344" s="358">
        <f t="shared" si="372"/>
        <v>862.06896551724139</v>
      </c>
      <c r="Z344" s="184">
        <f t="shared" si="351"/>
        <v>0</v>
      </c>
    </row>
    <row r="345" spans="1:26" ht="25.5">
      <c r="A345" s="187">
        <v>3</v>
      </c>
      <c r="B345" s="328" t="s">
        <v>224</v>
      </c>
      <c r="C345" s="194" t="s">
        <v>284</v>
      </c>
      <c r="D345" s="286">
        <f>12*1</f>
        <v>12</v>
      </c>
      <c r="E345" s="195" t="s">
        <v>140</v>
      </c>
      <c r="F345" s="361">
        <v>500</v>
      </c>
      <c r="G345" s="355">
        <f t="shared" si="364"/>
        <v>6000</v>
      </c>
      <c r="H345" s="356">
        <f t="shared" si="365"/>
        <v>6000</v>
      </c>
      <c r="I345" s="357"/>
      <c r="J345" s="357"/>
      <c r="K345" s="357">
        <f t="shared" si="366"/>
        <v>0</v>
      </c>
      <c r="L345" s="357"/>
      <c r="M345" s="357"/>
      <c r="N345" s="357">
        <f t="shared" si="367"/>
        <v>0</v>
      </c>
      <c r="O345" s="358">
        <f t="shared" si="368"/>
        <v>6000</v>
      </c>
      <c r="P345" s="359">
        <f t="shared" ref="P345:P346" si="382">G345/$Y$4</f>
        <v>862.06896551724139</v>
      </c>
      <c r="Q345" s="321">
        <v>2</v>
      </c>
      <c r="R345" s="188">
        <f t="shared" si="369"/>
        <v>862.06896551724139</v>
      </c>
      <c r="S345" s="188"/>
      <c r="T345" s="188"/>
      <c r="U345" s="357">
        <f t="shared" si="370"/>
        <v>0</v>
      </c>
      <c r="V345" s="188"/>
      <c r="W345" s="188"/>
      <c r="X345" s="357">
        <f t="shared" si="371"/>
        <v>0</v>
      </c>
      <c r="Y345" s="358">
        <f t="shared" si="372"/>
        <v>862.06896551724139</v>
      </c>
      <c r="Z345" s="184">
        <f t="shared" si="351"/>
        <v>0</v>
      </c>
    </row>
    <row r="346" spans="1:26" ht="25.5" hidden="1">
      <c r="A346" s="187">
        <v>3</v>
      </c>
      <c r="B346" s="328" t="s">
        <v>224</v>
      </c>
      <c r="C346" s="194" t="s">
        <v>284</v>
      </c>
      <c r="D346" s="313">
        <v>0</v>
      </c>
      <c r="E346" s="195" t="s">
        <v>140</v>
      </c>
      <c r="F346" s="361">
        <v>500</v>
      </c>
      <c r="G346" s="355">
        <f t="shared" si="364"/>
        <v>0</v>
      </c>
      <c r="H346" s="356">
        <f t="shared" si="365"/>
        <v>0</v>
      </c>
      <c r="I346" s="357"/>
      <c r="J346" s="357"/>
      <c r="K346" s="357">
        <f t="shared" si="366"/>
        <v>0</v>
      </c>
      <c r="L346" s="357"/>
      <c r="M346" s="357"/>
      <c r="N346" s="357">
        <f t="shared" si="367"/>
        <v>0</v>
      </c>
      <c r="O346" s="358">
        <f t="shared" si="368"/>
        <v>0</v>
      </c>
      <c r="P346" s="359">
        <f t="shared" si="382"/>
        <v>0</v>
      </c>
      <c r="Q346" s="321">
        <v>3</v>
      </c>
      <c r="R346" s="188">
        <f t="shared" si="369"/>
        <v>0</v>
      </c>
      <c r="S346" s="188"/>
      <c r="T346" s="188"/>
      <c r="U346" s="357">
        <f t="shared" si="370"/>
        <v>0</v>
      </c>
      <c r="V346" s="188"/>
      <c r="W346" s="188"/>
      <c r="X346" s="357">
        <f t="shared" si="371"/>
        <v>0</v>
      </c>
      <c r="Y346" s="358">
        <f t="shared" si="372"/>
        <v>0</v>
      </c>
      <c r="Z346" s="184">
        <f t="shared" si="351"/>
        <v>0</v>
      </c>
    </row>
    <row r="347" spans="1:26" ht="25.5" hidden="1">
      <c r="A347" s="187">
        <v>3</v>
      </c>
      <c r="B347" s="328" t="s">
        <v>224</v>
      </c>
      <c r="C347" s="189" t="s">
        <v>151</v>
      </c>
      <c r="D347" s="286">
        <v>1</v>
      </c>
      <c r="E347" s="190" t="s">
        <v>92</v>
      </c>
      <c r="F347" s="339">
        <v>1000</v>
      </c>
      <c r="G347" s="355">
        <f t="shared" si="364"/>
        <v>1000</v>
      </c>
      <c r="H347" s="356">
        <f t="shared" si="365"/>
        <v>1000</v>
      </c>
      <c r="I347" s="357"/>
      <c r="J347" s="357"/>
      <c r="K347" s="357">
        <f t="shared" si="366"/>
        <v>0</v>
      </c>
      <c r="L347" s="357"/>
      <c r="M347" s="357"/>
      <c r="N347" s="357">
        <f t="shared" si="367"/>
        <v>0</v>
      </c>
      <c r="O347" s="358">
        <f t="shared" si="368"/>
        <v>1000</v>
      </c>
      <c r="P347" s="359">
        <f>G347/$Y$4</f>
        <v>143.67816091954023</v>
      </c>
      <c r="Q347" s="321">
        <v>1</v>
      </c>
      <c r="R347" s="188">
        <f t="shared" si="369"/>
        <v>143.67816091954023</v>
      </c>
      <c r="S347" s="188"/>
      <c r="T347" s="188"/>
      <c r="U347" s="357">
        <f t="shared" si="370"/>
        <v>0</v>
      </c>
      <c r="V347" s="188"/>
      <c r="W347" s="188"/>
      <c r="X347" s="357">
        <f t="shared" si="371"/>
        <v>0</v>
      </c>
      <c r="Y347" s="358">
        <f t="shared" si="372"/>
        <v>143.67816091954023</v>
      </c>
      <c r="Z347" s="184">
        <f t="shared" si="351"/>
        <v>0</v>
      </c>
    </row>
    <row r="348" spans="1:26" ht="25.5">
      <c r="A348" s="187">
        <v>3</v>
      </c>
      <c r="B348" s="328" t="s">
        <v>224</v>
      </c>
      <c r="C348" s="189" t="s">
        <v>151</v>
      </c>
      <c r="D348" s="286">
        <v>1</v>
      </c>
      <c r="E348" s="190" t="s">
        <v>92</v>
      </c>
      <c r="F348" s="339">
        <v>1000</v>
      </c>
      <c r="G348" s="355">
        <f t="shared" si="364"/>
        <v>1000</v>
      </c>
      <c r="H348" s="356">
        <f t="shared" si="365"/>
        <v>1000</v>
      </c>
      <c r="I348" s="357"/>
      <c r="J348" s="357"/>
      <c r="K348" s="357">
        <f t="shared" si="366"/>
        <v>0</v>
      </c>
      <c r="L348" s="357"/>
      <c r="M348" s="357"/>
      <c r="N348" s="357">
        <f t="shared" si="367"/>
        <v>0</v>
      </c>
      <c r="O348" s="358">
        <f t="shared" si="368"/>
        <v>1000</v>
      </c>
      <c r="P348" s="359">
        <f t="shared" ref="P348:P351" si="383">G348/$Y$4</f>
        <v>143.67816091954023</v>
      </c>
      <c r="Q348" s="321">
        <v>2</v>
      </c>
      <c r="R348" s="188">
        <f t="shared" si="369"/>
        <v>143.67816091954023</v>
      </c>
      <c r="S348" s="188"/>
      <c r="T348" s="188"/>
      <c r="U348" s="357">
        <f t="shared" si="370"/>
        <v>0</v>
      </c>
      <c r="V348" s="188"/>
      <c r="W348" s="188"/>
      <c r="X348" s="357">
        <f t="shared" si="371"/>
        <v>0</v>
      </c>
      <c r="Y348" s="358">
        <f t="shared" si="372"/>
        <v>143.67816091954023</v>
      </c>
      <c r="Z348" s="184">
        <f t="shared" si="351"/>
        <v>0</v>
      </c>
    </row>
    <row r="349" spans="1:26" ht="25.5" hidden="1">
      <c r="A349" s="187">
        <v>3</v>
      </c>
      <c r="B349" s="328" t="s">
        <v>224</v>
      </c>
      <c r="C349" s="189" t="s">
        <v>151</v>
      </c>
      <c r="D349" s="286">
        <v>0</v>
      </c>
      <c r="E349" s="190" t="s">
        <v>92</v>
      </c>
      <c r="F349" s="339">
        <v>1000</v>
      </c>
      <c r="G349" s="355">
        <f t="shared" si="364"/>
        <v>0</v>
      </c>
      <c r="H349" s="356">
        <f t="shared" si="365"/>
        <v>0</v>
      </c>
      <c r="I349" s="357"/>
      <c r="J349" s="357"/>
      <c r="K349" s="357">
        <f t="shared" si="366"/>
        <v>0</v>
      </c>
      <c r="L349" s="357"/>
      <c r="M349" s="357"/>
      <c r="N349" s="357">
        <f t="shared" si="367"/>
        <v>0</v>
      </c>
      <c r="O349" s="358">
        <f t="shared" si="368"/>
        <v>0</v>
      </c>
      <c r="P349" s="359">
        <f t="shared" si="383"/>
        <v>0</v>
      </c>
      <c r="Q349" s="321">
        <v>3</v>
      </c>
      <c r="R349" s="188">
        <f t="shared" si="369"/>
        <v>0</v>
      </c>
      <c r="S349" s="188"/>
      <c r="T349" s="188"/>
      <c r="U349" s="357">
        <f t="shared" si="370"/>
        <v>0</v>
      </c>
      <c r="V349" s="188"/>
      <c r="W349" s="188"/>
      <c r="X349" s="357">
        <f t="shared" si="371"/>
        <v>0</v>
      </c>
      <c r="Y349" s="358">
        <f t="shared" si="372"/>
        <v>0</v>
      </c>
      <c r="Z349" s="184">
        <f t="shared" si="351"/>
        <v>0</v>
      </c>
    </row>
    <row r="350" spans="1:26" ht="25.5" hidden="1">
      <c r="A350" s="187">
        <v>3</v>
      </c>
      <c r="B350" s="328" t="s">
        <v>224</v>
      </c>
      <c r="C350" s="189" t="s">
        <v>145</v>
      </c>
      <c r="D350" s="286">
        <v>1</v>
      </c>
      <c r="E350" s="190" t="s">
        <v>92</v>
      </c>
      <c r="F350" s="339">
        <v>1000</v>
      </c>
      <c r="G350" s="355">
        <f t="shared" si="364"/>
        <v>1000</v>
      </c>
      <c r="H350" s="356">
        <f t="shared" si="365"/>
        <v>1000</v>
      </c>
      <c r="I350" s="357"/>
      <c r="J350" s="357"/>
      <c r="K350" s="357">
        <f t="shared" si="366"/>
        <v>0</v>
      </c>
      <c r="L350" s="357"/>
      <c r="M350" s="357"/>
      <c r="N350" s="357">
        <f t="shared" si="367"/>
        <v>0</v>
      </c>
      <c r="O350" s="358">
        <f t="shared" si="368"/>
        <v>1000</v>
      </c>
      <c r="P350" s="359">
        <f t="shared" si="383"/>
        <v>143.67816091954023</v>
      </c>
      <c r="Q350" s="321">
        <v>1</v>
      </c>
      <c r="R350" s="188">
        <f t="shared" si="369"/>
        <v>143.67816091954023</v>
      </c>
      <c r="S350" s="188"/>
      <c r="T350" s="188"/>
      <c r="U350" s="357">
        <f t="shared" si="370"/>
        <v>0</v>
      </c>
      <c r="V350" s="188"/>
      <c r="W350" s="188"/>
      <c r="X350" s="357">
        <f t="shared" si="371"/>
        <v>0</v>
      </c>
      <c r="Y350" s="358">
        <f t="shared" si="372"/>
        <v>143.67816091954023</v>
      </c>
      <c r="Z350" s="184">
        <f t="shared" si="351"/>
        <v>0</v>
      </c>
    </row>
    <row r="351" spans="1:26" ht="25.5">
      <c r="A351" s="187">
        <v>3</v>
      </c>
      <c r="B351" s="328" t="s">
        <v>224</v>
      </c>
      <c r="C351" s="189" t="s">
        <v>145</v>
      </c>
      <c r="D351" s="286">
        <v>1</v>
      </c>
      <c r="E351" s="190" t="s">
        <v>92</v>
      </c>
      <c r="F351" s="339">
        <v>1000</v>
      </c>
      <c r="G351" s="355">
        <f t="shared" si="364"/>
        <v>1000</v>
      </c>
      <c r="H351" s="356">
        <f t="shared" si="365"/>
        <v>1000</v>
      </c>
      <c r="I351" s="357"/>
      <c r="J351" s="357"/>
      <c r="K351" s="357">
        <f t="shared" si="366"/>
        <v>0</v>
      </c>
      <c r="L351" s="357"/>
      <c r="M351" s="357"/>
      <c r="N351" s="357">
        <f t="shared" si="367"/>
        <v>0</v>
      </c>
      <c r="O351" s="358">
        <f t="shared" si="368"/>
        <v>1000</v>
      </c>
      <c r="P351" s="359">
        <f t="shared" si="383"/>
        <v>143.67816091954023</v>
      </c>
      <c r="Q351" s="321">
        <v>2</v>
      </c>
      <c r="R351" s="188">
        <f t="shared" si="369"/>
        <v>143.67816091954023</v>
      </c>
      <c r="S351" s="188"/>
      <c r="T351" s="188"/>
      <c r="U351" s="357">
        <f t="shared" si="370"/>
        <v>0</v>
      </c>
      <c r="V351" s="188"/>
      <c r="W351" s="188"/>
      <c r="X351" s="357">
        <f t="shared" si="371"/>
        <v>0</v>
      </c>
      <c r="Y351" s="358">
        <f t="shared" si="372"/>
        <v>143.67816091954023</v>
      </c>
      <c r="Z351" s="184">
        <f t="shared" si="351"/>
        <v>0</v>
      </c>
    </row>
    <row r="352" spans="1:26" ht="25.5" hidden="1">
      <c r="A352" s="187">
        <v>3</v>
      </c>
      <c r="B352" s="328" t="s">
        <v>224</v>
      </c>
      <c r="C352" s="189" t="s">
        <v>145</v>
      </c>
      <c r="D352" s="286">
        <v>0</v>
      </c>
      <c r="E352" s="190" t="s">
        <v>92</v>
      </c>
      <c r="F352" s="339">
        <v>1000</v>
      </c>
      <c r="G352" s="355">
        <f t="shared" si="364"/>
        <v>0</v>
      </c>
      <c r="H352" s="356">
        <f t="shared" si="365"/>
        <v>0</v>
      </c>
      <c r="I352" s="357"/>
      <c r="J352" s="357"/>
      <c r="K352" s="357">
        <f t="shared" si="366"/>
        <v>0</v>
      </c>
      <c r="L352" s="357"/>
      <c r="M352" s="357"/>
      <c r="N352" s="357">
        <f t="shared" si="367"/>
        <v>0</v>
      </c>
      <c r="O352" s="358">
        <f t="shared" si="368"/>
        <v>0</v>
      </c>
      <c r="P352" s="359">
        <f>G352/$Y$4</f>
        <v>0</v>
      </c>
      <c r="Q352" s="321">
        <v>3</v>
      </c>
      <c r="R352" s="188">
        <f t="shared" si="369"/>
        <v>0</v>
      </c>
      <c r="S352" s="188"/>
      <c r="T352" s="188"/>
      <c r="U352" s="357">
        <f t="shared" si="370"/>
        <v>0</v>
      </c>
      <c r="V352" s="188"/>
      <c r="W352" s="188"/>
      <c r="X352" s="357">
        <f t="shared" si="371"/>
        <v>0</v>
      </c>
      <c r="Y352" s="358">
        <f t="shared" si="372"/>
        <v>0</v>
      </c>
      <c r="Z352" s="184">
        <f t="shared" si="351"/>
        <v>0</v>
      </c>
    </row>
    <row r="353" spans="1:26" hidden="1">
      <c r="A353" s="219" t="s">
        <v>225</v>
      </c>
      <c r="B353" s="326"/>
      <c r="C353" s="218"/>
      <c r="D353" s="179"/>
      <c r="E353" s="179"/>
      <c r="F353" s="180"/>
      <c r="G353" s="207">
        <f t="shared" ref="G353:P353" si="384">SUM(G354:G388)</f>
        <v>86700</v>
      </c>
      <c r="H353" s="352">
        <f t="shared" si="384"/>
        <v>86700</v>
      </c>
      <c r="I353" s="353">
        <f t="shared" si="384"/>
        <v>0</v>
      </c>
      <c r="J353" s="353">
        <f t="shared" si="384"/>
        <v>0</v>
      </c>
      <c r="K353" s="353">
        <f t="shared" si="384"/>
        <v>0</v>
      </c>
      <c r="L353" s="353">
        <f t="shared" si="384"/>
        <v>0</v>
      </c>
      <c r="M353" s="353">
        <f t="shared" si="384"/>
        <v>0</v>
      </c>
      <c r="N353" s="353">
        <f t="shared" si="384"/>
        <v>0</v>
      </c>
      <c r="O353" s="354">
        <f t="shared" si="384"/>
        <v>86700</v>
      </c>
      <c r="P353" s="352">
        <f t="shared" si="384"/>
        <v>12456.896551724138</v>
      </c>
      <c r="Q353" s="320"/>
      <c r="R353" s="181">
        <f t="shared" ref="R353:Y353" si="385">SUM(R354:R388)</f>
        <v>12456.896551724138</v>
      </c>
      <c r="S353" s="181">
        <f t="shared" si="385"/>
        <v>0</v>
      </c>
      <c r="T353" s="181">
        <f t="shared" si="385"/>
        <v>0</v>
      </c>
      <c r="U353" s="353">
        <f t="shared" si="385"/>
        <v>0</v>
      </c>
      <c r="V353" s="181">
        <f t="shared" si="385"/>
        <v>0</v>
      </c>
      <c r="W353" s="181">
        <f t="shared" si="385"/>
        <v>0</v>
      </c>
      <c r="X353" s="353">
        <f t="shared" si="385"/>
        <v>0</v>
      </c>
      <c r="Y353" s="354">
        <f t="shared" si="385"/>
        <v>12456.896551724138</v>
      </c>
      <c r="Z353" s="184">
        <f t="shared" si="351"/>
        <v>0</v>
      </c>
    </row>
    <row r="354" spans="1:26" ht="25.5" hidden="1">
      <c r="A354" s="187">
        <v>3</v>
      </c>
      <c r="B354" s="328" t="s">
        <v>225</v>
      </c>
      <c r="C354" s="290" t="s">
        <v>253</v>
      </c>
      <c r="D354" s="182"/>
      <c r="E354" s="190"/>
      <c r="F354" s="183"/>
      <c r="G354" s="355"/>
      <c r="H354" s="356"/>
      <c r="I354" s="357"/>
      <c r="J354" s="357"/>
      <c r="K354" s="357"/>
      <c r="L354" s="357"/>
      <c r="M354" s="357"/>
      <c r="N354" s="357"/>
      <c r="O354" s="358"/>
      <c r="P354" s="359"/>
      <c r="Q354" s="321"/>
      <c r="R354" s="188">
        <f t="shared" ref="R354:R388" si="386">P354</f>
        <v>0</v>
      </c>
      <c r="S354" s="188"/>
      <c r="T354" s="188"/>
      <c r="U354" s="357"/>
      <c r="V354" s="188"/>
      <c r="W354" s="188"/>
      <c r="X354" s="357"/>
      <c r="Y354" s="358"/>
      <c r="Z354" s="184">
        <f t="shared" si="351"/>
        <v>0</v>
      </c>
    </row>
    <row r="355" spans="1:26" ht="25.5" hidden="1">
      <c r="A355" s="187">
        <v>3</v>
      </c>
      <c r="B355" s="328" t="s">
        <v>225</v>
      </c>
      <c r="C355" s="291" t="s">
        <v>222</v>
      </c>
      <c r="D355" s="182">
        <v>0</v>
      </c>
      <c r="E355" s="190" t="s">
        <v>80</v>
      </c>
      <c r="F355" s="183">
        <v>2500</v>
      </c>
      <c r="G355" s="355">
        <f t="shared" ref="G355:G388" si="387">D355*F355</f>
        <v>0</v>
      </c>
      <c r="H355" s="356">
        <f t="shared" ref="H355:H388" si="388">R355*$Y$4</f>
        <v>0</v>
      </c>
      <c r="I355" s="357"/>
      <c r="J355" s="357"/>
      <c r="K355" s="357">
        <f t="shared" ref="K355:K388" si="389">I355+J355</f>
        <v>0</v>
      </c>
      <c r="L355" s="357"/>
      <c r="M355" s="357"/>
      <c r="N355" s="357">
        <f t="shared" ref="N355:N388" si="390">L355+M355</f>
        <v>0</v>
      </c>
      <c r="O355" s="358">
        <f t="shared" ref="O355:O388" si="391">H355+K355+N355</f>
        <v>0</v>
      </c>
      <c r="P355" s="359">
        <f t="shared" ref="P355:P388" si="392">G355/$Y$4</f>
        <v>0</v>
      </c>
      <c r="Q355" s="321">
        <v>1</v>
      </c>
      <c r="R355" s="188">
        <f t="shared" si="386"/>
        <v>0</v>
      </c>
      <c r="S355" s="188"/>
      <c r="T355" s="188"/>
      <c r="U355" s="357">
        <f t="shared" ref="U355:U388" si="393">S355+T355</f>
        <v>0</v>
      </c>
      <c r="V355" s="188"/>
      <c r="W355" s="188"/>
      <c r="X355" s="357">
        <f t="shared" ref="X355:X388" si="394">V355+W355</f>
        <v>0</v>
      </c>
      <c r="Y355" s="358">
        <f t="shared" ref="Y355:Y388" si="395">R355+U355+X355</f>
        <v>0</v>
      </c>
      <c r="Z355" s="184">
        <f t="shared" si="351"/>
        <v>0</v>
      </c>
    </row>
    <row r="356" spans="1:26" ht="25.5">
      <c r="A356" s="187">
        <v>3</v>
      </c>
      <c r="B356" s="328" t="s">
        <v>225</v>
      </c>
      <c r="C356" s="291" t="s">
        <v>222</v>
      </c>
      <c r="D356" s="182">
        <v>6</v>
      </c>
      <c r="E356" s="190" t="s">
        <v>80</v>
      </c>
      <c r="F356" s="183">
        <v>2500</v>
      </c>
      <c r="G356" s="355">
        <f t="shared" si="387"/>
        <v>15000</v>
      </c>
      <c r="H356" s="356">
        <f t="shared" si="388"/>
        <v>14999.999999999998</v>
      </c>
      <c r="I356" s="357"/>
      <c r="J356" s="357"/>
      <c r="K356" s="357">
        <f t="shared" si="389"/>
        <v>0</v>
      </c>
      <c r="L356" s="357"/>
      <c r="M356" s="357"/>
      <c r="N356" s="357">
        <f t="shared" si="390"/>
        <v>0</v>
      </c>
      <c r="O356" s="358">
        <f t="shared" si="391"/>
        <v>14999.999999999998</v>
      </c>
      <c r="P356" s="359">
        <f t="shared" si="392"/>
        <v>2155.1724137931033</v>
      </c>
      <c r="Q356" s="321">
        <v>2</v>
      </c>
      <c r="R356" s="188">
        <f t="shared" si="386"/>
        <v>2155.1724137931033</v>
      </c>
      <c r="S356" s="188"/>
      <c r="T356" s="188"/>
      <c r="U356" s="357">
        <f t="shared" si="393"/>
        <v>0</v>
      </c>
      <c r="V356" s="188"/>
      <c r="W356" s="188"/>
      <c r="X356" s="357">
        <f t="shared" si="394"/>
        <v>0</v>
      </c>
      <c r="Y356" s="358">
        <f t="shared" si="395"/>
        <v>2155.1724137931033</v>
      </c>
      <c r="Z356" s="184">
        <f t="shared" si="351"/>
        <v>0</v>
      </c>
    </row>
    <row r="357" spans="1:26" ht="25.5" hidden="1">
      <c r="A357" s="187">
        <v>3</v>
      </c>
      <c r="B357" s="328" t="s">
        <v>225</v>
      </c>
      <c r="C357" s="291" t="s">
        <v>222</v>
      </c>
      <c r="D357" s="182">
        <v>0</v>
      </c>
      <c r="E357" s="190" t="s">
        <v>80</v>
      </c>
      <c r="F357" s="183">
        <v>2500</v>
      </c>
      <c r="G357" s="355">
        <f t="shared" si="387"/>
        <v>0</v>
      </c>
      <c r="H357" s="356">
        <f t="shared" si="388"/>
        <v>0</v>
      </c>
      <c r="I357" s="357"/>
      <c r="J357" s="357"/>
      <c r="K357" s="357">
        <f t="shared" si="389"/>
        <v>0</v>
      </c>
      <c r="L357" s="357"/>
      <c r="M357" s="357"/>
      <c r="N357" s="357">
        <f t="shared" si="390"/>
        <v>0</v>
      </c>
      <c r="O357" s="358">
        <f t="shared" si="391"/>
        <v>0</v>
      </c>
      <c r="P357" s="359">
        <f t="shared" si="392"/>
        <v>0</v>
      </c>
      <c r="Q357" s="321">
        <v>3</v>
      </c>
      <c r="R357" s="188">
        <f t="shared" si="386"/>
        <v>0</v>
      </c>
      <c r="S357" s="188"/>
      <c r="T357" s="188"/>
      <c r="U357" s="357">
        <f t="shared" si="393"/>
        <v>0</v>
      </c>
      <c r="V357" s="188"/>
      <c r="W357" s="188"/>
      <c r="X357" s="357">
        <f t="shared" si="394"/>
        <v>0</v>
      </c>
      <c r="Y357" s="358">
        <f t="shared" si="395"/>
        <v>0</v>
      </c>
      <c r="Z357" s="184">
        <f t="shared" si="351"/>
        <v>0</v>
      </c>
    </row>
    <row r="358" spans="1:26" ht="25.5" hidden="1">
      <c r="A358" s="187">
        <v>3</v>
      </c>
      <c r="B358" s="328" t="s">
        <v>225</v>
      </c>
      <c r="C358" s="189" t="s">
        <v>255</v>
      </c>
      <c r="D358" s="286">
        <f>8*4*1</f>
        <v>32</v>
      </c>
      <c r="E358" s="190" t="s">
        <v>153</v>
      </c>
      <c r="F358" s="339">
        <v>250</v>
      </c>
      <c r="G358" s="355">
        <f t="shared" si="387"/>
        <v>8000</v>
      </c>
      <c r="H358" s="356">
        <f t="shared" si="388"/>
        <v>8000</v>
      </c>
      <c r="I358" s="357"/>
      <c r="J358" s="357"/>
      <c r="K358" s="357">
        <f t="shared" si="389"/>
        <v>0</v>
      </c>
      <c r="L358" s="357"/>
      <c r="M358" s="357"/>
      <c r="N358" s="357">
        <f t="shared" si="390"/>
        <v>0</v>
      </c>
      <c r="O358" s="358">
        <f t="shared" si="391"/>
        <v>8000</v>
      </c>
      <c r="P358" s="359">
        <f t="shared" si="392"/>
        <v>1149.4252873563219</v>
      </c>
      <c r="Q358" s="321">
        <v>1</v>
      </c>
      <c r="R358" s="188">
        <f t="shared" si="386"/>
        <v>1149.4252873563219</v>
      </c>
      <c r="S358" s="188"/>
      <c r="T358" s="188"/>
      <c r="U358" s="357">
        <f t="shared" si="393"/>
        <v>0</v>
      </c>
      <c r="V358" s="188"/>
      <c r="W358" s="188"/>
      <c r="X358" s="357">
        <f t="shared" si="394"/>
        <v>0</v>
      </c>
      <c r="Y358" s="358">
        <f t="shared" si="395"/>
        <v>1149.4252873563219</v>
      </c>
      <c r="Z358" s="184">
        <f t="shared" si="351"/>
        <v>0</v>
      </c>
    </row>
    <row r="359" spans="1:26" ht="25.5">
      <c r="A359" s="187">
        <v>3</v>
      </c>
      <c r="B359" s="328" t="s">
        <v>225</v>
      </c>
      <c r="C359" s="189" t="s">
        <v>255</v>
      </c>
      <c r="D359" s="286">
        <f t="shared" ref="D359:D360" si="396">8*4*1</f>
        <v>32</v>
      </c>
      <c r="E359" s="190" t="s">
        <v>153</v>
      </c>
      <c r="F359" s="339">
        <v>250</v>
      </c>
      <c r="G359" s="355">
        <f t="shared" si="387"/>
        <v>8000</v>
      </c>
      <c r="H359" s="356">
        <f t="shared" si="388"/>
        <v>8000</v>
      </c>
      <c r="I359" s="357"/>
      <c r="J359" s="357"/>
      <c r="K359" s="357">
        <f t="shared" si="389"/>
        <v>0</v>
      </c>
      <c r="L359" s="357"/>
      <c r="M359" s="357"/>
      <c r="N359" s="357">
        <f t="shared" si="390"/>
        <v>0</v>
      </c>
      <c r="O359" s="358">
        <f t="shared" si="391"/>
        <v>8000</v>
      </c>
      <c r="P359" s="359">
        <f t="shared" si="392"/>
        <v>1149.4252873563219</v>
      </c>
      <c r="Q359" s="321">
        <v>2</v>
      </c>
      <c r="R359" s="188">
        <f t="shared" si="386"/>
        <v>1149.4252873563219</v>
      </c>
      <c r="S359" s="188"/>
      <c r="T359" s="188"/>
      <c r="U359" s="357">
        <f t="shared" si="393"/>
        <v>0</v>
      </c>
      <c r="V359" s="188"/>
      <c r="W359" s="188"/>
      <c r="X359" s="357">
        <f t="shared" si="394"/>
        <v>0</v>
      </c>
      <c r="Y359" s="358">
        <f t="shared" si="395"/>
        <v>1149.4252873563219</v>
      </c>
      <c r="Z359" s="184">
        <f t="shared" si="351"/>
        <v>0</v>
      </c>
    </row>
    <row r="360" spans="1:26" ht="25.5" hidden="1">
      <c r="A360" s="187">
        <v>3</v>
      </c>
      <c r="B360" s="328" t="s">
        <v>225</v>
      </c>
      <c r="C360" s="189" t="s">
        <v>255</v>
      </c>
      <c r="D360" s="286">
        <f t="shared" si="396"/>
        <v>32</v>
      </c>
      <c r="E360" s="190" t="s">
        <v>153</v>
      </c>
      <c r="F360" s="339">
        <v>250</v>
      </c>
      <c r="G360" s="355">
        <f t="shared" si="387"/>
        <v>8000</v>
      </c>
      <c r="H360" s="356">
        <f t="shared" si="388"/>
        <v>8000</v>
      </c>
      <c r="I360" s="357"/>
      <c r="J360" s="357"/>
      <c r="K360" s="357">
        <f t="shared" si="389"/>
        <v>0</v>
      </c>
      <c r="L360" s="357"/>
      <c r="M360" s="357"/>
      <c r="N360" s="357">
        <f t="shared" si="390"/>
        <v>0</v>
      </c>
      <c r="O360" s="358">
        <f t="shared" si="391"/>
        <v>8000</v>
      </c>
      <c r="P360" s="359">
        <f t="shared" si="392"/>
        <v>1149.4252873563219</v>
      </c>
      <c r="Q360" s="321">
        <v>3</v>
      </c>
      <c r="R360" s="188">
        <f t="shared" si="386"/>
        <v>1149.4252873563219</v>
      </c>
      <c r="S360" s="188"/>
      <c r="T360" s="188"/>
      <c r="U360" s="357">
        <f t="shared" si="393"/>
        <v>0</v>
      </c>
      <c r="V360" s="188"/>
      <c r="W360" s="188"/>
      <c r="X360" s="357">
        <f t="shared" si="394"/>
        <v>0</v>
      </c>
      <c r="Y360" s="358">
        <f t="shared" si="395"/>
        <v>1149.4252873563219</v>
      </c>
      <c r="Z360" s="184">
        <f t="shared" si="351"/>
        <v>0</v>
      </c>
    </row>
    <row r="361" spans="1:26" ht="25.5" hidden="1">
      <c r="A361" s="187">
        <v>3</v>
      </c>
      <c r="B361" s="328" t="s">
        <v>225</v>
      </c>
      <c r="C361" s="189" t="s">
        <v>157</v>
      </c>
      <c r="D361" s="286">
        <v>0</v>
      </c>
      <c r="E361" s="190" t="s">
        <v>76</v>
      </c>
      <c r="F361" s="339">
        <v>300</v>
      </c>
      <c r="G361" s="355">
        <f t="shared" si="387"/>
        <v>0</v>
      </c>
      <c r="H361" s="356">
        <f t="shared" si="388"/>
        <v>0</v>
      </c>
      <c r="I361" s="357"/>
      <c r="J361" s="357"/>
      <c r="K361" s="357">
        <f t="shared" si="389"/>
        <v>0</v>
      </c>
      <c r="L361" s="357"/>
      <c r="M361" s="357"/>
      <c r="N361" s="357">
        <f t="shared" si="390"/>
        <v>0</v>
      </c>
      <c r="O361" s="358">
        <f t="shared" si="391"/>
        <v>0</v>
      </c>
      <c r="P361" s="359">
        <f t="shared" si="392"/>
        <v>0</v>
      </c>
      <c r="Q361" s="321">
        <v>1</v>
      </c>
      <c r="R361" s="188">
        <f t="shared" si="386"/>
        <v>0</v>
      </c>
      <c r="S361" s="188"/>
      <c r="T361" s="188"/>
      <c r="U361" s="357">
        <f t="shared" si="393"/>
        <v>0</v>
      </c>
      <c r="V361" s="188"/>
      <c r="W361" s="188"/>
      <c r="X361" s="357">
        <f t="shared" si="394"/>
        <v>0</v>
      </c>
      <c r="Y361" s="358">
        <f t="shared" si="395"/>
        <v>0</v>
      </c>
      <c r="Z361" s="184">
        <f t="shared" si="351"/>
        <v>0</v>
      </c>
    </row>
    <row r="362" spans="1:26" ht="25.5">
      <c r="A362" s="187">
        <v>3</v>
      </c>
      <c r="B362" s="328" t="s">
        <v>225</v>
      </c>
      <c r="C362" s="189" t="s">
        <v>157</v>
      </c>
      <c r="D362" s="286">
        <v>1</v>
      </c>
      <c r="E362" s="190" t="s">
        <v>76</v>
      </c>
      <c r="F362" s="339">
        <v>300</v>
      </c>
      <c r="G362" s="355">
        <f t="shared" si="387"/>
        <v>300</v>
      </c>
      <c r="H362" s="356">
        <f t="shared" si="388"/>
        <v>300</v>
      </c>
      <c r="I362" s="357"/>
      <c r="J362" s="357"/>
      <c r="K362" s="357">
        <f t="shared" si="389"/>
        <v>0</v>
      </c>
      <c r="L362" s="357"/>
      <c r="M362" s="357"/>
      <c r="N362" s="357">
        <f t="shared" si="390"/>
        <v>0</v>
      </c>
      <c r="O362" s="358">
        <f t="shared" si="391"/>
        <v>300</v>
      </c>
      <c r="P362" s="359">
        <f t="shared" si="392"/>
        <v>43.103448275862071</v>
      </c>
      <c r="Q362" s="321">
        <v>2</v>
      </c>
      <c r="R362" s="188">
        <f t="shared" si="386"/>
        <v>43.103448275862071</v>
      </c>
      <c r="S362" s="188"/>
      <c r="T362" s="188"/>
      <c r="U362" s="357">
        <f t="shared" si="393"/>
        <v>0</v>
      </c>
      <c r="V362" s="188"/>
      <c r="W362" s="188"/>
      <c r="X362" s="357">
        <f t="shared" si="394"/>
        <v>0</v>
      </c>
      <c r="Y362" s="358">
        <f t="shared" si="395"/>
        <v>43.103448275862071</v>
      </c>
      <c r="Z362" s="184">
        <f t="shared" si="351"/>
        <v>0</v>
      </c>
    </row>
    <row r="363" spans="1:26" ht="25.5" hidden="1">
      <c r="A363" s="187">
        <v>3</v>
      </c>
      <c r="B363" s="328" t="s">
        <v>225</v>
      </c>
      <c r="C363" s="189" t="s">
        <v>157</v>
      </c>
      <c r="D363" s="286">
        <v>1</v>
      </c>
      <c r="E363" s="190" t="s">
        <v>76</v>
      </c>
      <c r="F363" s="339">
        <v>400</v>
      </c>
      <c r="G363" s="355">
        <f t="shared" si="387"/>
        <v>400</v>
      </c>
      <c r="H363" s="356">
        <f t="shared" si="388"/>
        <v>400</v>
      </c>
      <c r="I363" s="357"/>
      <c r="J363" s="357"/>
      <c r="K363" s="357">
        <f t="shared" si="389"/>
        <v>0</v>
      </c>
      <c r="L363" s="357"/>
      <c r="M363" s="357"/>
      <c r="N363" s="357">
        <f t="shared" si="390"/>
        <v>0</v>
      </c>
      <c r="O363" s="358">
        <f t="shared" si="391"/>
        <v>400</v>
      </c>
      <c r="P363" s="359">
        <f t="shared" si="392"/>
        <v>57.47126436781609</v>
      </c>
      <c r="Q363" s="321">
        <v>3</v>
      </c>
      <c r="R363" s="188">
        <f t="shared" si="386"/>
        <v>57.47126436781609</v>
      </c>
      <c r="S363" s="188"/>
      <c r="T363" s="188"/>
      <c r="U363" s="357">
        <f t="shared" si="393"/>
        <v>0</v>
      </c>
      <c r="V363" s="188"/>
      <c r="W363" s="188"/>
      <c r="X363" s="357">
        <f t="shared" si="394"/>
        <v>0</v>
      </c>
      <c r="Y363" s="358">
        <f t="shared" si="395"/>
        <v>57.47126436781609</v>
      </c>
      <c r="Z363" s="184">
        <f t="shared" si="351"/>
        <v>0</v>
      </c>
    </row>
    <row r="364" spans="1:26" ht="25.5" hidden="1">
      <c r="A364" s="187">
        <v>3</v>
      </c>
      <c r="B364" s="328" t="s">
        <v>225</v>
      </c>
      <c r="C364" s="191" t="s">
        <v>244</v>
      </c>
      <c r="D364" s="285">
        <v>4</v>
      </c>
      <c r="E364" s="192" t="s">
        <v>80</v>
      </c>
      <c r="F364" s="337">
        <v>700</v>
      </c>
      <c r="G364" s="355">
        <f t="shared" si="387"/>
        <v>2800</v>
      </c>
      <c r="H364" s="356">
        <f t="shared" si="388"/>
        <v>2800</v>
      </c>
      <c r="I364" s="357"/>
      <c r="J364" s="357"/>
      <c r="K364" s="357">
        <f t="shared" si="389"/>
        <v>0</v>
      </c>
      <c r="L364" s="357"/>
      <c r="M364" s="357"/>
      <c r="N364" s="357">
        <f t="shared" si="390"/>
        <v>0</v>
      </c>
      <c r="O364" s="358">
        <f t="shared" si="391"/>
        <v>2800</v>
      </c>
      <c r="P364" s="359">
        <f t="shared" si="392"/>
        <v>402.29885057471267</v>
      </c>
      <c r="Q364" s="321">
        <v>1</v>
      </c>
      <c r="R364" s="188">
        <f t="shared" si="386"/>
        <v>402.29885057471267</v>
      </c>
      <c r="S364" s="188"/>
      <c r="T364" s="188"/>
      <c r="U364" s="357">
        <f t="shared" si="393"/>
        <v>0</v>
      </c>
      <c r="V364" s="188"/>
      <c r="W364" s="188"/>
      <c r="X364" s="357">
        <f t="shared" si="394"/>
        <v>0</v>
      </c>
      <c r="Y364" s="358">
        <f t="shared" si="395"/>
        <v>402.29885057471267</v>
      </c>
      <c r="Z364" s="184">
        <f t="shared" si="351"/>
        <v>0</v>
      </c>
    </row>
    <row r="365" spans="1:26" ht="25.5" hidden="1">
      <c r="A365" s="187">
        <v>3</v>
      </c>
      <c r="B365" s="328" t="s">
        <v>225</v>
      </c>
      <c r="C365" s="191" t="s">
        <v>244</v>
      </c>
      <c r="D365" s="285">
        <v>0</v>
      </c>
      <c r="E365" s="192" t="s">
        <v>80</v>
      </c>
      <c r="F365" s="337">
        <v>700</v>
      </c>
      <c r="G365" s="355">
        <f t="shared" si="387"/>
        <v>0</v>
      </c>
      <c r="H365" s="356">
        <f t="shared" si="388"/>
        <v>0</v>
      </c>
      <c r="I365" s="357"/>
      <c r="J365" s="357"/>
      <c r="K365" s="357">
        <f t="shared" si="389"/>
        <v>0</v>
      </c>
      <c r="L365" s="357"/>
      <c r="M365" s="357"/>
      <c r="N365" s="357">
        <f t="shared" si="390"/>
        <v>0</v>
      </c>
      <c r="O365" s="358">
        <f t="shared" si="391"/>
        <v>0</v>
      </c>
      <c r="P365" s="359">
        <f t="shared" si="392"/>
        <v>0</v>
      </c>
      <c r="Q365" s="321">
        <v>2</v>
      </c>
      <c r="R365" s="188">
        <f t="shared" si="386"/>
        <v>0</v>
      </c>
      <c r="S365" s="188"/>
      <c r="T365" s="188"/>
      <c r="U365" s="357">
        <f t="shared" si="393"/>
        <v>0</v>
      </c>
      <c r="V365" s="188"/>
      <c r="W365" s="188"/>
      <c r="X365" s="357">
        <f t="shared" si="394"/>
        <v>0</v>
      </c>
      <c r="Y365" s="358">
        <f t="shared" si="395"/>
        <v>0</v>
      </c>
      <c r="Z365" s="184">
        <f t="shared" si="351"/>
        <v>0</v>
      </c>
    </row>
    <row r="366" spans="1:26" ht="25.5" hidden="1">
      <c r="A366" s="187">
        <v>3</v>
      </c>
      <c r="B366" s="328" t="s">
        <v>225</v>
      </c>
      <c r="C366" s="191" t="s">
        <v>244</v>
      </c>
      <c r="D366" s="285">
        <v>0</v>
      </c>
      <c r="E366" s="192" t="s">
        <v>80</v>
      </c>
      <c r="F366" s="337">
        <v>700</v>
      </c>
      <c r="G366" s="355">
        <f t="shared" si="387"/>
        <v>0</v>
      </c>
      <c r="H366" s="356">
        <f t="shared" si="388"/>
        <v>0</v>
      </c>
      <c r="I366" s="357"/>
      <c r="J366" s="357"/>
      <c r="K366" s="357">
        <f t="shared" si="389"/>
        <v>0</v>
      </c>
      <c r="L366" s="357"/>
      <c r="M366" s="357"/>
      <c r="N366" s="357">
        <f t="shared" si="390"/>
        <v>0</v>
      </c>
      <c r="O366" s="358">
        <f t="shared" si="391"/>
        <v>0</v>
      </c>
      <c r="P366" s="359">
        <f t="shared" si="392"/>
        <v>0</v>
      </c>
      <c r="Q366" s="321">
        <v>3</v>
      </c>
      <c r="R366" s="188">
        <f t="shared" si="386"/>
        <v>0</v>
      </c>
      <c r="S366" s="188"/>
      <c r="T366" s="188"/>
      <c r="U366" s="357">
        <f t="shared" si="393"/>
        <v>0</v>
      </c>
      <c r="V366" s="188"/>
      <c r="W366" s="188"/>
      <c r="X366" s="357">
        <f t="shared" si="394"/>
        <v>0</v>
      </c>
      <c r="Y366" s="358">
        <f t="shared" si="395"/>
        <v>0</v>
      </c>
      <c r="Z366" s="184">
        <f t="shared" si="351"/>
        <v>0</v>
      </c>
    </row>
    <row r="367" spans="1:26" ht="25.5" hidden="1">
      <c r="A367" s="187">
        <v>3</v>
      </c>
      <c r="B367" s="328" t="s">
        <v>225</v>
      </c>
      <c r="C367" s="191" t="s">
        <v>245</v>
      </c>
      <c r="D367" s="285">
        <v>4</v>
      </c>
      <c r="E367" s="192" t="s">
        <v>80</v>
      </c>
      <c r="F367" s="337">
        <v>400</v>
      </c>
      <c r="G367" s="355">
        <f t="shared" si="387"/>
        <v>1600</v>
      </c>
      <c r="H367" s="356">
        <f t="shared" si="388"/>
        <v>1600</v>
      </c>
      <c r="I367" s="357"/>
      <c r="J367" s="357"/>
      <c r="K367" s="357">
        <f t="shared" si="389"/>
        <v>0</v>
      </c>
      <c r="L367" s="357"/>
      <c r="M367" s="357"/>
      <c r="N367" s="357">
        <f t="shared" si="390"/>
        <v>0</v>
      </c>
      <c r="O367" s="358">
        <f t="shared" si="391"/>
        <v>1600</v>
      </c>
      <c r="P367" s="359">
        <f t="shared" si="392"/>
        <v>229.88505747126436</v>
      </c>
      <c r="Q367" s="321">
        <v>1</v>
      </c>
      <c r="R367" s="188">
        <f t="shared" si="386"/>
        <v>229.88505747126436</v>
      </c>
      <c r="S367" s="188"/>
      <c r="T367" s="188"/>
      <c r="U367" s="357">
        <f t="shared" si="393"/>
        <v>0</v>
      </c>
      <c r="V367" s="188"/>
      <c r="W367" s="188"/>
      <c r="X367" s="357">
        <f t="shared" si="394"/>
        <v>0</v>
      </c>
      <c r="Y367" s="358">
        <f t="shared" si="395"/>
        <v>229.88505747126436</v>
      </c>
      <c r="Z367" s="184">
        <f t="shared" si="351"/>
        <v>0</v>
      </c>
    </row>
    <row r="368" spans="1:26" ht="25.5" hidden="1">
      <c r="A368" s="187">
        <v>3</v>
      </c>
      <c r="B368" s="328" t="s">
        <v>225</v>
      </c>
      <c r="C368" s="191" t="s">
        <v>245</v>
      </c>
      <c r="D368" s="285">
        <v>0</v>
      </c>
      <c r="E368" s="192" t="s">
        <v>80</v>
      </c>
      <c r="F368" s="337">
        <v>400</v>
      </c>
      <c r="G368" s="355">
        <f t="shared" si="387"/>
        <v>0</v>
      </c>
      <c r="H368" s="356">
        <f t="shared" si="388"/>
        <v>0</v>
      </c>
      <c r="I368" s="357"/>
      <c r="J368" s="357"/>
      <c r="K368" s="357">
        <f t="shared" si="389"/>
        <v>0</v>
      </c>
      <c r="L368" s="357"/>
      <c r="M368" s="357"/>
      <c r="N368" s="357">
        <f t="shared" si="390"/>
        <v>0</v>
      </c>
      <c r="O368" s="358">
        <f t="shared" si="391"/>
        <v>0</v>
      </c>
      <c r="P368" s="359">
        <f t="shared" si="392"/>
        <v>0</v>
      </c>
      <c r="Q368" s="321">
        <v>2</v>
      </c>
      <c r="R368" s="188">
        <f t="shared" si="386"/>
        <v>0</v>
      </c>
      <c r="S368" s="188"/>
      <c r="T368" s="188"/>
      <c r="U368" s="357">
        <f t="shared" si="393"/>
        <v>0</v>
      </c>
      <c r="V368" s="188"/>
      <c r="W368" s="188"/>
      <c r="X368" s="357">
        <f t="shared" si="394"/>
        <v>0</v>
      </c>
      <c r="Y368" s="358">
        <f t="shared" si="395"/>
        <v>0</v>
      </c>
      <c r="Z368" s="184">
        <f t="shared" si="351"/>
        <v>0</v>
      </c>
    </row>
    <row r="369" spans="1:26" ht="25.5" hidden="1">
      <c r="A369" s="187">
        <v>3</v>
      </c>
      <c r="B369" s="328" t="s">
        <v>225</v>
      </c>
      <c r="C369" s="191" t="s">
        <v>245</v>
      </c>
      <c r="D369" s="285">
        <v>0</v>
      </c>
      <c r="E369" s="192" t="s">
        <v>80</v>
      </c>
      <c r="F369" s="337">
        <v>400</v>
      </c>
      <c r="G369" s="355">
        <f t="shared" si="387"/>
        <v>0</v>
      </c>
      <c r="H369" s="356">
        <f t="shared" si="388"/>
        <v>0</v>
      </c>
      <c r="I369" s="357"/>
      <c r="J369" s="357"/>
      <c r="K369" s="357">
        <f t="shared" si="389"/>
        <v>0</v>
      </c>
      <c r="L369" s="357"/>
      <c r="M369" s="357"/>
      <c r="N369" s="357">
        <f t="shared" si="390"/>
        <v>0</v>
      </c>
      <c r="O369" s="358">
        <f t="shared" si="391"/>
        <v>0</v>
      </c>
      <c r="P369" s="359">
        <f t="shared" si="392"/>
        <v>0</v>
      </c>
      <c r="Q369" s="321">
        <v>3</v>
      </c>
      <c r="R369" s="188">
        <f t="shared" si="386"/>
        <v>0</v>
      </c>
      <c r="S369" s="188"/>
      <c r="T369" s="188"/>
      <c r="U369" s="357">
        <f t="shared" si="393"/>
        <v>0</v>
      </c>
      <c r="V369" s="188"/>
      <c r="W369" s="188"/>
      <c r="X369" s="357">
        <f t="shared" si="394"/>
        <v>0</v>
      </c>
      <c r="Y369" s="358">
        <f t="shared" si="395"/>
        <v>0</v>
      </c>
      <c r="Z369" s="184">
        <f t="shared" si="351"/>
        <v>0</v>
      </c>
    </row>
    <row r="370" spans="1:26" ht="25.5" hidden="1">
      <c r="A370" s="187">
        <v>3</v>
      </c>
      <c r="B370" s="328" t="s">
        <v>225</v>
      </c>
      <c r="C370" s="189" t="s">
        <v>152</v>
      </c>
      <c r="D370" s="285">
        <v>24</v>
      </c>
      <c r="E370" s="192" t="s">
        <v>80</v>
      </c>
      <c r="F370" s="183">
        <v>100</v>
      </c>
      <c r="G370" s="355">
        <f t="shared" si="387"/>
        <v>2400</v>
      </c>
      <c r="H370" s="356">
        <f t="shared" si="388"/>
        <v>2400</v>
      </c>
      <c r="I370" s="357"/>
      <c r="J370" s="357"/>
      <c r="K370" s="357">
        <f t="shared" si="389"/>
        <v>0</v>
      </c>
      <c r="L370" s="357"/>
      <c r="M370" s="357"/>
      <c r="N370" s="357">
        <f t="shared" si="390"/>
        <v>0</v>
      </c>
      <c r="O370" s="358">
        <f t="shared" si="391"/>
        <v>2400</v>
      </c>
      <c r="P370" s="359">
        <f t="shared" si="392"/>
        <v>344.82758620689657</v>
      </c>
      <c r="Q370" s="321">
        <v>1</v>
      </c>
      <c r="R370" s="188">
        <f t="shared" si="386"/>
        <v>344.82758620689657</v>
      </c>
      <c r="S370" s="188"/>
      <c r="T370" s="188"/>
      <c r="U370" s="357">
        <f t="shared" si="393"/>
        <v>0</v>
      </c>
      <c r="V370" s="188"/>
      <c r="W370" s="188"/>
      <c r="X370" s="357">
        <f t="shared" si="394"/>
        <v>0</v>
      </c>
      <c r="Y370" s="358">
        <f t="shared" si="395"/>
        <v>344.82758620689657</v>
      </c>
      <c r="Z370" s="184">
        <f t="shared" si="351"/>
        <v>0</v>
      </c>
    </row>
    <row r="371" spans="1:26" ht="25.5" hidden="1">
      <c r="A371" s="187">
        <v>3</v>
      </c>
      <c r="B371" s="328" t="s">
        <v>225</v>
      </c>
      <c r="C371" s="189" t="s">
        <v>152</v>
      </c>
      <c r="D371" s="285">
        <v>0</v>
      </c>
      <c r="E371" s="192" t="s">
        <v>80</v>
      </c>
      <c r="F371" s="183">
        <v>100</v>
      </c>
      <c r="G371" s="355">
        <f t="shared" si="387"/>
        <v>0</v>
      </c>
      <c r="H371" s="356">
        <f t="shared" si="388"/>
        <v>0</v>
      </c>
      <c r="I371" s="357"/>
      <c r="J371" s="357"/>
      <c r="K371" s="357">
        <f t="shared" si="389"/>
        <v>0</v>
      </c>
      <c r="L371" s="357"/>
      <c r="M371" s="357"/>
      <c r="N371" s="357">
        <f t="shared" si="390"/>
        <v>0</v>
      </c>
      <c r="O371" s="358">
        <f t="shared" si="391"/>
        <v>0</v>
      </c>
      <c r="P371" s="359">
        <f t="shared" si="392"/>
        <v>0</v>
      </c>
      <c r="Q371" s="321">
        <v>2</v>
      </c>
      <c r="R371" s="188">
        <f t="shared" si="386"/>
        <v>0</v>
      </c>
      <c r="S371" s="188"/>
      <c r="T371" s="188"/>
      <c r="U371" s="357">
        <f t="shared" si="393"/>
        <v>0</v>
      </c>
      <c r="V371" s="188"/>
      <c r="W371" s="188"/>
      <c r="X371" s="357">
        <f t="shared" si="394"/>
        <v>0</v>
      </c>
      <c r="Y371" s="358">
        <f t="shared" si="395"/>
        <v>0</v>
      </c>
      <c r="Z371" s="184">
        <f t="shared" si="351"/>
        <v>0</v>
      </c>
    </row>
    <row r="372" spans="1:26" ht="25.5" hidden="1">
      <c r="A372" s="187">
        <v>3</v>
      </c>
      <c r="B372" s="328" t="s">
        <v>225</v>
      </c>
      <c r="C372" s="189" t="s">
        <v>152</v>
      </c>
      <c r="D372" s="285">
        <v>0</v>
      </c>
      <c r="E372" s="192" t="s">
        <v>80</v>
      </c>
      <c r="F372" s="183">
        <v>100</v>
      </c>
      <c r="G372" s="355">
        <f t="shared" si="387"/>
        <v>0</v>
      </c>
      <c r="H372" s="356">
        <f t="shared" si="388"/>
        <v>0</v>
      </c>
      <c r="I372" s="357"/>
      <c r="J372" s="357"/>
      <c r="K372" s="357">
        <f t="shared" si="389"/>
        <v>0</v>
      </c>
      <c r="L372" s="357"/>
      <c r="M372" s="357"/>
      <c r="N372" s="357">
        <f t="shared" si="390"/>
        <v>0</v>
      </c>
      <c r="O372" s="358">
        <f t="shared" si="391"/>
        <v>0</v>
      </c>
      <c r="P372" s="359">
        <f t="shared" si="392"/>
        <v>0</v>
      </c>
      <c r="Q372" s="321">
        <v>3</v>
      </c>
      <c r="R372" s="188">
        <f t="shared" si="386"/>
        <v>0</v>
      </c>
      <c r="S372" s="188"/>
      <c r="T372" s="188"/>
      <c r="U372" s="357">
        <f t="shared" si="393"/>
        <v>0</v>
      </c>
      <c r="V372" s="188"/>
      <c r="W372" s="188"/>
      <c r="X372" s="357">
        <f t="shared" si="394"/>
        <v>0</v>
      </c>
      <c r="Y372" s="358">
        <f t="shared" si="395"/>
        <v>0</v>
      </c>
      <c r="Z372" s="184">
        <f t="shared" si="351"/>
        <v>0</v>
      </c>
    </row>
    <row r="373" spans="1:26" ht="25.5" hidden="1">
      <c r="A373" s="187">
        <v>3</v>
      </c>
      <c r="B373" s="328" t="s">
        <v>225</v>
      </c>
      <c r="C373" s="290" t="s">
        <v>254</v>
      </c>
      <c r="D373" s="182"/>
      <c r="E373" s="190"/>
      <c r="F373" s="183"/>
      <c r="G373" s="355"/>
      <c r="H373" s="356"/>
      <c r="I373" s="357"/>
      <c r="J373" s="357"/>
      <c r="K373" s="357">
        <f t="shared" si="389"/>
        <v>0</v>
      </c>
      <c r="L373" s="357"/>
      <c r="M373" s="357"/>
      <c r="N373" s="357">
        <f t="shared" si="390"/>
        <v>0</v>
      </c>
      <c r="O373" s="358">
        <f t="shared" si="391"/>
        <v>0</v>
      </c>
      <c r="P373" s="359"/>
      <c r="Q373" s="321"/>
      <c r="R373" s="188">
        <f t="shared" si="386"/>
        <v>0</v>
      </c>
      <c r="S373" s="188"/>
      <c r="T373" s="188"/>
      <c r="U373" s="357">
        <f t="shared" si="393"/>
        <v>0</v>
      </c>
      <c r="V373" s="188"/>
      <c r="W373" s="188"/>
      <c r="X373" s="357">
        <f t="shared" si="394"/>
        <v>0</v>
      </c>
      <c r="Y373" s="358">
        <f t="shared" si="395"/>
        <v>0</v>
      </c>
      <c r="Z373" s="184">
        <f t="shared" si="351"/>
        <v>0</v>
      </c>
    </row>
    <row r="374" spans="1:26" ht="25.5" hidden="1">
      <c r="A374" s="187">
        <v>3</v>
      </c>
      <c r="B374" s="328" t="s">
        <v>225</v>
      </c>
      <c r="C374" s="291" t="s">
        <v>221</v>
      </c>
      <c r="D374" s="182">
        <v>0</v>
      </c>
      <c r="E374" s="190" t="s">
        <v>78</v>
      </c>
      <c r="F374" s="183">
        <v>1500</v>
      </c>
      <c r="G374" s="355">
        <f t="shared" si="387"/>
        <v>0</v>
      </c>
      <c r="H374" s="356">
        <f t="shared" si="388"/>
        <v>0</v>
      </c>
      <c r="I374" s="357"/>
      <c r="J374" s="357"/>
      <c r="K374" s="357">
        <f t="shared" si="389"/>
        <v>0</v>
      </c>
      <c r="L374" s="357"/>
      <c r="M374" s="357"/>
      <c r="N374" s="357">
        <f t="shared" si="390"/>
        <v>0</v>
      </c>
      <c r="O374" s="358">
        <f t="shared" si="391"/>
        <v>0</v>
      </c>
      <c r="P374" s="359">
        <f t="shared" si="392"/>
        <v>0</v>
      </c>
      <c r="Q374" s="321">
        <v>1</v>
      </c>
      <c r="R374" s="188">
        <f t="shared" si="386"/>
        <v>0</v>
      </c>
      <c r="S374" s="188"/>
      <c r="T374" s="188"/>
      <c r="U374" s="357">
        <f t="shared" si="393"/>
        <v>0</v>
      </c>
      <c r="V374" s="188"/>
      <c r="W374" s="188"/>
      <c r="X374" s="357">
        <f t="shared" si="394"/>
        <v>0</v>
      </c>
      <c r="Y374" s="358">
        <f t="shared" si="395"/>
        <v>0</v>
      </c>
      <c r="Z374" s="184">
        <f t="shared" si="351"/>
        <v>0</v>
      </c>
    </row>
    <row r="375" spans="1:26" ht="25.5">
      <c r="A375" s="187">
        <v>3</v>
      </c>
      <c r="B375" s="328" t="s">
        <v>225</v>
      </c>
      <c r="C375" s="291" t="s">
        <v>221</v>
      </c>
      <c r="D375" s="182">
        <v>8</v>
      </c>
      <c r="E375" s="190" t="s">
        <v>78</v>
      </c>
      <c r="F375" s="183">
        <v>1500</v>
      </c>
      <c r="G375" s="355">
        <f t="shared" si="387"/>
        <v>12000</v>
      </c>
      <c r="H375" s="356">
        <f t="shared" si="388"/>
        <v>12000</v>
      </c>
      <c r="I375" s="357"/>
      <c r="J375" s="357"/>
      <c r="K375" s="357">
        <f t="shared" si="389"/>
        <v>0</v>
      </c>
      <c r="L375" s="357"/>
      <c r="M375" s="357"/>
      <c r="N375" s="357">
        <f t="shared" si="390"/>
        <v>0</v>
      </c>
      <c r="O375" s="358">
        <f t="shared" si="391"/>
        <v>12000</v>
      </c>
      <c r="P375" s="359">
        <f t="shared" si="392"/>
        <v>1724.1379310344828</v>
      </c>
      <c r="Q375" s="321">
        <v>2</v>
      </c>
      <c r="R375" s="188">
        <f t="shared" si="386"/>
        <v>1724.1379310344828</v>
      </c>
      <c r="S375" s="188"/>
      <c r="T375" s="188"/>
      <c r="U375" s="357">
        <f t="shared" si="393"/>
        <v>0</v>
      </c>
      <c r="V375" s="188"/>
      <c r="W375" s="188"/>
      <c r="X375" s="357">
        <f t="shared" si="394"/>
        <v>0</v>
      </c>
      <c r="Y375" s="358">
        <f t="shared" si="395"/>
        <v>1724.1379310344828</v>
      </c>
      <c r="Z375" s="184">
        <f t="shared" si="351"/>
        <v>0</v>
      </c>
    </row>
    <row r="376" spans="1:26" ht="25.5" hidden="1">
      <c r="A376" s="187">
        <v>3</v>
      </c>
      <c r="B376" s="328" t="s">
        <v>225</v>
      </c>
      <c r="C376" s="291" t="s">
        <v>221</v>
      </c>
      <c r="D376" s="182">
        <v>0</v>
      </c>
      <c r="E376" s="190" t="s">
        <v>78</v>
      </c>
      <c r="F376" s="183">
        <v>1500</v>
      </c>
      <c r="G376" s="355">
        <f t="shared" si="387"/>
        <v>0</v>
      </c>
      <c r="H376" s="356">
        <f t="shared" si="388"/>
        <v>0</v>
      </c>
      <c r="I376" s="357"/>
      <c r="J376" s="357"/>
      <c r="K376" s="357">
        <f t="shared" si="389"/>
        <v>0</v>
      </c>
      <c r="L376" s="357"/>
      <c r="M376" s="357"/>
      <c r="N376" s="357">
        <f t="shared" si="390"/>
        <v>0</v>
      </c>
      <c r="O376" s="358">
        <f t="shared" si="391"/>
        <v>0</v>
      </c>
      <c r="P376" s="359">
        <f t="shared" si="392"/>
        <v>0</v>
      </c>
      <c r="Q376" s="321">
        <v>3</v>
      </c>
      <c r="R376" s="188">
        <f t="shared" si="386"/>
        <v>0</v>
      </c>
      <c r="S376" s="188"/>
      <c r="T376" s="188"/>
      <c r="U376" s="357">
        <f t="shared" si="393"/>
        <v>0</v>
      </c>
      <c r="V376" s="188"/>
      <c r="W376" s="188"/>
      <c r="X376" s="357">
        <f t="shared" si="394"/>
        <v>0</v>
      </c>
      <c r="Y376" s="358">
        <f t="shared" si="395"/>
        <v>0</v>
      </c>
      <c r="Z376" s="184">
        <f t="shared" si="351"/>
        <v>0</v>
      </c>
    </row>
    <row r="377" spans="1:26" ht="25.5" hidden="1">
      <c r="A377" s="187">
        <v>3</v>
      </c>
      <c r="B377" s="328" t="s">
        <v>225</v>
      </c>
      <c r="C377" s="291" t="s">
        <v>223</v>
      </c>
      <c r="D377" s="182">
        <v>4</v>
      </c>
      <c r="E377" s="190" t="s">
        <v>248</v>
      </c>
      <c r="F377" s="183">
        <f>1000*1</f>
        <v>1000</v>
      </c>
      <c r="G377" s="355">
        <f t="shared" si="387"/>
        <v>4000</v>
      </c>
      <c r="H377" s="356">
        <f t="shared" si="388"/>
        <v>4000</v>
      </c>
      <c r="I377" s="357"/>
      <c r="J377" s="357"/>
      <c r="K377" s="357">
        <f t="shared" si="389"/>
        <v>0</v>
      </c>
      <c r="L377" s="357"/>
      <c r="M377" s="357"/>
      <c r="N377" s="357">
        <f t="shared" si="390"/>
        <v>0</v>
      </c>
      <c r="O377" s="358">
        <f t="shared" si="391"/>
        <v>4000</v>
      </c>
      <c r="P377" s="359">
        <f t="shared" si="392"/>
        <v>574.71264367816093</v>
      </c>
      <c r="Q377" s="321">
        <v>1</v>
      </c>
      <c r="R377" s="188">
        <f t="shared" si="386"/>
        <v>574.71264367816093</v>
      </c>
      <c r="S377" s="188"/>
      <c r="T377" s="188"/>
      <c r="U377" s="357">
        <f t="shared" si="393"/>
        <v>0</v>
      </c>
      <c r="V377" s="188"/>
      <c r="W377" s="188"/>
      <c r="X377" s="357">
        <f t="shared" si="394"/>
        <v>0</v>
      </c>
      <c r="Y377" s="358">
        <f t="shared" si="395"/>
        <v>574.71264367816093</v>
      </c>
      <c r="Z377" s="184">
        <f t="shared" si="351"/>
        <v>0</v>
      </c>
    </row>
    <row r="378" spans="1:26" ht="25.5">
      <c r="A378" s="187">
        <v>3</v>
      </c>
      <c r="B378" s="328" t="s">
        <v>225</v>
      </c>
      <c r="C378" s="291" t="s">
        <v>223</v>
      </c>
      <c r="D378" s="182">
        <v>4</v>
      </c>
      <c r="E378" s="190" t="s">
        <v>248</v>
      </c>
      <c r="F378" s="183">
        <f t="shared" ref="F378:F379" si="397">1000*1</f>
        <v>1000</v>
      </c>
      <c r="G378" s="355">
        <f t="shared" si="387"/>
        <v>4000</v>
      </c>
      <c r="H378" s="356">
        <f t="shared" si="388"/>
        <v>4000</v>
      </c>
      <c r="I378" s="357"/>
      <c r="J378" s="357"/>
      <c r="K378" s="357">
        <f t="shared" si="389"/>
        <v>0</v>
      </c>
      <c r="L378" s="357"/>
      <c r="M378" s="357"/>
      <c r="N378" s="357">
        <f t="shared" si="390"/>
        <v>0</v>
      </c>
      <c r="O378" s="358">
        <f t="shared" si="391"/>
        <v>4000</v>
      </c>
      <c r="P378" s="359">
        <f t="shared" si="392"/>
        <v>574.71264367816093</v>
      </c>
      <c r="Q378" s="321">
        <v>2</v>
      </c>
      <c r="R378" s="188">
        <f t="shared" si="386"/>
        <v>574.71264367816093</v>
      </c>
      <c r="S378" s="188"/>
      <c r="T378" s="188"/>
      <c r="U378" s="357">
        <f t="shared" si="393"/>
        <v>0</v>
      </c>
      <c r="V378" s="188"/>
      <c r="W378" s="188"/>
      <c r="X378" s="357">
        <f t="shared" si="394"/>
        <v>0</v>
      </c>
      <c r="Y378" s="358">
        <f t="shared" si="395"/>
        <v>574.71264367816093</v>
      </c>
      <c r="Z378" s="184">
        <f t="shared" si="351"/>
        <v>0</v>
      </c>
    </row>
    <row r="379" spans="1:26" ht="25.5" hidden="1">
      <c r="A379" s="187">
        <v>3</v>
      </c>
      <c r="B379" s="328" t="s">
        <v>225</v>
      </c>
      <c r="C379" s="291" t="s">
        <v>223</v>
      </c>
      <c r="D379" s="182">
        <v>4</v>
      </c>
      <c r="E379" s="190" t="s">
        <v>248</v>
      </c>
      <c r="F379" s="183">
        <f t="shared" si="397"/>
        <v>1000</v>
      </c>
      <c r="G379" s="355">
        <f t="shared" si="387"/>
        <v>4000</v>
      </c>
      <c r="H379" s="356">
        <f t="shared" si="388"/>
        <v>4000</v>
      </c>
      <c r="I379" s="357"/>
      <c r="J379" s="357"/>
      <c r="K379" s="357">
        <f t="shared" si="389"/>
        <v>0</v>
      </c>
      <c r="L379" s="357"/>
      <c r="M379" s="357"/>
      <c r="N379" s="357">
        <f t="shared" si="390"/>
        <v>0</v>
      </c>
      <c r="O379" s="358">
        <f t="shared" si="391"/>
        <v>4000</v>
      </c>
      <c r="P379" s="359">
        <f t="shared" si="392"/>
        <v>574.71264367816093</v>
      </c>
      <c r="Q379" s="321">
        <v>3</v>
      </c>
      <c r="R379" s="188">
        <f t="shared" si="386"/>
        <v>574.71264367816093</v>
      </c>
      <c r="S379" s="188"/>
      <c r="T379" s="188"/>
      <c r="U379" s="357">
        <f t="shared" si="393"/>
        <v>0</v>
      </c>
      <c r="V379" s="188"/>
      <c r="W379" s="188"/>
      <c r="X379" s="357">
        <f t="shared" si="394"/>
        <v>0</v>
      </c>
      <c r="Y379" s="358">
        <f t="shared" si="395"/>
        <v>574.71264367816093</v>
      </c>
      <c r="Z379" s="184">
        <f t="shared" si="351"/>
        <v>0</v>
      </c>
    </row>
    <row r="380" spans="1:26" ht="25.5" hidden="1">
      <c r="A380" s="187">
        <v>3</v>
      </c>
      <c r="B380" s="328" t="s">
        <v>225</v>
      </c>
      <c r="C380" s="189" t="s">
        <v>154</v>
      </c>
      <c r="D380" s="286">
        <v>2</v>
      </c>
      <c r="E380" s="190" t="s">
        <v>155</v>
      </c>
      <c r="F380" s="339">
        <f>3500</f>
        <v>3500</v>
      </c>
      <c r="G380" s="355">
        <f t="shared" si="387"/>
        <v>7000</v>
      </c>
      <c r="H380" s="356">
        <f t="shared" si="388"/>
        <v>7000</v>
      </c>
      <c r="I380" s="357"/>
      <c r="J380" s="357"/>
      <c r="K380" s="357">
        <f t="shared" si="389"/>
        <v>0</v>
      </c>
      <c r="L380" s="357"/>
      <c r="M380" s="357"/>
      <c r="N380" s="357">
        <f t="shared" si="390"/>
        <v>0</v>
      </c>
      <c r="O380" s="358">
        <f t="shared" si="391"/>
        <v>7000</v>
      </c>
      <c r="P380" s="359">
        <f t="shared" si="392"/>
        <v>1005.7471264367816</v>
      </c>
      <c r="Q380" s="321">
        <v>1</v>
      </c>
      <c r="R380" s="188">
        <f t="shared" si="386"/>
        <v>1005.7471264367816</v>
      </c>
      <c r="S380" s="188"/>
      <c r="T380" s="188"/>
      <c r="U380" s="357">
        <f t="shared" si="393"/>
        <v>0</v>
      </c>
      <c r="V380" s="188"/>
      <c r="W380" s="188"/>
      <c r="X380" s="357">
        <f t="shared" si="394"/>
        <v>0</v>
      </c>
      <c r="Y380" s="358">
        <f t="shared" si="395"/>
        <v>1005.7471264367816</v>
      </c>
      <c r="Z380" s="184">
        <f t="shared" si="351"/>
        <v>0</v>
      </c>
    </row>
    <row r="381" spans="1:26" ht="25.5">
      <c r="A381" s="187">
        <v>3</v>
      </c>
      <c r="B381" s="328" t="s">
        <v>225</v>
      </c>
      <c r="C381" s="189" t="s">
        <v>154</v>
      </c>
      <c r="D381" s="286">
        <v>1</v>
      </c>
      <c r="E381" s="190" t="s">
        <v>155</v>
      </c>
      <c r="F381" s="339">
        <f>3500</f>
        <v>3500</v>
      </c>
      <c r="G381" s="355">
        <f t="shared" si="387"/>
        <v>3500</v>
      </c>
      <c r="H381" s="356">
        <f t="shared" si="388"/>
        <v>3500</v>
      </c>
      <c r="I381" s="357"/>
      <c r="J381" s="357"/>
      <c r="K381" s="357">
        <f t="shared" si="389"/>
        <v>0</v>
      </c>
      <c r="L381" s="357"/>
      <c r="M381" s="357"/>
      <c r="N381" s="357">
        <f t="shared" si="390"/>
        <v>0</v>
      </c>
      <c r="O381" s="358">
        <f t="shared" si="391"/>
        <v>3500</v>
      </c>
      <c r="P381" s="359">
        <f t="shared" si="392"/>
        <v>502.87356321839081</v>
      </c>
      <c r="Q381" s="321">
        <v>2</v>
      </c>
      <c r="R381" s="188">
        <f t="shared" si="386"/>
        <v>502.87356321839081</v>
      </c>
      <c r="S381" s="188"/>
      <c r="T381" s="188"/>
      <c r="U381" s="357">
        <f t="shared" si="393"/>
        <v>0</v>
      </c>
      <c r="V381" s="188"/>
      <c r="W381" s="188"/>
      <c r="X381" s="357">
        <f t="shared" si="394"/>
        <v>0</v>
      </c>
      <c r="Y381" s="358">
        <f t="shared" si="395"/>
        <v>502.87356321839081</v>
      </c>
      <c r="Z381" s="184">
        <f t="shared" si="351"/>
        <v>0</v>
      </c>
    </row>
    <row r="382" spans="1:26" ht="25.5" hidden="1">
      <c r="A382" s="187">
        <v>3</v>
      </c>
      <c r="B382" s="328" t="s">
        <v>225</v>
      </c>
      <c r="C382" s="189" t="s">
        <v>154</v>
      </c>
      <c r="D382" s="286">
        <v>1</v>
      </c>
      <c r="E382" s="190" t="s">
        <v>155</v>
      </c>
      <c r="F382" s="339">
        <f>3500</f>
        <v>3500</v>
      </c>
      <c r="G382" s="355">
        <f t="shared" si="387"/>
        <v>3500</v>
      </c>
      <c r="H382" s="356">
        <f t="shared" si="388"/>
        <v>3500</v>
      </c>
      <c r="I382" s="357"/>
      <c r="J382" s="357"/>
      <c r="K382" s="357">
        <f t="shared" si="389"/>
        <v>0</v>
      </c>
      <c r="L382" s="357"/>
      <c r="M382" s="357"/>
      <c r="N382" s="357">
        <f t="shared" si="390"/>
        <v>0</v>
      </c>
      <c r="O382" s="358">
        <f t="shared" si="391"/>
        <v>3500</v>
      </c>
      <c r="P382" s="359">
        <f t="shared" si="392"/>
        <v>502.87356321839081</v>
      </c>
      <c r="Q382" s="321">
        <v>3</v>
      </c>
      <c r="R382" s="188">
        <f t="shared" si="386"/>
        <v>502.87356321839081</v>
      </c>
      <c r="S382" s="188"/>
      <c r="T382" s="188"/>
      <c r="U382" s="357">
        <f t="shared" si="393"/>
        <v>0</v>
      </c>
      <c r="V382" s="188"/>
      <c r="W382" s="188"/>
      <c r="X382" s="357">
        <f t="shared" si="394"/>
        <v>0</v>
      </c>
      <c r="Y382" s="358">
        <f t="shared" si="395"/>
        <v>502.87356321839081</v>
      </c>
      <c r="Z382" s="184">
        <f t="shared" ref="Z382:Z402" si="398">P382-Y382</f>
        <v>0</v>
      </c>
    </row>
    <row r="383" spans="1:26" ht="25.5" hidden="1">
      <c r="A383" s="187">
        <v>3</v>
      </c>
      <c r="B383" s="328" t="s">
        <v>225</v>
      </c>
      <c r="C383" s="189" t="s">
        <v>156</v>
      </c>
      <c r="D383" s="286">
        <v>4</v>
      </c>
      <c r="E383" s="190" t="s">
        <v>248</v>
      </c>
      <c r="F383" s="339">
        <f>100*1</f>
        <v>100</v>
      </c>
      <c r="G383" s="355">
        <f t="shared" si="387"/>
        <v>400</v>
      </c>
      <c r="H383" s="356">
        <f t="shared" si="388"/>
        <v>400</v>
      </c>
      <c r="I383" s="357"/>
      <c r="J383" s="357"/>
      <c r="K383" s="357">
        <f t="shared" si="389"/>
        <v>0</v>
      </c>
      <c r="L383" s="357"/>
      <c r="M383" s="357"/>
      <c r="N383" s="357">
        <f t="shared" si="390"/>
        <v>0</v>
      </c>
      <c r="O383" s="358">
        <f t="shared" si="391"/>
        <v>400</v>
      </c>
      <c r="P383" s="359">
        <f t="shared" si="392"/>
        <v>57.47126436781609</v>
      </c>
      <c r="Q383" s="321">
        <v>1</v>
      </c>
      <c r="R383" s="188">
        <f t="shared" si="386"/>
        <v>57.47126436781609</v>
      </c>
      <c r="S383" s="188"/>
      <c r="T383" s="188"/>
      <c r="U383" s="357">
        <f t="shared" si="393"/>
        <v>0</v>
      </c>
      <c r="V383" s="188"/>
      <c r="W383" s="188"/>
      <c r="X383" s="357">
        <f t="shared" si="394"/>
        <v>0</v>
      </c>
      <c r="Y383" s="358">
        <f t="shared" si="395"/>
        <v>57.47126436781609</v>
      </c>
      <c r="Z383" s="184">
        <f t="shared" si="398"/>
        <v>0</v>
      </c>
    </row>
    <row r="384" spans="1:26" ht="25.5">
      <c r="A384" s="187">
        <v>3</v>
      </c>
      <c r="B384" s="328" t="s">
        <v>225</v>
      </c>
      <c r="C384" s="189" t="s">
        <v>156</v>
      </c>
      <c r="D384" s="286">
        <v>4</v>
      </c>
      <c r="E384" s="190" t="s">
        <v>248</v>
      </c>
      <c r="F384" s="339">
        <f t="shared" ref="F384:F385" si="399">100*1</f>
        <v>100</v>
      </c>
      <c r="G384" s="355">
        <f t="shared" si="387"/>
        <v>400</v>
      </c>
      <c r="H384" s="356">
        <f t="shared" si="388"/>
        <v>400</v>
      </c>
      <c r="I384" s="357"/>
      <c r="J384" s="357"/>
      <c r="K384" s="357">
        <f t="shared" si="389"/>
        <v>0</v>
      </c>
      <c r="L384" s="357"/>
      <c r="M384" s="357"/>
      <c r="N384" s="357">
        <f t="shared" si="390"/>
        <v>0</v>
      </c>
      <c r="O384" s="358">
        <f t="shared" si="391"/>
        <v>400</v>
      </c>
      <c r="P384" s="359">
        <f t="shared" si="392"/>
        <v>57.47126436781609</v>
      </c>
      <c r="Q384" s="321">
        <v>2</v>
      </c>
      <c r="R384" s="188">
        <f t="shared" si="386"/>
        <v>57.47126436781609</v>
      </c>
      <c r="S384" s="188"/>
      <c r="T384" s="188"/>
      <c r="U384" s="357">
        <f t="shared" si="393"/>
        <v>0</v>
      </c>
      <c r="V384" s="188"/>
      <c r="W384" s="188"/>
      <c r="X384" s="357">
        <f t="shared" si="394"/>
        <v>0</v>
      </c>
      <c r="Y384" s="358">
        <f t="shared" si="395"/>
        <v>57.47126436781609</v>
      </c>
      <c r="Z384" s="184">
        <f t="shared" si="398"/>
        <v>0</v>
      </c>
    </row>
    <row r="385" spans="1:26" ht="25.5" hidden="1">
      <c r="A385" s="187">
        <v>3</v>
      </c>
      <c r="B385" s="328" t="s">
        <v>225</v>
      </c>
      <c r="C385" s="189" t="s">
        <v>156</v>
      </c>
      <c r="D385" s="286">
        <v>4</v>
      </c>
      <c r="E385" s="190" t="s">
        <v>248</v>
      </c>
      <c r="F385" s="339">
        <f t="shared" si="399"/>
        <v>100</v>
      </c>
      <c r="G385" s="355">
        <f t="shared" si="387"/>
        <v>400</v>
      </c>
      <c r="H385" s="356">
        <f t="shared" si="388"/>
        <v>400</v>
      </c>
      <c r="I385" s="357"/>
      <c r="J385" s="357"/>
      <c r="K385" s="357">
        <f t="shared" si="389"/>
        <v>0</v>
      </c>
      <c r="L385" s="357"/>
      <c r="M385" s="357"/>
      <c r="N385" s="357">
        <f t="shared" si="390"/>
        <v>0</v>
      </c>
      <c r="O385" s="358">
        <f t="shared" si="391"/>
        <v>400</v>
      </c>
      <c r="P385" s="359">
        <f t="shared" si="392"/>
        <v>57.47126436781609</v>
      </c>
      <c r="Q385" s="321">
        <v>3</v>
      </c>
      <c r="R385" s="188">
        <f t="shared" si="386"/>
        <v>57.47126436781609</v>
      </c>
      <c r="S385" s="188"/>
      <c r="T385" s="188"/>
      <c r="U385" s="357">
        <f t="shared" si="393"/>
        <v>0</v>
      </c>
      <c r="V385" s="188"/>
      <c r="W385" s="188"/>
      <c r="X385" s="357">
        <f t="shared" si="394"/>
        <v>0</v>
      </c>
      <c r="Y385" s="358">
        <f t="shared" si="395"/>
        <v>57.47126436781609</v>
      </c>
      <c r="Z385" s="184">
        <f t="shared" si="398"/>
        <v>0</v>
      </c>
    </row>
    <row r="386" spans="1:26" ht="25.5" hidden="1">
      <c r="A386" s="187">
        <v>3</v>
      </c>
      <c r="B386" s="328" t="s">
        <v>225</v>
      </c>
      <c r="C386" s="189" t="s">
        <v>157</v>
      </c>
      <c r="D386" s="286">
        <v>0</v>
      </c>
      <c r="E386" s="190" t="s">
        <v>76</v>
      </c>
      <c r="F386" s="339">
        <v>300</v>
      </c>
      <c r="G386" s="355">
        <f t="shared" si="387"/>
        <v>0</v>
      </c>
      <c r="H386" s="356">
        <f t="shared" si="388"/>
        <v>0</v>
      </c>
      <c r="I386" s="357"/>
      <c r="J386" s="357"/>
      <c r="K386" s="357">
        <f t="shared" si="389"/>
        <v>0</v>
      </c>
      <c r="L386" s="357"/>
      <c r="M386" s="357"/>
      <c r="N386" s="357">
        <f t="shared" si="390"/>
        <v>0</v>
      </c>
      <c r="O386" s="358">
        <f t="shared" si="391"/>
        <v>0</v>
      </c>
      <c r="P386" s="359">
        <f t="shared" si="392"/>
        <v>0</v>
      </c>
      <c r="Q386" s="321">
        <v>1</v>
      </c>
      <c r="R386" s="188">
        <f t="shared" si="386"/>
        <v>0</v>
      </c>
      <c r="S386" s="188"/>
      <c r="T386" s="188"/>
      <c r="U386" s="357">
        <f t="shared" si="393"/>
        <v>0</v>
      </c>
      <c r="V386" s="188"/>
      <c r="W386" s="188"/>
      <c r="X386" s="357">
        <f t="shared" si="394"/>
        <v>0</v>
      </c>
      <c r="Y386" s="358">
        <f t="shared" si="395"/>
        <v>0</v>
      </c>
      <c r="Z386" s="184">
        <f t="shared" si="398"/>
        <v>0</v>
      </c>
    </row>
    <row r="387" spans="1:26" ht="25.5">
      <c r="A387" s="187">
        <v>3</v>
      </c>
      <c r="B387" s="328" t="s">
        <v>225</v>
      </c>
      <c r="C387" s="189" t="s">
        <v>157</v>
      </c>
      <c r="D387" s="286">
        <v>1</v>
      </c>
      <c r="E387" s="190" t="s">
        <v>76</v>
      </c>
      <c r="F387" s="339">
        <v>600</v>
      </c>
      <c r="G387" s="355">
        <f t="shared" si="387"/>
        <v>600</v>
      </c>
      <c r="H387" s="356">
        <f t="shared" si="388"/>
        <v>600</v>
      </c>
      <c r="I387" s="357"/>
      <c r="J387" s="357"/>
      <c r="K387" s="357">
        <f t="shared" si="389"/>
        <v>0</v>
      </c>
      <c r="L387" s="357"/>
      <c r="M387" s="357"/>
      <c r="N387" s="357">
        <f t="shared" si="390"/>
        <v>0</v>
      </c>
      <c r="O387" s="358">
        <f t="shared" si="391"/>
        <v>600</v>
      </c>
      <c r="P387" s="359">
        <f t="shared" si="392"/>
        <v>86.206896551724142</v>
      </c>
      <c r="Q387" s="321">
        <v>2</v>
      </c>
      <c r="R387" s="188">
        <f t="shared" si="386"/>
        <v>86.206896551724142</v>
      </c>
      <c r="S387" s="188"/>
      <c r="T387" s="188"/>
      <c r="U387" s="357">
        <f t="shared" si="393"/>
        <v>0</v>
      </c>
      <c r="V387" s="188"/>
      <c r="W387" s="188"/>
      <c r="X387" s="357">
        <f t="shared" si="394"/>
        <v>0</v>
      </c>
      <c r="Y387" s="358">
        <f t="shared" si="395"/>
        <v>86.206896551724142</v>
      </c>
      <c r="Z387" s="184">
        <f t="shared" si="398"/>
        <v>0</v>
      </c>
    </row>
    <row r="388" spans="1:26" ht="25.5" hidden="1">
      <c r="A388" s="187">
        <v>3</v>
      </c>
      <c r="B388" s="328" t="s">
        <v>225</v>
      </c>
      <c r="C388" s="189" t="s">
        <v>157</v>
      </c>
      <c r="D388" s="286">
        <v>1</v>
      </c>
      <c r="E388" s="190" t="s">
        <v>76</v>
      </c>
      <c r="F388" s="339">
        <v>400</v>
      </c>
      <c r="G388" s="355">
        <f t="shared" si="387"/>
        <v>400</v>
      </c>
      <c r="H388" s="356">
        <f t="shared" si="388"/>
        <v>400</v>
      </c>
      <c r="I388" s="357"/>
      <c r="J388" s="357"/>
      <c r="K388" s="357">
        <f t="shared" si="389"/>
        <v>0</v>
      </c>
      <c r="L388" s="357"/>
      <c r="M388" s="357"/>
      <c r="N388" s="357">
        <f t="shared" si="390"/>
        <v>0</v>
      </c>
      <c r="O388" s="358">
        <f t="shared" si="391"/>
        <v>400</v>
      </c>
      <c r="P388" s="359">
        <f t="shared" si="392"/>
        <v>57.47126436781609</v>
      </c>
      <c r="Q388" s="321">
        <v>3</v>
      </c>
      <c r="R388" s="188">
        <f t="shared" si="386"/>
        <v>57.47126436781609</v>
      </c>
      <c r="S388" s="188"/>
      <c r="T388" s="188"/>
      <c r="U388" s="357">
        <f t="shared" si="393"/>
        <v>0</v>
      </c>
      <c r="V388" s="188"/>
      <c r="W388" s="188"/>
      <c r="X388" s="357">
        <f t="shared" si="394"/>
        <v>0</v>
      </c>
      <c r="Y388" s="358">
        <f t="shared" si="395"/>
        <v>57.47126436781609</v>
      </c>
      <c r="Z388" s="184">
        <f t="shared" si="398"/>
        <v>0</v>
      </c>
    </row>
    <row r="389" spans="1:26" hidden="1">
      <c r="A389" s="219" t="s">
        <v>226</v>
      </c>
      <c r="B389" s="326"/>
      <c r="C389" s="218"/>
      <c r="D389" s="179"/>
      <c r="E389" s="179"/>
      <c r="F389" s="180"/>
      <c r="G389" s="207">
        <f t="shared" ref="G389:P389" si="400">SUM(G390:G401)</f>
        <v>28000</v>
      </c>
      <c r="H389" s="352">
        <f t="shared" si="400"/>
        <v>28000</v>
      </c>
      <c r="I389" s="353">
        <f t="shared" si="400"/>
        <v>0</v>
      </c>
      <c r="J389" s="353">
        <f t="shared" si="400"/>
        <v>0</v>
      </c>
      <c r="K389" s="353">
        <f t="shared" si="400"/>
        <v>0</v>
      </c>
      <c r="L389" s="353">
        <f t="shared" si="400"/>
        <v>0</v>
      </c>
      <c r="M389" s="353">
        <f t="shared" si="400"/>
        <v>0</v>
      </c>
      <c r="N389" s="353">
        <f t="shared" si="400"/>
        <v>0</v>
      </c>
      <c r="O389" s="354">
        <f t="shared" si="400"/>
        <v>28000</v>
      </c>
      <c r="P389" s="352">
        <f t="shared" si="400"/>
        <v>4022.9885057471261</v>
      </c>
      <c r="Q389" s="320"/>
      <c r="R389" s="181">
        <f t="shared" ref="R389:Y389" si="401">SUM(R390:R401)</f>
        <v>4022.9885057471261</v>
      </c>
      <c r="S389" s="181">
        <f t="shared" si="401"/>
        <v>0</v>
      </c>
      <c r="T389" s="181">
        <f t="shared" si="401"/>
        <v>0</v>
      </c>
      <c r="U389" s="353">
        <f t="shared" si="401"/>
        <v>0</v>
      </c>
      <c r="V389" s="181">
        <f t="shared" si="401"/>
        <v>0</v>
      </c>
      <c r="W389" s="181">
        <f t="shared" si="401"/>
        <v>0</v>
      </c>
      <c r="X389" s="353">
        <f t="shared" si="401"/>
        <v>0</v>
      </c>
      <c r="Y389" s="354">
        <f t="shared" si="401"/>
        <v>4022.9885057471261</v>
      </c>
      <c r="Z389" s="184">
        <f t="shared" si="398"/>
        <v>0</v>
      </c>
    </row>
    <row r="390" spans="1:26" hidden="1">
      <c r="A390" s="187">
        <v>3</v>
      </c>
      <c r="B390" s="328" t="s">
        <v>226</v>
      </c>
      <c r="C390" s="310" t="s">
        <v>158</v>
      </c>
      <c r="D390" s="286">
        <v>0</v>
      </c>
      <c r="E390" s="311" t="s">
        <v>81</v>
      </c>
      <c r="F390" s="339">
        <v>600</v>
      </c>
      <c r="G390" s="355">
        <f t="shared" ref="G390:G401" si="402">D390*F390</f>
        <v>0</v>
      </c>
      <c r="H390" s="356">
        <f t="shared" ref="H390:H401" si="403">R390*$Y$4</f>
        <v>0</v>
      </c>
      <c r="I390" s="357"/>
      <c r="J390" s="357"/>
      <c r="K390" s="357">
        <f t="shared" ref="K390:K401" si="404">I390+J390</f>
        <v>0</v>
      </c>
      <c r="L390" s="357"/>
      <c r="M390" s="357"/>
      <c r="N390" s="357">
        <f t="shared" ref="N390:N401" si="405">L390+M390</f>
        <v>0</v>
      </c>
      <c r="O390" s="358">
        <f t="shared" ref="O390:O401" si="406">H390+K390+N390</f>
        <v>0</v>
      </c>
      <c r="P390" s="359">
        <f t="shared" ref="P390:P401" si="407">G390/$Y$4</f>
        <v>0</v>
      </c>
      <c r="Q390" s="321">
        <v>1</v>
      </c>
      <c r="R390" s="188">
        <f t="shared" ref="R390:R395" si="408">P390</f>
        <v>0</v>
      </c>
      <c r="S390" s="188"/>
      <c r="T390" s="188"/>
      <c r="U390" s="357">
        <f t="shared" ref="U390:U401" si="409">S390+T390</f>
        <v>0</v>
      </c>
      <c r="V390" s="188"/>
      <c r="W390" s="188"/>
      <c r="X390" s="357">
        <f t="shared" ref="X390:X401" si="410">V390+W390</f>
        <v>0</v>
      </c>
      <c r="Y390" s="358">
        <f t="shared" ref="Y390:Y401" si="411">R390+U390+X390</f>
        <v>0</v>
      </c>
      <c r="Z390" s="184">
        <f t="shared" si="398"/>
        <v>0</v>
      </c>
    </row>
    <row r="391" spans="1:26">
      <c r="A391" s="187">
        <v>3</v>
      </c>
      <c r="B391" s="328" t="s">
        <v>226</v>
      </c>
      <c r="C391" s="189" t="s">
        <v>158</v>
      </c>
      <c r="D391" s="286">
        <v>5</v>
      </c>
      <c r="E391" s="311" t="s">
        <v>81</v>
      </c>
      <c r="F391" s="339">
        <v>600</v>
      </c>
      <c r="G391" s="355">
        <f t="shared" si="402"/>
        <v>3000</v>
      </c>
      <c r="H391" s="356">
        <f t="shared" si="403"/>
        <v>3000</v>
      </c>
      <c r="I391" s="357"/>
      <c r="J391" s="357"/>
      <c r="K391" s="357">
        <f t="shared" si="404"/>
        <v>0</v>
      </c>
      <c r="L391" s="357"/>
      <c r="M391" s="357"/>
      <c r="N391" s="357">
        <f t="shared" si="405"/>
        <v>0</v>
      </c>
      <c r="O391" s="358">
        <f t="shared" si="406"/>
        <v>3000</v>
      </c>
      <c r="P391" s="359">
        <f t="shared" si="407"/>
        <v>431.0344827586207</v>
      </c>
      <c r="Q391" s="321">
        <v>2</v>
      </c>
      <c r="R391" s="188">
        <f t="shared" si="408"/>
        <v>431.0344827586207</v>
      </c>
      <c r="S391" s="188"/>
      <c r="T391" s="188"/>
      <c r="U391" s="357">
        <f t="shared" si="409"/>
        <v>0</v>
      </c>
      <c r="V391" s="188"/>
      <c r="W391" s="188"/>
      <c r="X391" s="357">
        <f t="shared" si="410"/>
        <v>0</v>
      </c>
      <c r="Y391" s="358">
        <f t="shared" si="411"/>
        <v>431.0344827586207</v>
      </c>
      <c r="Z391" s="184">
        <f t="shared" si="398"/>
        <v>0</v>
      </c>
    </row>
    <row r="392" spans="1:26" hidden="1">
      <c r="A392" s="187">
        <v>3</v>
      </c>
      <c r="B392" s="328" t="s">
        <v>226</v>
      </c>
      <c r="C392" s="189" t="s">
        <v>158</v>
      </c>
      <c r="D392" s="286">
        <v>5</v>
      </c>
      <c r="E392" s="311" t="s">
        <v>81</v>
      </c>
      <c r="F392" s="339">
        <v>600</v>
      </c>
      <c r="G392" s="355">
        <f t="shared" si="402"/>
        <v>3000</v>
      </c>
      <c r="H392" s="356">
        <f t="shared" si="403"/>
        <v>3000</v>
      </c>
      <c r="I392" s="357"/>
      <c r="J392" s="357"/>
      <c r="K392" s="357">
        <f t="shared" si="404"/>
        <v>0</v>
      </c>
      <c r="L392" s="357"/>
      <c r="M392" s="357"/>
      <c r="N392" s="357">
        <f t="shared" si="405"/>
        <v>0</v>
      </c>
      <c r="O392" s="358">
        <f t="shared" si="406"/>
        <v>3000</v>
      </c>
      <c r="P392" s="359">
        <f t="shared" si="407"/>
        <v>431.0344827586207</v>
      </c>
      <c r="Q392" s="321">
        <v>3</v>
      </c>
      <c r="R392" s="188">
        <f t="shared" si="408"/>
        <v>431.0344827586207</v>
      </c>
      <c r="S392" s="188"/>
      <c r="T392" s="188"/>
      <c r="U392" s="357">
        <f t="shared" si="409"/>
        <v>0</v>
      </c>
      <c r="V392" s="188"/>
      <c r="W392" s="188"/>
      <c r="X392" s="357">
        <f t="shared" si="410"/>
        <v>0</v>
      </c>
      <c r="Y392" s="358">
        <f t="shared" si="411"/>
        <v>431.0344827586207</v>
      </c>
      <c r="Z392" s="184">
        <f t="shared" si="398"/>
        <v>0</v>
      </c>
    </row>
    <row r="393" spans="1:26" hidden="1">
      <c r="A393" s="187">
        <v>3</v>
      </c>
      <c r="B393" s="328" t="s">
        <v>226</v>
      </c>
      <c r="C393" s="189" t="s">
        <v>159</v>
      </c>
      <c r="D393" s="286">
        <v>0</v>
      </c>
      <c r="E393" s="190" t="s">
        <v>81</v>
      </c>
      <c r="F393" s="339">
        <v>400</v>
      </c>
      <c r="G393" s="355">
        <f t="shared" si="402"/>
        <v>0</v>
      </c>
      <c r="H393" s="356">
        <f t="shared" si="403"/>
        <v>0</v>
      </c>
      <c r="I393" s="357"/>
      <c r="J393" s="357"/>
      <c r="K393" s="357">
        <f t="shared" si="404"/>
        <v>0</v>
      </c>
      <c r="L393" s="357"/>
      <c r="M393" s="357"/>
      <c r="N393" s="357">
        <f t="shared" si="405"/>
        <v>0</v>
      </c>
      <c r="O393" s="358">
        <f t="shared" si="406"/>
        <v>0</v>
      </c>
      <c r="P393" s="359">
        <f t="shared" si="407"/>
        <v>0</v>
      </c>
      <c r="Q393" s="321">
        <v>1</v>
      </c>
      <c r="R393" s="188">
        <f t="shared" si="408"/>
        <v>0</v>
      </c>
      <c r="S393" s="188"/>
      <c r="T393" s="188"/>
      <c r="U393" s="357">
        <f t="shared" si="409"/>
        <v>0</v>
      </c>
      <c r="V393" s="188"/>
      <c r="W393" s="188"/>
      <c r="X393" s="357">
        <f t="shared" si="410"/>
        <v>0</v>
      </c>
      <c r="Y393" s="358">
        <f t="shared" si="411"/>
        <v>0</v>
      </c>
      <c r="Z393" s="184">
        <f t="shared" si="398"/>
        <v>0</v>
      </c>
    </row>
    <row r="394" spans="1:26">
      <c r="A394" s="187">
        <v>3</v>
      </c>
      <c r="B394" s="328" t="s">
        <v>226</v>
      </c>
      <c r="C394" s="189" t="s">
        <v>159</v>
      </c>
      <c r="D394" s="286">
        <v>5</v>
      </c>
      <c r="E394" s="190" t="s">
        <v>81</v>
      </c>
      <c r="F394" s="339">
        <v>400</v>
      </c>
      <c r="G394" s="355">
        <f t="shared" si="402"/>
        <v>2000</v>
      </c>
      <c r="H394" s="356">
        <f t="shared" si="403"/>
        <v>2000</v>
      </c>
      <c r="I394" s="357"/>
      <c r="J394" s="357"/>
      <c r="K394" s="357">
        <f t="shared" si="404"/>
        <v>0</v>
      </c>
      <c r="L394" s="357"/>
      <c r="M394" s="357"/>
      <c r="N394" s="357">
        <f t="shared" si="405"/>
        <v>0</v>
      </c>
      <c r="O394" s="358">
        <f t="shared" si="406"/>
        <v>2000</v>
      </c>
      <c r="P394" s="359">
        <f t="shared" si="407"/>
        <v>287.35632183908046</v>
      </c>
      <c r="Q394" s="321">
        <v>2</v>
      </c>
      <c r="R394" s="188">
        <f t="shared" si="408"/>
        <v>287.35632183908046</v>
      </c>
      <c r="S394" s="188"/>
      <c r="T394" s="188"/>
      <c r="U394" s="357">
        <f t="shared" si="409"/>
        <v>0</v>
      </c>
      <c r="V394" s="188"/>
      <c r="W394" s="188"/>
      <c r="X394" s="357">
        <f t="shared" si="410"/>
        <v>0</v>
      </c>
      <c r="Y394" s="358">
        <f t="shared" si="411"/>
        <v>287.35632183908046</v>
      </c>
      <c r="Z394" s="184">
        <f t="shared" si="398"/>
        <v>0</v>
      </c>
    </row>
    <row r="395" spans="1:26" hidden="1">
      <c r="A395" s="187">
        <v>3</v>
      </c>
      <c r="B395" s="328" t="s">
        <v>226</v>
      </c>
      <c r="C395" s="189" t="s">
        <v>159</v>
      </c>
      <c r="D395" s="286">
        <v>5</v>
      </c>
      <c r="E395" s="190" t="s">
        <v>81</v>
      </c>
      <c r="F395" s="339">
        <v>400</v>
      </c>
      <c r="G395" s="355">
        <f t="shared" si="402"/>
        <v>2000</v>
      </c>
      <c r="H395" s="356">
        <f t="shared" si="403"/>
        <v>2000</v>
      </c>
      <c r="I395" s="357"/>
      <c r="J395" s="357"/>
      <c r="K395" s="357">
        <f t="shared" si="404"/>
        <v>0</v>
      </c>
      <c r="L395" s="357"/>
      <c r="M395" s="357"/>
      <c r="N395" s="357">
        <f t="shared" si="405"/>
        <v>0</v>
      </c>
      <c r="O395" s="358">
        <f t="shared" si="406"/>
        <v>2000</v>
      </c>
      <c r="P395" s="359">
        <f t="shared" si="407"/>
        <v>287.35632183908046</v>
      </c>
      <c r="Q395" s="321">
        <v>3</v>
      </c>
      <c r="R395" s="188">
        <f t="shared" si="408"/>
        <v>287.35632183908046</v>
      </c>
      <c r="S395" s="188"/>
      <c r="T395" s="188"/>
      <c r="U395" s="357">
        <f t="shared" si="409"/>
        <v>0</v>
      </c>
      <c r="V395" s="188"/>
      <c r="W395" s="188"/>
      <c r="X395" s="357">
        <f t="shared" si="410"/>
        <v>0</v>
      </c>
      <c r="Y395" s="358">
        <f t="shared" si="411"/>
        <v>287.35632183908046</v>
      </c>
      <c r="Z395" s="184">
        <f t="shared" si="398"/>
        <v>0</v>
      </c>
    </row>
    <row r="396" spans="1:26" ht="25.5" hidden="1">
      <c r="A396" s="187">
        <v>3</v>
      </c>
      <c r="B396" s="328" t="s">
        <v>226</v>
      </c>
      <c r="C396" s="312" t="s">
        <v>160</v>
      </c>
      <c r="D396" s="286">
        <v>0</v>
      </c>
      <c r="E396" s="190" t="s">
        <v>81</v>
      </c>
      <c r="F396" s="339">
        <v>1500</v>
      </c>
      <c r="G396" s="355">
        <f t="shared" si="402"/>
        <v>0</v>
      </c>
      <c r="H396" s="356">
        <f t="shared" si="403"/>
        <v>0</v>
      </c>
      <c r="I396" s="357"/>
      <c r="J396" s="357"/>
      <c r="K396" s="357">
        <f t="shared" si="404"/>
        <v>0</v>
      </c>
      <c r="L396" s="357"/>
      <c r="M396" s="357"/>
      <c r="N396" s="357">
        <f t="shared" si="405"/>
        <v>0</v>
      </c>
      <c r="O396" s="358">
        <f t="shared" si="406"/>
        <v>0</v>
      </c>
      <c r="P396" s="359">
        <f t="shared" si="407"/>
        <v>0</v>
      </c>
      <c r="Q396" s="321">
        <v>1</v>
      </c>
      <c r="R396" s="188">
        <f>P396</f>
        <v>0</v>
      </c>
      <c r="S396" s="188"/>
      <c r="T396" s="188"/>
      <c r="U396" s="357">
        <f t="shared" si="409"/>
        <v>0</v>
      </c>
      <c r="V396" s="188"/>
      <c r="W396" s="188"/>
      <c r="X396" s="357">
        <f t="shared" si="410"/>
        <v>0</v>
      </c>
      <c r="Y396" s="358">
        <f t="shared" si="411"/>
        <v>0</v>
      </c>
      <c r="Z396" s="184">
        <f t="shared" si="398"/>
        <v>0</v>
      </c>
    </row>
    <row r="397" spans="1:26" ht="25.5">
      <c r="A397" s="187">
        <v>3</v>
      </c>
      <c r="B397" s="328" t="s">
        <v>226</v>
      </c>
      <c r="C397" s="312" t="s">
        <v>160</v>
      </c>
      <c r="D397" s="286">
        <v>5</v>
      </c>
      <c r="E397" s="190" t="s">
        <v>81</v>
      </c>
      <c r="F397" s="339">
        <v>1500</v>
      </c>
      <c r="G397" s="355">
        <f t="shared" si="402"/>
        <v>7500</v>
      </c>
      <c r="H397" s="356">
        <f t="shared" si="403"/>
        <v>7499.9999999999991</v>
      </c>
      <c r="I397" s="357"/>
      <c r="J397" s="357"/>
      <c r="K397" s="357">
        <f t="shared" si="404"/>
        <v>0</v>
      </c>
      <c r="L397" s="357"/>
      <c r="M397" s="357"/>
      <c r="N397" s="357">
        <f t="shared" si="405"/>
        <v>0</v>
      </c>
      <c r="O397" s="358">
        <f t="shared" si="406"/>
        <v>7499.9999999999991</v>
      </c>
      <c r="P397" s="359">
        <f t="shared" si="407"/>
        <v>1077.5862068965516</v>
      </c>
      <c r="Q397" s="321">
        <v>2</v>
      </c>
      <c r="R397" s="188">
        <f t="shared" ref="R397:R400" si="412">P397</f>
        <v>1077.5862068965516</v>
      </c>
      <c r="S397" s="188"/>
      <c r="T397" s="188"/>
      <c r="U397" s="357">
        <f t="shared" si="409"/>
        <v>0</v>
      </c>
      <c r="V397" s="188"/>
      <c r="W397" s="188"/>
      <c r="X397" s="357">
        <f t="shared" si="410"/>
        <v>0</v>
      </c>
      <c r="Y397" s="358">
        <f t="shared" si="411"/>
        <v>1077.5862068965516</v>
      </c>
      <c r="Z397" s="184">
        <f t="shared" si="398"/>
        <v>0</v>
      </c>
    </row>
    <row r="398" spans="1:26" ht="25.5" hidden="1">
      <c r="A398" s="187">
        <v>3</v>
      </c>
      <c r="B398" s="328" t="s">
        <v>226</v>
      </c>
      <c r="C398" s="312" t="s">
        <v>160</v>
      </c>
      <c r="D398" s="286">
        <v>5</v>
      </c>
      <c r="E398" s="190" t="s">
        <v>81</v>
      </c>
      <c r="F398" s="339">
        <v>1500</v>
      </c>
      <c r="G398" s="355">
        <f t="shared" si="402"/>
        <v>7500</v>
      </c>
      <c r="H398" s="356">
        <f t="shared" si="403"/>
        <v>7499.9999999999991</v>
      </c>
      <c r="I398" s="357"/>
      <c r="J398" s="357"/>
      <c r="K398" s="357">
        <f t="shared" si="404"/>
        <v>0</v>
      </c>
      <c r="L398" s="357"/>
      <c r="M398" s="357"/>
      <c r="N398" s="357">
        <f t="shared" si="405"/>
        <v>0</v>
      </c>
      <c r="O398" s="358">
        <f t="shared" si="406"/>
        <v>7499.9999999999991</v>
      </c>
      <c r="P398" s="359">
        <f t="shared" si="407"/>
        <v>1077.5862068965516</v>
      </c>
      <c r="Q398" s="321">
        <v>3</v>
      </c>
      <c r="R398" s="188">
        <f t="shared" si="412"/>
        <v>1077.5862068965516</v>
      </c>
      <c r="S398" s="188"/>
      <c r="T398" s="188"/>
      <c r="U398" s="357">
        <f t="shared" si="409"/>
        <v>0</v>
      </c>
      <c r="V398" s="188"/>
      <c r="W398" s="188"/>
      <c r="X398" s="357">
        <f t="shared" si="410"/>
        <v>0</v>
      </c>
      <c r="Y398" s="358">
        <f t="shared" si="411"/>
        <v>1077.5862068965516</v>
      </c>
      <c r="Z398" s="184">
        <f t="shared" si="398"/>
        <v>0</v>
      </c>
    </row>
    <row r="399" spans="1:26" ht="25.5" hidden="1">
      <c r="A399" s="187">
        <v>3</v>
      </c>
      <c r="B399" s="328" t="s">
        <v>226</v>
      </c>
      <c r="C399" s="189" t="s">
        <v>285</v>
      </c>
      <c r="D399" s="286">
        <v>0</v>
      </c>
      <c r="E399" s="190" t="s">
        <v>81</v>
      </c>
      <c r="F399" s="339">
        <f t="shared" ref="F399:F400" si="413">20*15</f>
        <v>300</v>
      </c>
      <c r="G399" s="355">
        <f t="shared" si="402"/>
        <v>0</v>
      </c>
      <c r="H399" s="356">
        <f t="shared" si="403"/>
        <v>0</v>
      </c>
      <c r="I399" s="357"/>
      <c r="J399" s="357"/>
      <c r="K399" s="357">
        <f t="shared" si="404"/>
        <v>0</v>
      </c>
      <c r="L399" s="357"/>
      <c r="M399" s="357"/>
      <c r="N399" s="357">
        <f t="shared" si="405"/>
        <v>0</v>
      </c>
      <c r="O399" s="358">
        <f t="shared" si="406"/>
        <v>0</v>
      </c>
      <c r="P399" s="359">
        <f t="shared" si="407"/>
        <v>0</v>
      </c>
      <c r="Q399" s="321">
        <v>1</v>
      </c>
      <c r="R399" s="188">
        <f t="shared" si="412"/>
        <v>0</v>
      </c>
      <c r="S399" s="188"/>
      <c r="T399" s="188"/>
      <c r="U399" s="357">
        <f t="shared" si="409"/>
        <v>0</v>
      </c>
      <c r="V399" s="188"/>
      <c r="W399" s="188"/>
      <c r="X399" s="357">
        <f t="shared" si="410"/>
        <v>0</v>
      </c>
      <c r="Y399" s="358">
        <f t="shared" si="411"/>
        <v>0</v>
      </c>
      <c r="Z399" s="184">
        <f t="shared" si="398"/>
        <v>0</v>
      </c>
    </row>
    <row r="400" spans="1:26" ht="25.5">
      <c r="A400" s="187">
        <v>3</v>
      </c>
      <c r="B400" s="328" t="s">
        <v>226</v>
      </c>
      <c r="C400" s="189" t="s">
        <v>285</v>
      </c>
      <c r="D400" s="286">
        <v>5</v>
      </c>
      <c r="E400" s="190" t="s">
        <v>81</v>
      </c>
      <c r="F400" s="339">
        <f t="shared" si="413"/>
        <v>300</v>
      </c>
      <c r="G400" s="355">
        <f t="shared" si="402"/>
        <v>1500</v>
      </c>
      <c r="H400" s="356">
        <f t="shared" si="403"/>
        <v>1500</v>
      </c>
      <c r="I400" s="357"/>
      <c r="J400" s="357"/>
      <c r="K400" s="357">
        <f t="shared" si="404"/>
        <v>0</v>
      </c>
      <c r="L400" s="357"/>
      <c r="M400" s="357"/>
      <c r="N400" s="357">
        <f t="shared" si="405"/>
        <v>0</v>
      </c>
      <c r="O400" s="358">
        <f t="shared" si="406"/>
        <v>1500</v>
      </c>
      <c r="P400" s="359">
        <f t="shared" si="407"/>
        <v>215.51724137931035</v>
      </c>
      <c r="Q400" s="321">
        <v>2</v>
      </c>
      <c r="R400" s="188">
        <f t="shared" si="412"/>
        <v>215.51724137931035</v>
      </c>
      <c r="S400" s="188"/>
      <c r="T400" s="188"/>
      <c r="U400" s="357">
        <f t="shared" si="409"/>
        <v>0</v>
      </c>
      <c r="V400" s="188"/>
      <c r="W400" s="188"/>
      <c r="X400" s="357">
        <f t="shared" si="410"/>
        <v>0</v>
      </c>
      <c r="Y400" s="358">
        <f t="shared" si="411"/>
        <v>215.51724137931035</v>
      </c>
      <c r="Z400" s="184">
        <f t="shared" si="398"/>
        <v>0</v>
      </c>
    </row>
    <row r="401" spans="1:26" ht="25.5" hidden="1">
      <c r="A401" s="187">
        <v>3</v>
      </c>
      <c r="B401" s="328" t="s">
        <v>226</v>
      </c>
      <c r="C401" s="189" t="s">
        <v>285</v>
      </c>
      <c r="D401" s="286">
        <v>5</v>
      </c>
      <c r="E401" s="190" t="s">
        <v>81</v>
      </c>
      <c r="F401" s="339">
        <f>20*15</f>
        <v>300</v>
      </c>
      <c r="G401" s="355">
        <f t="shared" si="402"/>
        <v>1500</v>
      </c>
      <c r="H401" s="356">
        <f t="shared" si="403"/>
        <v>1500</v>
      </c>
      <c r="I401" s="357"/>
      <c r="J401" s="357"/>
      <c r="K401" s="357">
        <f t="shared" si="404"/>
        <v>0</v>
      </c>
      <c r="L401" s="357"/>
      <c r="M401" s="357"/>
      <c r="N401" s="357">
        <f t="shared" si="405"/>
        <v>0</v>
      </c>
      <c r="O401" s="358">
        <f t="shared" si="406"/>
        <v>1500</v>
      </c>
      <c r="P401" s="359">
        <f t="shared" si="407"/>
        <v>215.51724137931035</v>
      </c>
      <c r="Q401" s="321">
        <v>3</v>
      </c>
      <c r="R401" s="188">
        <f>P401</f>
        <v>215.51724137931035</v>
      </c>
      <c r="S401" s="188"/>
      <c r="T401" s="188"/>
      <c r="U401" s="357">
        <f t="shared" si="409"/>
        <v>0</v>
      </c>
      <c r="V401" s="188"/>
      <c r="W401" s="188"/>
      <c r="X401" s="357">
        <f t="shared" si="410"/>
        <v>0</v>
      </c>
      <c r="Y401" s="358">
        <f t="shared" si="411"/>
        <v>215.51724137931035</v>
      </c>
      <c r="Z401" s="184">
        <f t="shared" si="398"/>
        <v>0</v>
      </c>
    </row>
    <row r="402" spans="1:26" hidden="1">
      <c r="A402" s="221" t="s">
        <v>86</v>
      </c>
      <c r="B402" s="325"/>
      <c r="C402" s="222"/>
      <c r="D402" s="283"/>
      <c r="E402" s="283"/>
      <c r="F402" s="223"/>
      <c r="G402" s="209">
        <f t="shared" ref="G402:P402" si="414">G403+G425+G465+G505+G518</f>
        <v>2396267.9699999997</v>
      </c>
      <c r="H402" s="210">
        <f t="shared" si="414"/>
        <v>2147883.1939999997</v>
      </c>
      <c r="I402" s="211">
        <f t="shared" si="414"/>
        <v>70000</v>
      </c>
      <c r="J402" s="211">
        <f t="shared" si="414"/>
        <v>178384.77600000001</v>
      </c>
      <c r="K402" s="211">
        <f t="shared" si="414"/>
        <v>248384.77600000001</v>
      </c>
      <c r="L402" s="211">
        <f t="shared" si="414"/>
        <v>0</v>
      </c>
      <c r="M402" s="211">
        <f t="shared" si="414"/>
        <v>0</v>
      </c>
      <c r="N402" s="211">
        <f t="shared" si="414"/>
        <v>0</v>
      </c>
      <c r="O402" s="212">
        <f t="shared" si="414"/>
        <v>2396267.9699999997</v>
      </c>
      <c r="P402" s="280">
        <f t="shared" si="414"/>
        <v>344291.375</v>
      </c>
      <c r="Q402" s="319"/>
      <c r="R402" s="453">
        <f t="shared" ref="R402:Y402" si="415">R403+R425+R465+R505+R518</f>
        <v>308603.90718390804</v>
      </c>
      <c r="S402" s="453">
        <f t="shared" si="415"/>
        <v>10057.471264367816</v>
      </c>
      <c r="T402" s="453">
        <f t="shared" si="415"/>
        <v>25629.996551724136</v>
      </c>
      <c r="U402" s="454">
        <f t="shared" si="415"/>
        <v>35687.46781609195</v>
      </c>
      <c r="V402" s="453">
        <f t="shared" si="415"/>
        <v>0</v>
      </c>
      <c r="W402" s="453">
        <f t="shared" si="415"/>
        <v>0</v>
      </c>
      <c r="X402" s="454">
        <f t="shared" si="415"/>
        <v>0</v>
      </c>
      <c r="Y402" s="455">
        <f t="shared" si="415"/>
        <v>344291.375</v>
      </c>
      <c r="Z402" s="184">
        <f t="shared" si="398"/>
        <v>0</v>
      </c>
    </row>
    <row r="403" spans="1:26" hidden="1">
      <c r="A403" s="219" t="s">
        <v>87</v>
      </c>
      <c r="B403" s="326"/>
      <c r="C403" s="220"/>
      <c r="D403" s="185"/>
      <c r="E403" s="185"/>
      <c r="F403" s="186"/>
      <c r="G403" s="207">
        <f t="shared" ref="G403:P403" si="416">SUM(G404:G424)</f>
        <v>1515495.9699999997</v>
      </c>
      <c r="H403" s="352">
        <f t="shared" si="416"/>
        <v>1337111.1939999997</v>
      </c>
      <c r="I403" s="353">
        <f t="shared" si="416"/>
        <v>0</v>
      </c>
      <c r="J403" s="353">
        <f t="shared" si="416"/>
        <v>178384.77600000001</v>
      </c>
      <c r="K403" s="353">
        <f t="shared" ref="K403" si="417">SUM(K404:K424)</f>
        <v>178384.77600000001</v>
      </c>
      <c r="L403" s="353">
        <f t="shared" si="416"/>
        <v>0</v>
      </c>
      <c r="M403" s="353">
        <f t="shared" si="416"/>
        <v>0</v>
      </c>
      <c r="N403" s="353">
        <f t="shared" si="416"/>
        <v>0</v>
      </c>
      <c r="O403" s="354">
        <f t="shared" si="416"/>
        <v>1515495.9699999997</v>
      </c>
      <c r="P403" s="352">
        <f t="shared" si="416"/>
        <v>217743.67385057468</v>
      </c>
      <c r="Q403" s="320"/>
      <c r="R403" s="181">
        <f t="shared" ref="R403:Y403" si="418">SUM(R404:R424)</f>
        <v>192113.67729885058</v>
      </c>
      <c r="S403" s="181">
        <f t="shared" si="418"/>
        <v>0</v>
      </c>
      <c r="T403" s="181">
        <f t="shared" si="418"/>
        <v>25629.996551724136</v>
      </c>
      <c r="U403" s="353">
        <f t="shared" si="418"/>
        <v>25629.996551724136</v>
      </c>
      <c r="V403" s="181">
        <f t="shared" si="418"/>
        <v>0</v>
      </c>
      <c r="W403" s="181">
        <f t="shared" si="418"/>
        <v>0</v>
      </c>
      <c r="X403" s="353">
        <f t="shared" si="418"/>
        <v>0</v>
      </c>
      <c r="Y403" s="354">
        <f t="shared" si="418"/>
        <v>217743.67385057468</v>
      </c>
      <c r="Z403" s="299">
        <f>R403/600000</f>
        <v>0.32018946216475097</v>
      </c>
    </row>
    <row r="404" spans="1:26" ht="25.5" hidden="1">
      <c r="A404" s="187" t="s">
        <v>288</v>
      </c>
      <c r="B404" s="328" t="s">
        <v>87</v>
      </c>
      <c r="C404" s="189" t="s">
        <v>331</v>
      </c>
      <c r="D404" s="286">
        <v>14</v>
      </c>
      <c r="E404" s="190" t="s">
        <v>77</v>
      </c>
      <c r="F404" s="339">
        <f t="shared" ref="F404:F424" si="419">G404/D404</f>
        <v>5715.8571428571431</v>
      </c>
      <c r="G404" s="355">
        <v>80022</v>
      </c>
      <c r="H404" s="356">
        <f t="shared" ref="H404:H424" si="420">R404*$Y$4</f>
        <v>80022</v>
      </c>
      <c r="I404" s="357"/>
      <c r="J404" s="357">
        <f t="shared" ref="J404:J424" si="421">T404*$Y$4</f>
        <v>0</v>
      </c>
      <c r="K404" s="357">
        <f t="shared" ref="K404:K424" si="422">I404+J404</f>
        <v>0</v>
      </c>
      <c r="L404" s="357"/>
      <c r="M404" s="357"/>
      <c r="N404" s="357">
        <f t="shared" ref="N404:N424" si="423">L404+M404</f>
        <v>0</v>
      </c>
      <c r="O404" s="358">
        <f>H404+K404+N404</f>
        <v>80022</v>
      </c>
      <c r="P404" s="359">
        <f>G404/$Y$4</f>
        <v>11497.413793103447</v>
      </c>
      <c r="Q404" s="321">
        <v>1</v>
      </c>
      <c r="R404" s="188">
        <f>P404</f>
        <v>11497.413793103447</v>
      </c>
      <c r="S404" s="188"/>
      <c r="T404" s="188"/>
      <c r="U404" s="357">
        <f t="shared" ref="U404:U424" si="424">S404+T404</f>
        <v>0</v>
      </c>
      <c r="V404" s="188"/>
      <c r="W404" s="188"/>
      <c r="X404" s="357">
        <f t="shared" ref="X404:X424" si="425">V404+W404</f>
        <v>0</v>
      </c>
      <c r="Y404" s="358">
        <f t="shared" ref="Y404:Y424" si="426">R404+U404+X404</f>
        <v>11497.413793103447</v>
      </c>
      <c r="Z404" s="184">
        <f t="shared" ref="Z404:Z443" si="427">P404-Y404</f>
        <v>0</v>
      </c>
    </row>
    <row r="405" spans="1:26" ht="25.5">
      <c r="A405" s="187" t="s">
        <v>288</v>
      </c>
      <c r="B405" s="328" t="s">
        <v>87</v>
      </c>
      <c r="C405" s="189" t="s">
        <v>338</v>
      </c>
      <c r="D405" s="286">
        <v>14</v>
      </c>
      <c r="E405" s="190" t="s">
        <v>77</v>
      </c>
      <c r="F405" s="339">
        <f t="shared" si="419"/>
        <v>6001.6500000000005</v>
      </c>
      <c r="G405" s="355">
        <v>84023.1</v>
      </c>
      <c r="H405" s="356">
        <f t="shared" si="420"/>
        <v>84023.1</v>
      </c>
      <c r="I405" s="357"/>
      <c r="J405" s="357">
        <f t="shared" si="421"/>
        <v>0</v>
      </c>
      <c r="K405" s="357">
        <f t="shared" si="422"/>
        <v>0</v>
      </c>
      <c r="L405" s="357"/>
      <c r="M405" s="357"/>
      <c r="N405" s="357">
        <f t="shared" si="423"/>
        <v>0</v>
      </c>
      <c r="O405" s="358">
        <f t="shared" ref="O405:O424" si="428">H405+K405+N405</f>
        <v>84023.1</v>
      </c>
      <c r="P405" s="359">
        <f t="shared" ref="P405:P406" si="429">G405/$Y$4</f>
        <v>12072.284482758621</v>
      </c>
      <c r="Q405" s="321">
        <v>2</v>
      </c>
      <c r="R405" s="188">
        <f t="shared" ref="R405:R406" si="430">P405</f>
        <v>12072.284482758621</v>
      </c>
      <c r="S405" s="188"/>
      <c r="T405" s="188"/>
      <c r="U405" s="357">
        <f t="shared" si="424"/>
        <v>0</v>
      </c>
      <c r="V405" s="188"/>
      <c r="W405" s="188"/>
      <c r="X405" s="357">
        <f t="shared" si="425"/>
        <v>0</v>
      </c>
      <c r="Y405" s="358">
        <f t="shared" si="426"/>
        <v>12072.284482758621</v>
      </c>
      <c r="Z405" s="184">
        <f t="shared" si="427"/>
        <v>0</v>
      </c>
    </row>
    <row r="406" spans="1:26" ht="25.5" hidden="1">
      <c r="A406" s="187" t="s">
        <v>288</v>
      </c>
      <c r="B406" s="328" t="s">
        <v>87</v>
      </c>
      <c r="C406" s="189" t="s">
        <v>339</v>
      </c>
      <c r="D406" s="286">
        <v>14</v>
      </c>
      <c r="E406" s="190" t="s">
        <v>77</v>
      </c>
      <c r="F406" s="339">
        <f t="shared" si="419"/>
        <v>6444.6292857142853</v>
      </c>
      <c r="G406" s="355">
        <v>90224.81</v>
      </c>
      <c r="H406" s="356">
        <f t="shared" si="420"/>
        <v>90224.81</v>
      </c>
      <c r="I406" s="357"/>
      <c r="J406" s="357">
        <f t="shared" si="421"/>
        <v>0</v>
      </c>
      <c r="K406" s="357">
        <f t="shared" si="422"/>
        <v>0</v>
      </c>
      <c r="L406" s="357"/>
      <c r="M406" s="357"/>
      <c r="N406" s="357">
        <f t="shared" si="423"/>
        <v>0</v>
      </c>
      <c r="O406" s="358">
        <f t="shared" si="428"/>
        <v>90224.81</v>
      </c>
      <c r="P406" s="359">
        <f t="shared" si="429"/>
        <v>12963.334770114941</v>
      </c>
      <c r="Q406" s="321">
        <v>3</v>
      </c>
      <c r="R406" s="188">
        <f t="shared" si="430"/>
        <v>12963.334770114941</v>
      </c>
      <c r="S406" s="188"/>
      <c r="T406" s="188"/>
      <c r="U406" s="357">
        <f t="shared" si="424"/>
        <v>0</v>
      </c>
      <c r="V406" s="188"/>
      <c r="W406" s="188"/>
      <c r="X406" s="357">
        <f t="shared" si="425"/>
        <v>0</v>
      </c>
      <c r="Y406" s="358">
        <f t="shared" si="426"/>
        <v>12963.334770114941</v>
      </c>
      <c r="Z406" s="184">
        <f t="shared" si="427"/>
        <v>0</v>
      </c>
    </row>
    <row r="407" spans="1:26" ht="25.5" hidden="1">
      <c r="A407" s="187" t="s">
        <v>288</v>
      </c>
      <c r="B407" s="328" t="s">
        <v>87</v>
      </c>
      <c r="C407" s="189" t="s">
        <v>340</v>
      </c>
      <c r="D407" s="286">
        <v>14</v>
      </c>
      <c r="E407" s="190" t="s">
        <v>77</v>
      </c>
      <c r="F407" s="339">
        <f t="shared" si="419"/>
        <v>4572.6857142857143</v>
      </c>
      <c r="G407" s="355">
        <v>64017.599999999999</v>
      </c>
      <c r="H407" s="356">
        <f t="shared" si="420"/>
        <v>64017.600000000006</v>
      </c>
      <c r="I407" s="357"/>
      <c r="J407" s="357">
        <f t="shared" si="421"/>
        <v>0</v>
      </c>
      <c r="K407" s="357">
        <f t="shared" si="422"/>
        <v>0</v>
      </c>
      <c r="L407" s="357"/>
      <c r="M407" s="357"/>
      <c r="N407" s="357">
        <f t="shared" si="423"/>
        <v>0</v>
      </c>
      <c r="O407" s="358">
        <f t="shared" si="428"/>
        <v>64017.600000000006</v>
      </c>
      <c r="P407" s="359">
        <f>G407/$Y$4</f>
        <v>9197.9310344827591</v>
      </c>
      <c r="Q407" s="321">
        <v>1</v>
      </c>
      <c r="R407" s="188">
        <f>P407</f>
        <v>9197.9310344827591</v>
      </c>
      <c r="S407" s="188"/>
      <c r="T407" s="188"/>
      <c r="U407" s="357">
        <f t="shared" si="424"/>
        <v>0</v>
      </c>
      <c r="V407" s="188"/>
      <c r="W407" s="188"/>
      <c r="X407" s="357">
        <f t="shared" si="425"/>
        <v>0</v>
      </c>
      <c r="Y407" s="358">
        <f t="shared" si="426"/>
        <v>9197.9310344827591</v>
      </c>
      <c r="Z407" s="184">
        <f t="shared" si="427"/>
        <v>0</v>
      </c>
    </row>
    <row r="408" spans="1:26" ht="25.5">
      <c r="A408" s="187" t="s">
        <v>288</v>
      </c>
      <c r="B408" s="328" t="s">
        <v>87</v>
      </c>
      <c r="C408" s="189" t="s">
        <v>341</v>
      </c>
      <c r="D408" s="286">
        <v>14</v>
      </c>
      <c r="E408" s="190" t="s">
        <v>77</v>
      </c>
      <c r="F408" s="339">
        <f t="shared" si="419"/>
        <v>4801.32</v>
      </c>
      <c r="G408" s="355">
        <v>67218.48</v>
      </c>
      <c r="H408" s="356">
        <f t="shared" si="420"/>
        <v>67218.48</v>
      </c>
      <c r="I408" s="357"/>
      <c r="J408" s="357">
        <f t="shared" si="421"/>
        <v>0</v>
      </c>
      <c r="K408" s="357">
        <f t="shared" si="422"/>
        <v>0</v>
      </c>
      <c r="L408" s="357"/>
      <c r="M408" s="357"/>
      <c r="N408" s="357">
        <f t="shared" si="423"/>
        <v>0</v>
      </c>
      <c r="O408" s="358">
        <f t="shared" si="428"/>
        <v>67218.48</v>
      </c>
      <c r="P408" s="359">
        <f t="shared" ref="P408:P409" si="431">G408/$Y$4</f>
        <v>9657.8275862068967</v>
      </c>
      <c r="Q408" s="321">
        <v>2</v>
      </c>
      <c r="R408" s="188">
        <f t="shared" ref="R408:R409" si="432">P408</f>
        <v>9657.8275862068967</v>
      </c>
      <c r="S408" s="188"/>
      <c r="T408" s="188"/>
      <c r="U408" s="357">
        <f t="shared" si="424"/>
        <v>0</v>
      </c>
      <c r="V408" s="188"/>
      <c r="W408" s="188"/>
      <c r="X408" s="357">
        <f t="shared" si="425"/>
        <v>0</v>
      </c>
      <c r="Y408" s="358">
        <f t="shared" si="426"/>
        <v>9657.8275862068967</v>
      </c>
      <c r="Z408" s="184">
        <f t="shared" si="427"/>
        <v>0</v>
      </c>
    </row>
    <row r="409" spans="1:26" ht="25.5" hidden="1">
      <c r="A409" s="187" t="s">
        <v>288</v>
      </c>
      <c r="B409" s="328" t="s">
        <v>87</v>
      </c>
      <c r="C409" s="189" t="s">
        <v>342</v>
      </c>
      <c r="D409" s="286">
        <v>14</v>
      </c>
      <c r="E409" s="190" t="s">
        <v>77</v>
      </c>
      <c r="F409" s="339">
        <f t="shared" si="419"/>
        <v>5184.2821428571424</v>
      </c>
      <c r="G409" s="355">
        <v>72579.95</v>
      </c>
      <c r="H409" s="356">
        <f t="shared" si="420"/>
        <v>72579.95</v>
      </c>
      <c r="I409" s="357"/>
      <c r="J409" s="357">
        <f t="shared" si="421"/>
        <v>0</v>
      </c>
      <c r="K409" s="357">
        <f t="shared" si="422"/>
        <v>0</v>
      </c>
      <c r="L409" s="357"/>
      <c r="M409" s="357"/>
      <c r="N409" s="357">
        <f t="shared" si="423"/>
        <v>0</v>
      </c>
      <c r="O409" s="358">
        <f t="shared" si="428"/>
        <v>72579.95</v>
      </c>
      <c r="P409" s="359">
        <f t="shared" si="431"/>
        <v>10428.153735632184</v>
      </c>
      <c r="Q409" s="321">
        <v>3</v>
      </c>
      <c r="R409" s="188">
        <f t="shared" si="432"/>
        <v>10428.153735632184</v>
      </c>
      <c r="S409" s="188"/>
      <c r="T409" s="188"/>
      <c r="U409" s="357">
        <f t="shared" si="424"/>
        <v>0</v>
      </c>
      <c r="V409" s="188"/>
      <c r="W409" s="188"/>
      <c r="X409" s="357">
        <f t="shared" si="425"/>
        <v>0</v>
      </c>
      <c r="Y409" s="358">
        <f t="shared" si="426"/>
        <v>10428.153735632184</v>
      </c>
      <c r="Z409" s="184">
        <f t="shared" si="427"/>
        <v>0</v>
      </c>
    </row>
    <row r="410" spans="1:26" ht="25.5" hidden="1">
      <c r="A410" s="187" t="s">
        <v>288</v>
      </c>
      <c r="B410" s="328" t="s">
        <v>87</v>
      </c>
      <c r="C410" s="189" t="s">
        <v>333</v>
      </c>
      <c r="D410" s="286">
        <v>14</v>
      </c>
      <c r="E410" s="190" t="s">
        <v>77</v>
      </c>
      <c r="F410" s="339">
        <f t="shared" si="419"/>
        <v>4572.6857142857143</v>
      </c>
      <c r="G410" s="355">
        <v>64017.599999999999</v>
      </c>
      <c r="H410" s="356">
        <f t="shared" si="420"/>
        <v>64017.600000000006</v>
      </c>
      <c r="I410" s="357"/>
      <c r="J410" s="357">
        <f t="shared" si="421"/>
        <v>0</v>
      </c>
      <c r="K410" s="357">
        <f t="shared" si="422"/>
        <v>0</v>
      </c>
      <c r="L410" s="357"/>
      <c r="M410" s="357"/>
      <c r="N410" s="357">
        <f t="shared" si="423"/>
        <v>0</v>
      </c>
      <c r="O410" s="358">
        <f t="shared" si="428"/>
        <v>64017.600000000006</v>
      </c>
      <c r="P410" s="359">
        <f>G410/$Y$4</f>
        <v>9197.9310344827591</v>
      </c>
      <c r="Q410" s="321">
        <v>1</v>
      </c>
      <c r="R410" s="188">
        <f>P410</f>
        <v>9197.9310344827591</v>
      </c>
      <c r="S410" s="188"/>
      <c r="T410" s="188"/>
      <c r="U410" s="357">
        <f t="shared" si="424"/>
        <v>0</v>
      </c>
      <c r="V410" s="188"/>
      <c r="W410" s="188"/>
      <c r="X410" s="357">
        <f t="shared" si="425"/>
        <v>0</v>
      </c>
      <c r="Y410" s="358">
        <f t="shared" si="426"/>
        <v>9197.9310344827591</v>
      </c>
      <c r="Z410" s="184">
        <f t="shared" si="427"/>
        <v>0</v>
      </c>
    </row>
    <row r="411" spans="1:26" ht="25.5">
      <c r="A411" s="187" t="s">
        <v>288</v>
      </c>
      <c r="B411" s="328" t="s">
        <v>87</v>
      </c>
      <c r="C411" s="189" t="s">
        <v>343</v>
      </c>
      <c r="D411" s="286">
        <v>14</v>
      </c>
      <c r="E411" s="190" t="s">
        <v>77</v>
      </c>
      <c r="F411" s="339">
        <f t="shared" si="419"/>
        <v>4801.32</v>
      </c>
      <c r="G411" s="355">
        <v>67218.48</v>
      </c>
      <c r="H411" s="356">
        <f t="shared" si="420"/>
        <v>67218.48</v>
      </c>
      <c r="I411" s="357"/>
      <c r="J411" s="357">
        <f t="shared" si="421"/>
        <v>0</v>
      </c>
      <c r="K411" s="357">
        <f t="shared" si="422"/>
        <v>0</v>
      </c>
      <c r="L411" s="357"/>
      <c r="M411" s="357"/>
      <c r="N411" s="357">
        <f t="shared" si="423"/>
        <v>0</v>
      </c>
      <c r="O411" s="358">
        <f t="shared" si="428"/>
        <v>67218.48</v>
      </c>
      <c r="P411" s="359">
        <f t="shared" ref="P411:P412" si="433">G411/$Y$4</f>
        <v>9657.8275862068967</v>
      </c>
      <c r="Q411" s="321">
        <v>2</v>
      </c>
      <c r="R411" s="188">
        <f t="shared" ref="R411:R412" si="434">P411</f>
        <v>9657.8275862068967</v>
      </c>
      <c r="S411" s="188"/>
      <c r="T411" s="188"/>
      <c r="U411" s="357">
        <f t="shared" si="424"/>
        <v>0</v>
      </c>
      <c r="V411" s="188"/>
      <c r="W411" s="188"/>
      <c r="X411" s="357">
        <f t="shared" si="425"/>
        <v>0</v>
      </c>
      <c r="Y411" s="358">
        <f t="shared" si="426"/>
        <v>9657.8275862068967</v>
      </c>
      <c r="Z411" s="184">
        <f t="shared" si="427"/>
        <v>0</v>
      </c>
    </row>
    <row r="412" spans="1:26" ht="25.5" hidden="1">
      <c r="A412" s="187" t="s">
        <v>288</v>
      </c>
      <c r="B412" s="328" t="s">
        <v>87</v>
      </c>
      <c r="C412" s="189" t="s">
        <v>344</v>
      </c>
      <c r="D412" s="286">
        <v>14</v>
      </c>
      <c r="E412" s="190" t="s">
        <v>77</v>
      </c>
      <c r="F412" s="339">
        <f t="shared" si="419"/>
        <v>5184.2821428571424</v>
      </c>
      <c r="G412" s="355">
        <v>72579.95</v>
      </c>
      <c r="H412" s="356">
        <f t="shared" si="420"/>
        <v>72579.95</v>
      </c>
      <c r="I412" s="357"/>
      <c r="J412" s="357">
        <f t="shared" si="421"/>
        <v>0</v>
      </c>
      <c r="K412" s="357">
        <f t="shared" si="422"/>
        <v>0</v>
      </c>
      <c r="L412" s="357"/>
      <c r="M412" s="357"/>
      <c r="N412" s="357">
        <f t="shared" si="423"/>
        <v>0</v>
      </c>
      <c r="O412" s="358">
        <f t="shared" si="428"/>
        <v>72579.95</v>
      </c>
      <c r="P412" s="359">
        <f t="shared" si="433"/>
        <v>10428.153735632184</v>
      </c>
      <c r="Q412" s="321">
        <v>3</v>
      </c>
      <c r="R412" s="188">
        <f t="shared" si="434"/>
        <v>10428.153735632184</v>
      </c>
      <c r="S412" s="188"/>
      <c r="T412" s="188"/>
      <c r="U412" s="357">
        <f t="shared" si="424"/>
        <v>0</v>
      </c>
      <c r="V412" s="188"/>
      <c r="W412" s="188"/>
      <c r="X412" s="357">
        <f t="shared" si="425"/>
        <v>0</v>
      </c>
      <c r="Y412" s="358">
        <f t="shared" si="426"/>
        <v>10428.153735632184</v>
      </c>
      <c r="Z412" s="184">
        <f t="shared" si="427"/>
        <v>0</v>
      </c>
    </row>
    <row r="413" spans="1:26" ht="25.5" hidden="1">
      <c r="A413" s="187" t="s">
        <v>288</v>
      </c>
      <c r="B413" s="328" t="s">
        <v>87</v>
      </c>
      <c r="C413" s="189" t="s">
        <v>334</v>
      </c>
      <c r="D413" s="286">
        <v>14</v>
      </c>
      <c r="E413" s="190" t="s">
        <v>77</v>
      </c>
      <c r="F413" s="339">
        <f t="shared" si="419"/>
        <v>4572.6857142857143</v>
      </c>
      <c r="G413" s="355">
        <v>64017.599999999999</v>
      </c>
      <c r="H413" s="356">
        <f t="shared" si="420"/>
        <v>64017.600000000006</v>
      </c>
      <c r="I413" s="357"/>
      <c r="J413" s="357">
        <f t="shared" si="421"/>
        <v>0</v>
      </c>
      <c r="K413" s="357">
        <f t="shared" si="422"/>
        <v>0</v>
      </c>
      <c r="L413" s="357"/>
      <c r="M413" s="357"/>
      <c r="N413" s="357">
        <f t="shared" si="423"/>
        <v>0</v>
      </c>
      <c r="O413" s="358">
        <f t="shared" si="428"/>
        <v>64017.600000000006</v>
      </c>
      <c r="P413" s="359">
        <f>G413/$Y$4</f>
        <v>9197.9310344827591</v>
      </c>
      <c r="Q413" s="321">
        <v>1</v>
      </c>
      <c r="R413" s="188">
        <f>P413</f>
        <v>9197.9310344827591</v>
      </c>
      <c r="S413" s="188"/>
      <c r="T413" s="188"/>
      <c r="U413" s="357">
        <f t="shared" si="424"/>
        <v>0</v>
      </c>
      <c r="V413" s="188"/>
      <c r="W413" s="188"/>
      <c r="X413" s="357">
        <f t="shared" si="425"/>
        <v>0</v>
      </c>
      <c r="Y413" s="358">
        <f t="shared" si="426"/>
        <v>9197.9310344827591</v>
      </c>
      <c r="Z413" s="184">
        <f t="shared" si="427"/>
        <v>0</v>
      </c>
    </row>
    <row r="414" spans="1:26" ht="25.5">
      <c r="A414" s="187" t="s">
        <v>288</v>
      </c>
      <c r="B414" s="328" t="s">
        <v>87</v>
      </c>
      <c r="C414" s="189" t="s">
        <v>345</v>
      </c>
      <c r="D414" s="286">
        <v>14</v>
      </c>
      <c r="E414" s="190" t="s">
        <v>77</v>
      </c>
      <c r="F414" s="339">
        <f t="shared" si="419"/>
        <v>4801.32</v>
      </c>
      <c r="G414" s="355">
        <v>67218.48</v>
      </c>
      <c r="H414" s="356">
        <f t="shared" si="420"/>
        <v>67218.48</v>
      </c>
      <c r="I414" s="357"/>
      <c r="J414" s="357">
        <f t="shared" si="421"/>
        <v>0</v>
      </c>
      <c r="K414" s="357">
        <f t="shared" si="422"/>
        <v>0</v>
      </c>
      <c r="L414" s="357"/>
      <c r="M414" s="357"/>
      <c r="N414" s="357">
        <f t="shared" si="423"/>
        <v>0</v>
      </c>
      <c r="O414" s="358">
        <f t="shared" si="428"/>
        <v>67218.48</v>
      </c>
      <c r="P414" s="359">
        <f t="shared" ref="P414:P415" si="435">G414/$Y$4</f>
        <v>9657.8275862068967</v>
      </c>
      <c r="Q414" s="321">
        <v>2</v>
      </c>
      <c r="R414" s="188">
        <f t="shared" ref="R414:R415" si="436">P414</f>
        <v>9657.8275862068967</v>
      </c>
      <c r="S414" s="188"/>
      <c r="T414" s="188"/>
      <c r="U414" s="357">
        <f t="shared" si="424"/>
        <v>0</v>
      </c>
      <c r="V414" s="188"/>
      <c r="W414" s="188"/>
      <c r="X414" s="357">
        <f t="shared" si="425"/>
        <v>0</v>
      </c>
      <c r="Y414" s="358">
        <f t="shared" si="426"/>
        <v>9657.8275862068967</v>
      </c>
      <c r="Z414" s="184">
        <f t="shared" si="427"/>
        <v>0</v>
      </c>
    </row>
    <row r="415" spans="1:26" ht="25.5" hidden="1">
      <c r="A415" s="187" t="s">
        <v>288</v>
      </c>
      <c r="B415" s="328" t="s">
        <v>87</v>
      </c>
      <c r="C415" s="189" t="s">
        <v>346</v>
      </c>
      <c r="D415" s="286">
        <v>14</v>
      </c>
      <c r="E415" s="190" t="s">
        <v>77</v>
      </c>
      <c r="F415" s="339">
        <f t="shared" si="419"/>
        <v>5184.2821428571424</v>
      </c>
      <c r="G415" s="355">
        <v>72579.95</v>
      </c>
      <c r="H415" s="356">
        <f t="shared" si="420"/>
        <v>72579.95</v>
      </c>
      <c r="I415" s="357"/>
      <c r="J415" s="357">
        <f t="shared" si="421"/>
        <v>0</v>
      </c>
      <c r="K415" s="357">
        <f t="shared" si="422"/>
        <v>0</v>
      </c>
      <c r="L415" s="357"/>
      <c r="M415" s="357"/>
      <c r="N415" s="357">
        <f t="shared" si="423"/>
        <v>0</v>
      </c>
      <c r="O415" s="358">
        <f t="shared" si="428"/>
        <v>72579.95</v>
      </c>
      <c r="P415" s="359">
        <f t="shared" si="435"/>
        <v>10428.153735632184</v>
      </c>
      <c r="Q415" s="321">
        <v>3</v>
      </c>
      <c r="R415" s="188">
        <f t="shared" si="436"/>
        <v>10428.153735632184</v>
      </c>
      <c r="S415" s="188"/>
      <c r="T415" s="188"/>
      <c r="U415" s="357">
        <f t="shared" si="424"/>
        <v>0</v>
      </c>
      <c r="V415" s="188"/>
      <c r="W415" s="188"/>
      <c r="X415" s="357">
        <f t="shared" si="425"/>
        <v>0</v>
      </c>
      <c r="Y415" s="358">
        <f t="shared" si="426"/>
        <v>10428.153735632184</v>
      </c>
      <c r="Z415" s="184">
        <f t="shared" si="427"/>
        <v>0</v>
      </c>
    </row>
    <row r="416" spans="1:26" ht="25.5" hidden="1">
      <c r="A416" s="187" t="s">
        <v>288</v>
      </c>
      <c r="B416" s="328" t="s">
        <v>87</v>
      </c>
      <c r="C416" s="189" t="s">
        <v>335</v>
      </c>
      <c r="D416" s="286">
        <v>14</v>
      </c>
      <c r="E416" s="190" t="s">
        <v>77</v>
      </c>
      <c r="F416" s="339">
        <f t="shared" si="419"/>
        <v>4572.6857142857143</v>
      </c>
      <c r="G416" s="355">
        <v>64017.599999999999</v>
      </c>
      <c r="H416" s="356">
        <f t="shared" si="420"/>
        <v>64017.600000000006</v>
      </c>
      <c r="I416" s="357"/>
      <c r="J416" s="357">
        <f t="shared" si="421"/>
        <v>0</v>
      </c>
      <c r="K416" s="357">
        <f t="shared" si="422"/>
        <v>0</v>
      </c>
      <c r="L416" s="357"/>
      <c r="M416" s="357"/>
      <c r="N416" s="357">
        <f t="shared" si="423"/>
        <v>0</v>
      </c>
      <c r="O416" s="358">
        <f t="shared" si="428"/>
        <v>64017.600000000006</v>
      </c>
      <c r="P416" s="359">
        <f>G416/$Y$4</f>
        <v>9197.9310344827591</v>
      </c>
      <c r="Q416" s="321">
        <v>1</v>
      </c>
      <c r="R416" s="188">
        <f>P416</f>
        <v>9197.9310344827591</v>
      </c>
      <c r="S416" s="188"/>
      <c r="T416" s="188"/>
      <c r="U416" s="357">
        <f t="shared" si="424"/>
        <v>0</v>
      </c>
      <c r="V416" s="188"/>
      <c r="W416" s="188"/>
      <c r="X416" s="357">
        <f t="shared" si="425"/>
        <v>0</v>
      </c>
      <c r="Y416" s="358">
        <f t="shared" si="426"/>
        <v>9197.9310344827591</v>
      </c>
      <c r="Z416" s="184">
        <f t="shared" si="427"/>
        <v>0</v>
      </c>
    </row>
    <row r="417" spans="1:26" ht="25.5">
      <c r="A417" s="187" t="s">
        <v>288</v>
      </c>
      <c r="B417" s="328" t="s">
        <v>87</v>
      </c>
      <c r="C417" s="189" t="s">
        <v>347</v>
      </c>
      <c r="D417" s="286">
        <v>14</v>
      </c>
      <c r="E417" s="190" t="s">
        <v>77</v>
      </c>
      <c r="F417" s="339">
        <f t="shared" si="419"/>
        <v>4801.32</v>
      </c>
      <c r="G417" s="355">
        <v>67218.48</v>
      </c>
      <c r="H417" s="356">
        <f t="shared" si="420"/>
        <v>67218.48</v>
      </c>
      <c r="I417" s="357"/>
      <c r="J417" s="357">
        <f t="shared" si="421"/>
        <v>0</v>
      </c>
      <c r="K417" s="357">
        <f t="shared" si="422"/>
        <v>0</v>
      </c>
      <c r="L417" s="357"/>
      <c r="M417" s="357"/>
      <c r="N417" s="357">
        <f t="shared" si="423"/>
        <v>0</v>
      </c>
      <c r="O417" s="358">
        <f t="shared" si="428"/>
        <v>67218.48</v>
      </c>
      <c r="P417" s="359">
        <f t="shared" ref="P417:P418" si="437">G417/$Y$4</f>
        <v>9657.8275862068967</v>
      </c>
      <c r="Q417" s="321">
        <v>2</v>
      </c>
      <c r="R417" s="188">
        <f t="shared" ref="R417:R418" si="438">P417</f>
        <v>9657.8275862068967</v>
      </c>
      <c r="S417" s="188"/>
      <c r="T417" s="188"/>
      <c r="U417" s="357">
        <f t="shared" si="424"/>
        <v>0</v>
      </c>
      <c r="V417" s="188"/>
      <c r="W417" s="188"/>
      <c r="X417" s="357">
        <f t="shared" si="425"/>
        <v>0</v>
      </c>
      <c r="Y417" s="358">
        <f t="shared" si="426"/>
        <v>9657.8275862068967</v>
      </c>
      <c r="Z417" s="184">
        <f t="shared" si="427"/>
        <v>0</v>
      </c>
    </row>
    <row r="418" spans="1:26" ht="25.5" hidden="1">
      <c r="A418" s="187" t="s">
        <v>288</v>
      </c>
      <c r="B418" s="328" t="s">
        <v>87</v>
      </c>
      <c r="C418" s="189" t="s">
        <v>348</v>
      </c>
      <c r="D418" s="286">
        <v>14</v>
      </c>
      <c r="E418" s="190" t="s">
        <v>77</v>
      </c>
      <c r="F418" s="339">
        <f t="shared" si="419"/>
        <v>5184.2821428571424</v>
      </c>
      <c r="G418" s="355">
        <v>72579.95</v>
      </c>
      <c r="H418" s="356">
        <f t="shared" si="420"/>
        <v>72579.95</v>
      </c>
      <c r="I418" s="357"/>
      <c r="J418" s="357">
        <f t="shared" si="421"/>
        <v>0</v>
      </c>
      <c r="K418" s="357">
        <f t="shared" si="422"/>
        <v>0</v>
      </c>
      <c r="L418" s="357"/>
      <c r="M418" s="357"/>
      <c r="N418" s="357">
        <f t="shared" si="423"/>
        <v>0</v>
      </c>
      <c r="O418" s="358">
        <f t="shared" si="428"/>
        <v>72579.95</v>
      </c>
      <c r="P418" s="359">
        <f t="shared" si="437"/>
        <v>10428.153735632184</v>
      </c>
      <c r="Q418" s="321">
        <v>3</v>
      </c>
      <c r="R418" s="188">
        <f t="shared" si="438"/>
        <v>10428.153735632184</v>
      </c>
      <c r="S418" s="188"/>
      <c r="T418" s="188"/>
      <c r="U418" s="357">
        <f t="shared" si="424"/>
        <v>0</v>
      </c>
      <c r="V418" s="188"/>
      <c r="W418" s="188"/>
      <c r="X418" s="357">
        <f t="shared" si="425"/>
        <v>0</v>
      </c>
      <c r="Y418" s="358">
        <f t="shared" si="426"/>
        <v>10428.153735632184</v>
      </c>
      <c r="Z418" s="184">
        <f t="shared" si="427"/>
        <v>0</v>
      </c>
    </row>
    <row r="419" spans="1:26" ht="25.5" hidden="1">
      <c r="A419" s="187" t="s">
        <v>288</v>
      </c>
      <c r="B419" s="328" t="s">
        <v>87</v>
      </c>
      <c r="C419" s="189" t="s">
        <v>349</v>
      </c>
      <c r="D419" s="286">
        <v>14</v>
      </c>
      <c r="E419" s="190" t="s">
        <v>77</v>
      </c>
      <c r="F419" s="339">
        <f t="shared" si="419"/>
        <v>4976.7014285714295</v>
      </c>
      <c r="G419" s="355">
        <v>69673.820000000007</v>
      </c>
      <c r="H419" s="356">
        <f t="shared" si="420"/>
        <v>41804.292000000001</v>
      </c>
      <c r="I419" s="357"/>
      <c r="J419" s="357">
        <f t="shared" si="421"/>
        <v>27869.528000000002</v>
      </c>
      <c r="K419" s="357">
        <f t="shared" si="422"/>
        <v>27869.528000000002</v>
      </c>
      <c r="L419" s="357"/>
      <c r="M419" s="357"/>
      <c r="N419" s="357">
        <f t="shared" si="423"/>
        <v>0</v>
      </c>
      <c r="O419" s="358">
        <f t="shared" si="428"/>
        <v>69673.820000000007</v>
      </c>
      <c r="P419" s="359">
        <f>G419/$Y$4</f>
        <v>10010.606321839081</v>
      </c>
      <c r="Q419" s="321">
        <v>1</v>
      </c>
      <c r="R419" s="188">
        <f>P419*0.6</f>
        <v>6006.3637931034482</v>
      </c>
      <c r="S419" s="188"/>
      <c r="T419" s="188">
        <f>P419*0.4</f>
        <v>4004.2425287356327</v>
      </c>
      <c r="U419" s="357">
        <f t="shared" si="424"/>
        <v>4004.2425287356327</v>
      </c>
      <c r="V419" s="188"/>
      <c r="W419" s="188"/>
      <c r="X419" s="357">
        <f t="shared" si="425"/>
        <v>0</v>
      </c>
      <c r="Y419" s="358">
        <f t="shared" si="426"/>
        <v>10010.606321839081</v>
      </c>
      <c r="Z419" s="184">
        <f t="shared" si="427"/>
        <v>0</v>
      </c>
    </row>
    <row r="420" spans="1:26" ht="25.5">
      <c r="A420" s="187" t="s">
        <v>288</v>
      </c>
      <c r="B420" s="328" t="s">
        <v>87</v>
      </c>
      <c r="C420" s="189" t="s">
        <v>350</v>
      </c>
      <c r="D420" s="286">
        <v>14</v>
      </c>
      <c r="E420" s="190" t="s">
        <v>77</v>
      </c>
      <c r="F420" s="339">
        <f t="shared" si="419"/>
        <v>5225.5364285714286</v>
      </c>
      <c r="G420" s="355">
        <v>73157.509999999995</v>
      </c>
      <c r="H420" s="356">
        <f t="shared" si="420"/>
        <v>43894.505999999994</v>
      </c>
      <c r="I420" s="357"/>
      <c r="J420" s="357">
        <f t="shared" si="421"/>
        <v>29263.004000000001</v>
      </c>
      <c r="K420" s="357">
        <f t="shared" si="422"/>
        <v>29263.004000000001</v>
      </c>
      <c r="L420" s="357"/>
      <c r="M420" s="357"/>
      <c r="N420" s="357">
        <f t="shared" si="423"/>
        <v>0</v>
      </c>
      <c r="O420" s="358">
        <f t="shared" si="428"/>
        <v>73157.509999999995</v>
      </c>
      <c r="P420" s="359">
        <f t="shared" ref="P420:P421" si="439">G420/$Y$4</f>
        <v>10511.136494252873</v>
      </c>
      <c r="Q420" s="321">
        <v>2</v>
      </c>
      <c r="R420" s="188">
        <f t="shared" ref="R420:R424" si="440">P420*0.6</f>
        <v>6306.6818965517232</v>
      </c>
      <c r="S420" s="188"/>
      <c r="T420" s="188">
        <f t="shared" ref="T420:T424" si="441">P420*0.4</f>
        <v>4204.4545977011494</v>
      </c>
      <c r="U420" s="357">
        <f t="shared" si="424"/>
        <v>4204.4545977011494</v>
      </c>
      <c r="V420" s="188"/>
      <c r="W420" s="188"/>
      <c r="X420" s="357">
        <f t="shared" si="425"/>
        <v>0</v>
      </c>
      <c r="Y420" s="358">
        <f t="shared" si="426"/>
        <v>10511.136494252873</v>
      </c>
      <c r="Z420" s="184">
        <f t="shared" si="427"/>
        <v>0</v>
      </c>
    </row>
    <row r="421" spans="1:26" ht="25.5" hidden="1">
      <c r="A421" s="187" t="s">
        <v>288</v>
      </c>
      <c r="B421" s="328" t="s">
        <v>87</v>
      </c>
      <c r="C421" s="189" t="s">
        <v>351</v>
      </c>
      <c r="D421" s="286">
        <v>14</v>
      </c>
      <c r="E421" s="190" t="s">
        <v>77</v>
      </c>
      <c r="F421" s="339">
        <f t="shared" si="419"/>
        <v>5724.9742857142855</v>
      </c>
      <c r="G421" s="355">
        <v>80149.64</v>
      </c>
      <c r="H421" s="356">
        <f t="shared" si="420"/>
        <v>48089.784</v>
      </c>
      <c r="I421" s="357"/>
      <c r="J421" s="357">
        <f t="shared" si="421"/>
        <v>32059.856000000003</v>
      </c>
      <c r="K421" s="357">
        <f t="shared" si="422"/>
        <v>32059.856000000003</v>
      </c>
      <c r="L421" s="357"/>
      <c r="M421" s="357"/>
      <c r="N421" s="357">
        <f t="shared" si="423"/>
        <v>0</v>
      </c>
      <c r="O421" s="358">
        <f t="shared" si="428"/>
        <v>80149.64</v>
      </c>
      <c r="P421" s="359">
        <f t="shared" si="439"/>
        <v>11515.752873563219</v>
      </c>
      <c r="Q421" s="321">
        <v>3</v>
      </c>
      <c r="R421" s="188">
        <f t="shared" si="440"/>
        <v>6909.4517241379308</v>
      </c>
      <c r="S421" s="188"/>
      <c r="T421" s="188">
        <f t="shared" si="441"/>
        <v>4606.3011494252878</v>
      </c>
      <c r="U421" s="357">
        <f t="shared" si="424"/>
        <v>4606.3011494252878</v>
      </c>
      <c r="V421" s="188"/>
      <c r="W421" s="188"/>
      <c r="X421" s="357">
        <f t="shared" si="425"/>
        <v>0</v>
      </c>
      <c r="Y421" s="358">
        <f t="shared" si="426"/>
        <v>11515.752873563219</v>
      </c>
      <c r="Z421" s="184">
        <f t="shared" si="427"/>
        <v>0</v>
      </c>
    </row>
    <row r="422" spans="1:26" hidden="1">
      <c r="A422" s="187" t="s">
        <v>288</v>
      </c>
      <c r="B422" s="328" t="s">
        <v>87</v>
      </c>
      <c r="C422" s="189" t="s">
        <v>352</v>
      </c>
      <c r="D422" s="286">
        <v>14</v>
      </c>
      <c r="E422" s="190" t="s">
        <v>77</v>
      </c>
      <c r="F422" s="339">
        <f t="shared" si="419"/>
        <v>4976.7014285714295</v>
      </c>
      <c r="G422" s="355">
        <v>69673.820000000007</v>
      </c>
      <c r="H422" s="356">
        <f t="shared" si="420"/>
        <v>41804.292000000001</v>
      </c>
      <c r="I422" s="357"/>
      <c r="J422" s="357">
        <f t="shared" si="421"/>
        <v>27869.528000000002</v>
      </c>
      <c r="K422" s="357">
        <f t="shared" si="422"/>
        <v>27869.528000000002</v>
      </c>
      <c r="L422" s="357"/>
      <c r="M422" s="357"/>
      <c r="N422" s="357">
        <f t="shared" si="423"/>
        <v>0</v>
      </c>
      <c r="O422" s="358">
        <f t="shared" si="428"/>
        <v>69673.820000000007</v>
      </c>
      <c r="P422" s="359">
        <f>G422/$Y$4</f>
        <v>10010.606321839081</v>
      </c>
      <c r="Q422" s="321">
        <v>1</v>
      </c>
      <c r="R422" s="188">
        <f t="shared" si="440"/>
        <v>6006.3637931034482</v>
      </c>
      <c r="S422" s="188"/>
      <c r="T422" s="188">
        <f t="shared" si="441"/>
        <v>4004.2425287356327</v>
      </c>
      <c r="U422" s="357">
        <f t="shared" si="424"/>
        <v>4004.2425287356327</v>
      </c>
      <c r="V422" s="188"/>
      <c r="W422" s="188"/>
      <c r="X422" s="357">
        <f t="shared" si="425"/>
        <v>0</v>
      </c>
      <c r="Y422" s="358">
        <f t="shared" si="426"/>
        <v>10010.606321839081</v>
      </c>
      <c r="Z422" s="184">
        <f t="shared" si="427"/>
        <v>0</v>
      </c>
    </row>
    <row r="423" spans="1:26">
      <c r="A423" s="187" t="s">
        <v>288</v>
      </c>
      <c r="B423" s="328" t="s">
        <v>87</v>
      </c>
      <c r="C423" s="189" t="s">
        <v>353</v>
      </c>
      <c r="D423" s="286">
        <v>14</v>
      </c>
      <c r="E423" s="190" t="s">
        <v>77</v>
      </c>
      <c r="F423" s="339">
        <f t="shared" si="419"/>
        <v>5225.5364285714286</v>
      </c>
      <c r="G423" s="355">
        <v>73157.509999999995</v>
      </c>
      <c r="H423" s="356">
        <f t="shared" si="420"/>
        <v>43894.505999999994</v>
      </c>
      <c r="I423" s="357"/>
      <c r="J423" s="357">
        <f t="shared" si="421"/>
        <v>29263.004000000001</v>
      </c>
      <c r="K423" s="357">
        <f t="shared" si="422"/>
        <v>29263.004000000001</v>
      </c>
      <c r="L423" s="357"/>
      <c r="M423" s="357"/>
      <c r="N423" s="357">
        <f t="shared" si="423"/>
        <v>0</v>
      </c>
      <c r="O423" s="358">
        <f t="shared" si="428"/>
        <v>73157.509999999995</v>
      </c>
      <c r="P423" s="359">
        <f t="shared" ref="P423:P424" si="442">G423/$Y$4</f>
        <v>10511.136494252873</v>
      </c>
      <c r="Q423" s="321">
        <v>2</v>
      </c>
      <c r="R423" s="188">
        <f t="shared" si="440"/>
        <v>6306.6818965517232</v>
      </c>
      <c r="S423" s="188"/>
      <c r="T423" s="188">
        <f t="shared" si="441"/>
        <v>4204.4545977011494</v>
      </c>
      <c r="U423" s="357">
        <f t="shared" si="424"/>
        <v>4204.4545977011494</v>
      </c>
      <c r="V423" s="188"/>
      <c r="W423" s="188"/>
      <c r="X423" s="357">
        <f t="shared" si="425"/>
        <v>0</v>
      </c>
      <c r="Y423" s="358">
        <f t="shared" si="426"/>
        <v>10511.136494252873</v>
      </c>
      <c r="Z423" s="184">
        <f t="shared" si="427"/>
        <v>0</v>
      </c>
    </row>
    <row r="424" spans="1:26" hidden="1">
      <c r="A424" s="187" t="s">
        <v>288</v>
      </c>
      <c r="B424" s="328" t="s">
        <v>87</v>
      </c>
      <c r="C424" s="189" t="s">
        <v>354</v>
      </c>
      <c r="D424" s="286">
        <v>14</v>
      </c>
      <c r="E424" s="190" t="s">
        <v>77</v>
      </c>
      <c r="F424" s="339">
        <f t="shared" si="419"/>
        <v>5724.9742857142855</v>
      </c>
      <c r="G424" s="355">
        <v>80149.64</v>
      </c>
      <c r="H424" s="356">
        <f t="shared" si="420"/>
        <v>48089.784</v>
      </c>
      <c r="I424" s="357"/>
      <c r="J424" s="357">
        <f t="shared" si="421"/>
        <v>32059.856000000003</v>
      </c>
      <c r="K424" s="357">
        <f t="shared" si="422"/>
        <v>32059.856000000003</v>
      </c>
      <c r="L424" s="357"/>
      <c r="M424" s="357"/>
      <c r="N424" s="357">
        <f t="shared" si="423"/>
        <v>0</v>
      </c>
      <c r="O424" s="358">
        <f t="shared" si="428"/>
        <v>80149.64</v>
      </c>
      <c r="P424" s="359">
        <f t="shared" si="442"/>
        <v>11515.752873563219</v>
      </c>
      <c r="Q424" s="321">
        <v>3</v>
      </c>
      <c r="R424" s="188">
        <f t="shared" si="440"/>
        <v>6909.4517241379308</v>
      </c>
      <c r="S424" s="188"/>
      <c r="T424" s="188">
        <f t="shared" si="441"/>
        <v>4606.3011494252878</v>
      </c>
      <c r="U424" s="357">
        <f t="shared" si="424"/>
        <v>4606.3011494252878</v>
      </c>
      <c r="V424" s="188"/>
      <c r="W424" s="188"/>
      <c r="X424" s="357">
        <f t="shared" si="425"/>
        <v>0</v>
      </c>
      <c r="Y424" s="358">
        <f t="shared" si="426"/>
        <v>11515.752873563219</v>
      </c>
      <c r="Z424" s="184">
        <f t="shared" si="427"/>
        <v>0</v>
      </c>
    </row>
    <row r="425" spans="1:26" hidden="1">
      <c r="A425" s="219" t="s">
        <v>88</v>
      </c>
      <c r="B425" s="326"/>
      <c r="C425" s="218"/>
      <c r="D425" s="185"/>
      <c r="E425" s="185"/>
      <c r="F425" s="186"/>
      <c r="G425" s="207">
        <f t="shared" ref="G425:P425" si="443">SUM(G426:G464)</f>
        <v>555152</v>
      </c>
      <c r="H425" s="352">
        <f t="shared" si="443"/>
        <v>539152</v>
      </c>
      <c r="I425" s="353">
        <f t="shared" si="443"/>
        <v>16000</v>
      </c>
      <c r="J425" s="353">
        <f t="shared" si="443"/>
        <v>0</v>
      </c>
      <c r="K425" s="353">
        <f t="shared" si="443"/>
        <v>16000</v>
      </c>
      <c r="L425" s="353">
        <f t="shared" si="443"/>
        <v>0</v>
      </c>
      <c r="M425" s="353">
        <f t="shared" si="443"/>
        <v>0</v>
      </c>
      <c r="N425" s="353">
        <f t="shared" ref="N425" si="444">SUM(N426:N464)</f>
        <v>0</v>
      </c>
      <c r="O425" s="354">
        <f t="shared" si="443"/>
        <v>555152</v>
      </c>
      <c r="P425" s="352">
        <f t="shared" si="443"/>
        <v>79763.218390804614</v>
      </c>
      <c r="Q425" s="320"/>
      <c r="R425" s="181">
        <f t="shared" ref="R425:Y425" si="445">SUM(R426:R464)</f>
        <v>77464.367816091952</v>
      </c>
      <c r="S425" s="181">
        <f t="shared" si="445"/>
        <v>2298.8505747126437</v>
      </c>
      <c r="T425" s="181">
        <f t="shared" si="445"/>
        <v>0</v>
      </c>
      <c r="U425" s="353">
        <f t="shared" si="445"/>
        <v>2298.8505747126437</v>
      </c>
      <c r="V425" s="181">
        <f t="shared" si="445"/>
        <v>0</v>
      </c>
      <c r="W425" s="181">
        <f t="shared" si="445"/>
        <v>0</v>
      </c>
      <c r="X425" s="353">
        <f t="shared" si="445"/>
        <v>0</v>
      </c>
      <c r="Y425" s="354">
        <f t="shared" si="445"/>
        <v>79763.218390804614</v>
      </c>
      <c r="Z425" s="184">
        <f t="shared" si="427"/>
        <v>0</v>
      </c>
    </row>
    <row r="426" spans="1:26" hidden="1">
      <c r="A426" s="187">
        <v>1</v>
      </c>
      <c r="B426" s="328" t="s">
        <v>88</v>
      </c>
      <c r="C426" s="189" t="s">
        <v>198</v>
      </c>
      <c r="D426" s="286">
        <v>1</v>
      </c>
      <c r="E426" s="190" t="s">
        <v>80</v>
      </c>
      <c r="F426" s="339">
        <f>40000*6.96</f>
        <v>278400</v>
      </c>
      <c r="G426" s="355">
        <f t="shared" ref="G426:G464" si="446">D426*F426</f>
        <v>278400</v>
      </c>
      <c r="H426" s="356">
        <f t="shared" ref="H426:I464" si="447">R426*$Y$4</f>
        <v>278400</v>
      </c>
      <c r="I426" s="357"/>
      <c r="J426" s="357"/>
      <c r="K426" s="357">
        <f t="shared" ref="K426:K464" si="448">I426+J426</f>
        <v>0</v>
      </c>
      <c r="L426" s="357"/>
      <c r="M426" s="357"/>
      <c r="N426" s="357">
        <f t="shared" ref="N426:N464" si="449">L426+M426</f>
        <v>0</v>
      </c>
      <c r="O426" s="358">
        <f t="shared" ref="O426:O464" si="450">H426+K426+N426</f>
        <v>278400</v>
      </c>
      <c r="P426" s="359">
        <f t="shared" ref="P426:P464" si="451">G426/$Y$4</f>
        <v>40000</v>
      </c>
      <c r="Q426" s="321">
        <v>1</v>
      </c>
      <c r="R426" s="188">
        <f t="shared" ref="R426:R464" si="452">P426</f>
        <v>40000</v>
      </c>
      <c r="S426" s="188"/>
      <c r="T426" s="188"/>
      <c r="U426" s="357">
        <f t="shared" ref="U426:U464" si="453">S426+T426</f>
        <v>0</v>
      </c>
      <c r="V426" s="188"/>
      <c r="W426" s="188"/>
      <c r="X426" s="357">
        <f t="shared" ref="X426:X464" si="454">V426+W426</f>
        <v>0</v>
      </c>
      <c r="Y426" s="358">
        <f t="shared" ref="Y426:Y464" si="455">R426+U426+X426</f>
        <v>40000</v>
      </c>
      <c r="Z426" s="184">
        <f t="shared" si="427"/>
        <v>0</v>
      </c>
    </row>
    <row r="427" spans="1:26" hidden="1">
      <c r="A427" s="187">
        <v>1</v>
      </c>
      <c r="B427" s="328" t="s">
        <v>88</v>
      </c>
      <c r="C427" s="189" t="s">
        <v>198</v>
      </c>
      <c r="D427" s="286">
        <v>0</v>
      </c>
      <c r="E427" s="190" t="s">
        <v>80</v>
      </c>
      <c r="F427" s="339">
        <f t="shared" ref="F427:F428" si="456">40000*6.96</f>
        <v>278400</v>
      </c>
      <c r="G427" s="355">
        <f t="shared" si="446"/>
        <v>0</v>
      </c>
      <c r="H427" s="356">
        <f t="shared" si="447"/>
        <v>0</v>
      </c>
      <c r="I427" s="357"/>
      <c r="J427" s="357"/>
      <c r="K427" s="357">
        <f t="shared" si="448"/>
        <v>0</v>
      </c>
      <c r="L427" s="357"/>
      <c r="M427" s="357"/>
      <c r="N427" s="357">
        <f t="shared" si="449"/>
        <v>0</v>
      </c>
      <c r="O427" s="358">
        <f t="shared" si="450"/>
        <v>0</v>
      </c>
      <c r="P427" s="359">
        <f t="shared" si="451"/>
        <v>0</v>
      </c>
      <c r="Q427" s="321">
        <v>2</v>
      </c>
      <c r="R427" s="188">
        <f t="shared" si="452"/>
        <v>0</v>
      </c>
      <c r="S427" s="188"/>
      <c r="T427" s="188"/>
      <c r="U427" s="357">
        <f t="shared" si="453"/>
        <v>0</v>
      </c>
      <c r="V427" s="188"/>
      <c r="W427" s="188"/>
      <c r="X427" s="357">
        <f t="shared" si="454"/>
        <v>0</v>
      </c>
      <c r="Y427" s="358">
        <f t="shared" si="455"/>
        <v>0</v>
      </c>
      <c r="Z427" s="184">
        <f t="shared" si="427"/>
        <v>0</v>
      </c>
    </row>
    <row r="428" spans="1:26" hidden="1">
      <c r="A428" s="187">
        <v>1</v>
      </c>
      <c r="B428" s="328" t="s">
        <v>88</v>
      </c>
      <c r="C428" s="189" t="s">
        <v>198</v>
      </c>
      <c r="D428" s="286">
        <v>0</v>
      </c>
      <c r="E428" s="190" t="s">
        <v>80</v>
      </c>
      <c r="F428" s="339">
        <f t="shared" si="456"/>
        <v>278400</v>
      </c>
      <c r="G428" s="355">
        <f t="shared" si="446"/>
        <v>0</v>
      </c>
      <c r="H428" s="356">
        <f t="shared" si="447"/>
        <v>0</v>
      </c>
      <c r="I428" s="357"/>
      <c r="J428" s="357"/>
      <c r="K428" s="357">
        <f t="shared" si="448"/>
        <v>0</v>
      </c>
      <c r="L428" s="357"/>
      <c r="M428" s="357"/>
      <c r="N428" s="357">
        <f t="shared" si="449"/>
        <v>0</v>
      </c>
      <c r="O428" s="358">
        <f t="shared" si="450"/>
        <v>0</v>
      </c>
      <c r="P428" s="359">
        <f t="shared" si="451"/>
        <v>0</v>
      </c>
      <c r="Q428" s="321">
        <v>3</v>
      </c>
      <c r="R428" s="188">
        <f t="shared" si="452"/>
        <v>0</v>
      </c>
      <c r="S428" s="188"/>
      <c r="T428" s="188"/>
      <c r="U428" s="357">
        <f t="shared" si="453"/>
        <v>0</v>
      </c>
      <c r="V428" s="188"/>
      <c r="W428" s="188"/>
      <c r="X428" s="357">
        <f t="shared" si="454"/>
        <v>0</v>
      </c>
      <c r="Y428" s="358">
        <f t="shared" si="455"/>
        <v>0</v>
      </c>
      <c r="Z428" s="184">
        <f t="shared" si="427"/>
        <v>0</v>
      </c>
    </row>
    <row r="429" spans="1:26" hidden="1">
      <c r="A429" s="187">
        <v>1</v>
      </c>
      <c r="B429" s="328" t="s">
        <v>88</v>
      </c>
      <c r="C429" s="189" t="s">
        <v>199</v>
      </c>
      <c r="D429" s="286">
        <v>4</v>
      </c>
      <c r="E429" s="190" t="s">
        <v>80</v>
      </c>
      <c r="F429" s="339">
        <f>5300*6.96</f>
        <v>36888</v>
      </c>
      <c r="G429" s="355">
        <f t="shared" si="446"/>
        <v>147552</v>
      </c>
      <c r="H429" s="356">
        <f t="shared" si="447"/>
        <v>147552</v>
      </c>
      <c r="I429" s="357"/>
      <c r="J429" s="357"/>
      <c r="K429" s="357">
        <f t="shared" si="448"/>
        <v>0</v>
      </c>
      <c r="L429" s="357"/>
      <c r="M429" s="357"/>
      <c r="N429" s="357">
        <f t="shared" si="449"/>
        <v>0</v>
      </c>
      <c r="O429" s="358">
        <f t="shared" si="450"/>
        <v>147552</v>
      </c>
      <c r="P429" s="359">
        <f t="shared" si="451"/>
        <v>21200</v>
      </c>
      <c r="Q429" s="321">
        <v>1</v>
      </c>
      <c r="R429" s="188">
        <f t="shared" si="452"/>
        <v>21200</v>
      </c>
      <c r="S429" s="188"/>
      <c r="T429" s="188"/>
      <c r="U429" s="357">
        <f t="shared" si="453"/>
        <v>0</v>
      </c>
      <c r="V429" s="188"/>
      <c r="W429" s="188"/>
      <c r="X429" s="357">
        <f t="shared" si="454"/>
        <v>0</v>
      </c>
      <c r="Y429" s="358">
        <f t="shared" si="455"/>
        <v>21200</v>
      </c>
      <c r="Z429" s="184">
        <f t="shared" si="427"/>
        <v>0</v>
      </c>
    </row>
    <row r="430" spans="1:26" hidden="1">
      <c r="A430" s="187">
        <v>1</v>
      </c>
      <c r="B430" s="328" t="s">
        <v>88</v>
      </c>
      <c r="C430" s="189" t="s">
        <v>199</v>
      </c>
      <c r="D430" s="286">
        <v>0</v>
      </c>
      <c r="E430" s="190" t="s">
        <v>80</v>
      </c>
      <c r="F430" s="339">
        <f t="shared" ref="F430:F431" si="457">5300*6.96</f>
        <v>36888</v>
      </c>
      <c r="G430" s="355">
        <f t="shared" si="446"/>
        <v>0</v>
      </c>
      <c r="H430" s="356">
        <f t="shared" si="447"/>
        <v>0</v>
      </c>
      <c r="I430" s="357"/>
      <c r="J430" s="357"/>
      <c r="K430" s="357">
        <f t="shared" si="448"/>
        <v>0</v>
      </c>
      <c r="L430" s="357"/>
      <c r="M430" s="357"/>
      <c r="N430" s="357">
        <f t="shared" si="449"/>
        <v>0</v>
      </c>
      <c r="O430" s="358">
        <f t="shared" si="450"/>
        <v>0</v>
      </c>
      <c r="P430" s="359">
        <f t="shared" si="451"/>
        <v>0</v>
      </c>
      <c r="Q430" s="321">
        <v>2</v>
      </c>
      <c r="R430" s="188">
        <f t="shared" si="452"/>
        <v>0</v>
      </c>
      <c r="S430" s="188"/>
      <c r="T430" s="188"/>
      <c r="U430" s="357">
        <f t="shared" si="453"/>
        <v>0</v>
      </c>
      <c r="V430" s="188"/>
      <c r="W430" s="188"/>
      <c r="X430" s="357">
        <f t="shared" si="454"/>
        <v>0</v>
      </c>
      <c r="Y430" s="358">
        <f t="shared" si="455"/>
        <v>0</v>
      </c>
      <c r="Z430" s="184">
        <f t="shared" si="427"/>
        <v>0</v>
      </c>
    </row>
    <row r="431" spans="1:26" hidden="1">
      <c r="A431" s="187">
        <v>1</v>
      </c>
      <c r="B431" s="328" t="s">
        <v>88</v>
      </c>
      <c r="C431" s="189" t="s">
        <v>199</v>
      </c>
      <c r="D431" s="286">
        <v>0</v>
      </c>
      <c r="E431" s="190" t="s">
        <v>80</v>
      </c>
      <c r="F431" s="339">
        <f t="shared" si="457"/>
        <v>36888</v>
      </c>
      <c r="G431" s="355">
        <f t="shared" si="446"/>
        <v>0</v>
      </c>
      <c r="H431" s="356">
        <f t="shared" si="447"/>
        <v>0</v>
      </c>
      <c r="I431" s="357"/>
      <c r="J431" s="357"/>
      <c r="K431" s="357">
        <f t="shared" si="448"/>
        <v>0</v>
      </c>
      <c r="L431" s="357"/>
      <c r="M431" s="357"/>
      <c r="N431" s="357">
        <f t="shared" si="449"/>
        <v>0</v>
      </c>
      <c r="O431" s="358">
        <f t="shared" si="450"/>
        <v>0</v>
      </c>
      <c r="P431" s="359">
        <f t="shared" si="451"/>
        <v>0</v>
      </c>
      <c r="Q431" s="321">
        <v>3</v>
      </c>
      <c r="R431" s="188">
        <f t="shared" si="452"/>
        <v>0</v>
      </c>
      <c r="S431" s="188"/>
      <c r="T431" s="188"/>
      <c r="U431" s="357">
        <f t="shared" si="453"/>
        <v>0</v>
      </c>
      <c r="V431" s="188"/>
      <c r="W431" s="188"/>
      <c r="X431" s="357">
        <f t="shared" si="454"/>
        <v>0</v>
      </c>
      <c r="Y431" s="358">
        <f t="shared" si="455"/>
        <v>0</v>
      </c>
      <c r="Z431" s="184">
        <f t="shared" si="427"/>
        <v>0</v>
      </c>
    </row>
    <row r="432" spans="1:26" hidden="1">
      <c r="A432" s="187">
        <v>1</v>
      </c>
      <c r="B432" s="328" t="s">
        <v>88</v>
      </c>
      <c r="C432" s="189" t="s">
        <v>193</v>
      </c>
      <c r="D432" s="286">
        <v>1</v>
      </c>
      <c r="E432" s="190" t="s">
        <v>80</v>
      </c>
      <c r="F432" s="339">
        <v>16000</v>
      </c>
      <c r="G432" s="355">
        <f t="shared" si="446"/>
        <v>16000</v>
      </c>
      <c r="H432" s="356">
        <f t="shared" si="447"/>
        <v>0</v>
      </c>
      <c r="I432" s="357">
        <f>S432*$Y$4</f>
        <v>16000</v>
      </c>
      <c r="J432" s="357"/>
      <c r="K432" s="357">
        <f t="shared" si="448"/>
        <v>16000</v>
      </c>
      <c r="L432" s="357"/>
      <c r="M432" s="357"/>
      <c r="N432" s="357">
        <f t="shared" si="449"/>
        <v>0</v>
      </c>
      <c r="O432" s="358">
        <f t="shared" si="450"/>
        <v>16000</v>
      </c>
      <c r="P432" s="359">
        <f t="shared" si="451"/>
        <v>2298.8505747126437</v>
      </c>
      <c r="Q432" s="321">
        <v>1</v>
      </c>
      <c r="R432" s="188"/>
      <c r="S432" s="188">
        <f>P432</f>
        <v>2298.8505747126437</v>
      </c>
      <c r="T432" s="188"/>
      <c r="U432" s="357">
        <f t="shared" si="453"/>
        <v>2298.8505747126437</v>
      </c>
      <c r="V432" s="188"/>
      <c r="W432" s="188"/>
      <c r="X432" s="357">
        <f t="shared" si="454"/>
        <v>0</v>
      </c>
      <c r="Y432" s="358">
        <f t="shared" si="455"/>
        <v>2298.8505747126437</v>
      </c>
      <c r="Z432" s="184">
        <f t="shared" si="427"/>
        <v>0</v>
      </c>
    </row>
    <row r="433" spans="1:26" hidden="1">
      <c r="A433" s="187">
        <v>1</v>
      </c>
      <c r="B433" s="328" t="s">
        <v>88</v>
      </c>
      <c r="C433" s="189" t="s">
        <v>193</v>
      </c>
      <c r="D433" s="286">
        <v>0</v>
      </c>
      <c r="E433" s="190" t="s">
        <v>80</v>
      </c>
      <c r="F433" s="339">
        <v>16000</v>
      </c>
      <c r="G433" s="355">
        <f t="shared" si="446"/>
        <v>0</v>
      </c>
      <c r="H433" s="356">
        <f t="shared" si="447"/>
        <v>0</v>
      </c>
      <c r="I433" s="357">
        <f t="shared" si="447"/>
        <v>0</v>
      </c>
      <c r="J433" s="357"/>
      <c r="K433" s="357">
        <f t="shared" si="448"/>
        <v>0</v>
      </c>
      <c r="L433" s="357"/>
      <c r="M433" s="357"/>
      <c r="N433" s="357">
        <f t="shared" si="449"/>
        <v>0</v>
      </c>
      <c r="O433" s="358">
        <f t="shared" si="450"/>
        <v>0</v>
      </c>
      <c r="P433" s="359">
        <f t="shared" si="451"/>
        <v>0</v>
      </c>
      <c r="Q433" s="321">
        <v>2</v>
      </c>
      <c r="R433" s="188"/>
      <c r="S433" s="188">
        <f t="shared" ref="S433:S434" si="458">P433</f>
        <v>0</v>
      </c>
      <c r="T433" s="188"/>
      <c r="U433" s="357">
        <f t="shared" si="453"/>
        <v>0</v>
      </c>
      <c r="V433" s="188"/>
      <c r="W433" s="188"/>
      <c r="X433" s="357">
        <f t="shared" si="454"/>
        <v>0</v>
      </c>
      <c r="Y433" s="358">
        <f t="shared" si="455"/>
        <v>0</v>
      </c>
      <c r="Z433" s="184">
        <f t="shared" si="427"/>
        <v>0</v>
      </c>
    </row>
    <row r="434" spans="1:26" hidden="1">
      <c r="A434" s="187">
        <v>1</v>
      </c>
      <c r="B434" s="328" t="s">
        <v>88</v>
      </c>
      <c r="C434" s="189" t="s">
        <v>193</v>
      </c>
      <c r="D434" s="286">
        <v>0</v>
      </c>
      <c r="E434" s="190" t="s">
        <v>80</v>
      </c>
      <c r="F434" s="339">
        <v>16000</v>
      </c>
      <c r="G434" s="355">
        <f t="shared" si="446"/>
        <v>0</v>
      </c>
      <c r="H434" s="356">
        <f t="shared" si="447"/>
        <v>0</v>
      </c>
      <c r="I434" s="357">
        <f t="shared" si="447"/>
        <v>0</v>
      </c>
      <c r="J434" s="357"/>
      <c r="K434" s="357">
        <f t="shared" si="448"/>
        <v>0</v>
      </c>
      <c r="L434" s="357"/>
      <c r="M434" s="357"/>
      <c r="N434" s="357">
        <f t="shared" si="449"/>
        <v>0</v>
      </c>
      <c r="O434" s="358">
        <f t="shared" si="450"/>
        <v>0</v>
      </c>
      <c r="P434" s="359">
        <f t="shared" si="451"/>
        <v>0</v>
      </c>
      <c r="Q434" s="321">
        <v>3</v>
      </c>
      <c r="R434" s="188"/>
      <c r="S434" s="188">
        <f t="shared" si="458"/>
        <v>0</v>
      </c>
      <c r="T434" s="188"/>
      <c r="U434" s="357">
        <f t="shared" si="453"/>
        <v>0</v>
      </c>
      <c r="V434" s="188"/>
      <c r="W434" s="188"/>
      <c r="X434" s="357">
        <f t="shared" si="454"/>
        <v>0</v>
      </c>
      <c r="Y434" s="358">
        <f t="shared" si="455"/>
        <v>0</v>
      </c>
      <c r="Z434" s="184">
        <f t="shared" si="427"/>
        <v>0</v>
      </c>
    </row>
    <row r="435" spans="1:26" hidden="1">
      <c r="A435" s="187">
        <v>1</v>
      </c>
      <c r="B435" s="328" t="s">
        <v>88</v>
      </c>
      <c r="C435" s="196" t="s">
        <v>89</v>
      </c>
      <c r="D435" s="286">
        <v>2</v>
      </c>
      <c r="E435" s="190" t="s">
        <v>80</v>
      </c>
      <c r="F435" s="339">
        <v>6000</v>
      </c>
      <c r="G435" s="355">
        <f t="shared" si="446"/>
        <v>12000</v>
      </c>
      <c r="H435" s="356">
        <f t="shared" si="447"/>
        <v>12000</v>
      </c>
      <c r="I435" s="357"/>
      <c r="J435" s="357"/>
      <c r="K435" s="357">
        <f t="shared" si="448"/>
        <v>0</v>
      </c>
      <c r="L435" s="357"/>
      <c r="M435" s="357"/>
      <c r="N435" s="357">
        <f t="shared" si="449"/>
        <v>0</v>
      </c>
      <c r="O435" s="358">
        <f t="shared" si="450"/>
        <v>12000</v>
      </c>
      <c r="P435" s="359">
        <f t="shared" si="451"/>
        <v>1724.1379310344828</v>
      </c>
      <c r="Q435" s="321">
        <v>1</v>
      </c>
      <c r="R435" s="188">
        <f t="shared" si="452"/>
        <v>1724.1379310344828</v>
      </c>
      <c r="S435" s="188"/>
      <c r="T435" s="188"/>
      <c r="U435" s="357">
        <f t="shared" si="453"/>
        <v>0</v>
      </c>
      <c r="V435" s="188"/>
      <c r="W435" s="188"/>
      <c r="X435" s="357">
        <f t="shared" si="454"/>
        <v>0</v>
      </c>
      <c r="Y435" s="358">
        <f t="shared" si="455"/>
        <v>1724.1379310344828</v>
      </c>
      <c r="Z435" s="184">
        <f t="shared" si="427"/>
        <v>0</v>
      </c>
    </row>
    <row r="436" spans="1:26" hidden="1">
      <c r="A436" s="187">
        <v>1</v>
      </c>
      <c r="B436" s="328" t="s">
        <v>88</v>
      </c>
      <c r="C436" s="196" t="s">
        <v>89</v>
      </c>
      <c r="D436" s="286">
        <v>0</v>
      </c>
      <c r="E436" s="190" t="s">
        <v>80</v>
      </c>
      <c r="F436" s="339">
        <v>6000</v>
      </c>
      <c r="G436" s="355">
        <f t="shared" si="446"/>
        <v>0</v>
      </c>
      <c r="H436" s="356">
        <f t="shared" si="447"/>
        <v>0</v>
      </c>
      <c r="I436" s="357"/>
      <c r="J436" s="357"/>
      <c r="K436" s="357">
        <f t="shared" si="448"/>
        <v>0</v>
      </c>
      <c r="L436" s="357"/>
      <c r="M436" s="357"/>
      <c r="N436" s="357">
        <f t="shared" si="449"/>
        <v>0</v>
      </c>
      <c r="O436" s="358">
        <f t="shared" si="450"/>
        <v>0</v>
      </c>
      <c r="P436" s="359">
        <f t="shared" si="451"/>
        <v>0</v>
      </c>
      <c r="Q436" s="321">
        <v>2</v>
      </c>
      <c r="R436" s="188">
        <f t="shared" si="452"/>
        <v>0</v>
      </c>
      <c r="S436" s="188"/>
      <c r="T436" s="188"/>
      <c r="U436" s="357">
        <f t="shared" si="453"/>
        <v>0</v>
      </c>
      <c r="V436" s="188"/>
      <c r="W436" s="188"/>
      <c r="X436" s="357">
        <f t="shared" si="454"/>
        <v>0</v>
      </c>
      <c r="Y436" s="358">
        <f t="shared" si="455"/>
        <v>0</v>
      </c>
      <c r="Z436" s="184">
        <f t="shared" si="427"/>
        <v>0</v>
      </c>
    </row>
    <row r="437" spans="1:26" hidden="1">
      <c r="A437" s="187">
        <v>1</v>
      </c>
      <c r="B437" s="328" t="s">
        <v>88</v>
      </c>
      <c r="C437" s="196" t="s">
        <v>89</v>
      </c>
      <c r="D437" s="286">
        <v>0</v>
      </c>
      <c r="E437" s="190" t="s">
        <v>80</v>
      </c>
      <c r="F437" s="339">
        <v>6000</v>
      </c>
      <c r="G437" s="355">
        <f t="shared" si="446"/>
        <v>0</v>
      </c>
      <c r="H437" s="356">
        <f t="shared" si="447"/>
        <v>0</v>
      </c>
      <c r="I437" s="357"/>
      <c r="J437" s="357"/>
      <c r="K437" s="357">
        <f t="shared" si="448"/>
        <v>0</v>
      </c>
      <c r="L437" s="357"/>
      <c r="M437" s="357"/>
      <c r="N437" s="357">
        <f t="shared" si="449"/>
        <v>0</v>
      </c>
      <c r="O437" s="358">
        <f t="shared" si="450"/>
        <v>0</v>
      </c>
      <c r="P437" s="359">
        <f t="shared" si="451"/>
        <v>0</v>
      </c>
      <c r="Q437" s="321">
        <v>3</v>
      </c>
      <c r="R437" s="188">
        <f t="shared" si="452"/>
        <v>0</v>
      </c>
      <c r="S437" s="188"/>
      <c r="T437" s="188"/>
      <c r="U437" s="357">
        <f t="shared" si="453"/>
        <v>0</v>
      </c>
      <c r="V437" s="188"/>
      <c r="W437" s="188"/>
      <c r="X437" s="357">
        <f t="shared" si="454"/>
        <v>0</v>
      </c>
      <c r="Y437" s="358">
        <f t="shared" si="455"/>
        <v>0</v>
      </c>
      <c r="Z437" s="184">
        <f t="shared" si="427"/>
        <v>0</v>
      </c>
    </row>
    <row r="438" spans="1:26" hidden="1">
      <c r="A438" s="187">
        <v>1</v>
      </c>
      <c r="B438" s="328" t="s">
        <v>88</v>
      </c>
      <c r="C438" s="314" t="s">
        <v>90</v>
      </c>
      <c r="D438" s="286">
        <v>2</v>
      </c>
      <c r="E438" s="190" t="s">
        <v>80</v>
      </c>
      <c r="F438" s="339">
        <v>4500</v>
      </c>
      <c r="G438" s="355">
        <f t="shared" si="446"/>
        <v>9000</v>
      </c>
      <c r="H438" s="356">
        <f t="shared" si="447"/>
        <v>9000</v>
      </c>
      <c r="I438" s="357"/>
      <c r="J438" s="357"/>
      <c r="K438" s="357">
        <f t="shared" si="448"/>
        <v>0</v>
      </c>
      <c r="L438" s="357"/>
      <c r="M438" s="357"/>
      <c r="N438" s="357">
        <f t="shared" si="449"/>
        <v>0</v>
      </c>
      <c r="O438" s="358">
        <f t="shared" si="450"/>
        <v>9000</v>
      </c>
      <c r="P438" s="359">
        <f t="shared" si="451"/>
        <v>1293.1034482758621</v>
      </c>
      <c r="Q438" s="321">
        <v>1</v>
      </c>
      <c r="R438" s="188">
        <f t="shared" si="452"/>
        <v>1293.1034482758621</v>
      </c>
      <c r="S438" s="188"/>
      <c r="T438" s="188"/>
      <c r="U438" s="357">
        <f t="shared" si="453"/>
        <v>0</v>
      </c>
      <c r="V438" s="188"/>
      <c r="W438" s="188"/>
      <c r="X438" s="357">
        <f t="shared" si="454"/>
        <v>0</v>
      </c>
      <c r="Y438" s="358">
        <f t="shared" si="455"/>
        <v>1293.1034482758621</v>
      </c>
      <c r="Z438" s="184">
        <f t="shared" si="427"/>
        <v>0</v>
      </c>
    </row>
    <row r="439" spans="1:26" hidden="1">
      <c r="A439" s="187">
        <v>1</v>
      </c>
      <c r="B439" s="328" t="s">
        <v>88</v>
      </c>
      <c r="C439" s="314" t="s">
        <v>90</v>
      </c>
      <c r="D439" s="286">
        <v>0</v>
      </c>
      <c r="E439" s="190" t="s">
        <v>80</v>
      </c>
      <c r="F439" s="339">
        <v>4500</v>
      </c>
      <c r="G439" s="355">
        <f t="shared" si="446"/>
        <v>0</v>
      </c>
      <c r="H439" s="356">
        <f t="shared" si="447"/>
        <v>0</v>
      </c>
      <c r="I439" s="357"/>
      <c r="J439" s="357"/>
      <c r="K439" s="357">
        <f t="shared" si="448"/>
        <v>0</v>
      </c>
      <c r="L439" s="357"/>
      <c r="M439" s="357"/>
      <c r="N439" s="357">
        <f t="shared" si="449"/>
        <v>0</v>
      </c>
      <c r="O439" s="358">
        <f t="shared" si="450"/>
        <v>0</v>
      </c>
      <c r="P439" s="359">
        <f t="shared" si="451"/>
        <v>0</v>
      </c>
      <c r="Q439" s="321">
        <v>2</v>
      </c>
      <c r="R439" s="188">
        <f t="shared" si="452"/>
        <v>0</v>
      </c>
      <c r="S439" s="188"/>
      <c r="T439" s="188"/>
      <c r="U439" s="357">
        <f t="shared" si="453"/>
        <v>0</v>
      </c>
      <c r="V439" s="188"/>
      <c r="W439" s="188"/>
      <c r="X439" s="357">
        <f t="shared" si="454"/>
        <v>0</v>
      </c>
      <c r="Y439" s="358">
        <f t="shared" si="455"/>
        <v>0</v>
      </c>
      <c r="Z439" s="184">
        <f t="shared" si="427"/>
        <v>0</v>
      </c>
    </row>
    <row r="440" spans="1:26" hidden="1">
      <c r="A440" s="187">
        <v>1</v>
      </c>
      <c r="B440" s="328" t="s">
        <v>88</v>
      </c>
      <c r="C440" s="314" t="s">
        <v>90</v>
      </c>
      <c r="D440" s="286">
        <v>0</v>
      </c>
      <c r="E440" s="190" t="s">
        <v>80</v>
      </c>
      <c r="F440" s="339">
        <v>4500</v>
      </c>
      <c r="G440" s="355">
        <f t="shared" si="446"/>
        <v>0</v>
      </c>
      <c r="H440" s="356">
        <f t="shared" si="447"/>
        <v>0</v>
      </c>
      <c r="I440" s="357"/>
      <c r="J440" s="357"/>
      <c r="K440" s="357">
        <f t="shared" si="448"/>
        <v>0</v>
      </c>
      <c r="L440" s="357"/>
      <c r="M440" s="357"/>
      <c r="N440" s="357">
        <f t="shared" si="449"/>
        <v>0</v>
      </c>
      <c r="O440" s="358">
        <f t="shared" si="450"/>
        <v>0</v>
      </c>
      <c r="P440" s="359">
        <f t="shared" si="451"/>
        <v>0</v>
      </c>
      <c r="Q440" s="321">
        <v>3</v>
      </c>
      <c r="R440" s="188">
        <f t="shared" si="452"/>
        <v>0</v>
      </c>
      <c r="S440" s="188"/>
      <c r="T440" s="188"/>
      <c r="U440" s="357">
        <f t="shared" si="453"/>
        <v>0</v>
      </c>
      <c r="V440" s="188"/>
      <c r="W440" s="188"/>
      <c r="X440" s="357">
        <f t="shared" si="454"/>
        <v>0</v>
      </c>
      <c r="Y440" s="358">
        <f t="shared" si="455"/>
        <v>0</v>
      </c>
      <c r="Z440" s="184">
        <f t="shared" si="427"/>
        <v>0</v>
      </c>
    </row>
    <row r="441" spans="1:26" hidden="1">
      <c r="A441" s="187">
        <v>1</v>
      </c>
      <c r="B441" s="328" t="s">
        <v>88</v>
      </c>
      <c r="C441" s="314" t="s">
        <v>91</v>
      </c>
      <c r="D441" s="286">
        <v>4</v>
      </c>
      <c r="E441" s="190" t="s">
        <v>80</v>
      </c>
      <c r="F441" s="339">
        <v>2100</v>
      </c>
      <c r="G441" s="355">
        <f t="shared" si="446"/>
        <v>8400</v>
      </c>
      <c r="H441" s="356">
        <f t="shared" si="447"/>
        <v>8400</v>
      </c>
      <c r="I441" s="357"/>
      <c r="J441" s="357"/>
      <c r="K441" s="357">
        <f t="shared" si="448"/>
        <v>0</v>
      </c>
      <c r="L441" s="357"/>
      <c r="M441" s="357"/>
      <c r="N441" s="357">
        <f t="shared" si="449"/>
        <v>0</v>
      </c>
      <c r="O441" s="358">
        <f t="shared" si="450"/>
        <v>8400</v>
      </c>
      <c r="P441" s="359">
        <f t="shared" si="451"/>
        <v>1206.8965517241379</v>
      </c>
      <c r="Q441" s="321">
        <v>1</v>
      </c>
      <c r="R441" s="188">
        <f t="shared" si="452"/>
        <v>1206.8965517241379</v>
      </c>
      <c r="S441" s="188"/>
      <c r="T441" s="188"/>
      <c r="U441" s="357">
        <f t="shared" si="453"/>
        <v>0</v>
      </c>
      <c r="V441" s="188"/>
      <c r="W441" s="188"/>
      <c r="X441" s="357">
        <f t="shared" si="454"/>
        <v>0</v>
      </c>
      <c r="Y441" s="358">
        <f t="shared" si="455"/>
        <v>1206.8965517241379</v>
      </c>
      <c r="Z441" s="184">
        <f t="shared" si="427"/>
        <v>0</v>
      </c>
    </row>
    <row r="442" spans="1:26" hidden="1">
      <c r="A442" s="187">
        <v>1</v>
      </c>
      <c r="B442" s="328" t="s">
        <v>88</v>
      </c>
      <c r="C442" s="314" t="s">
        <v>91</v>
      </c>
      <c r="D442" s="286">
        <v>0</v>
      </c>
      <c r="E442" s="190" t="s">
        <v>80</v>
      </c>
      <c r="F442" s="339">
        <v>2100</v>
      </c>
      <c r="G442" s="355">
        <f t="shared" si="446"/>
        <v>0</v>
      </c>
      <c r="H442" s="356">
        <f t="shared" si="447"/>
        <v>0</v>
      </c>
      <c r="I442" s="357"/>
      <c r="J442" s="357"/>
      <c r="K442" s="357">
        <f t="shared" si="448"/>
        <v>0</v>
      </c>
      <c r="L442" s="357"/>
      <c r="M442" s="357"/>
      <c r="N442" s="357">
        <f t="shared" si="449"/>
        <v>0</v>
      </c>
      <c r="O442" s="358">
        <f t="shared" si="450"/>
        <v>0</v>
      </c>
      <c r="P442" s="359">
        <f t="shared" si="451"/>
        <v>0</v>
      </c>
      <c r="Q442" s="321">
        <v>2</v>
      </c>
      <c r="R442" s="188">
        <f t="shared" si="452"/>
        <v>0</v>
      </c>
      <c r="S442" s="188"/>
      <c r="T442" s="188"/>
      <c r="U442" s="357">
        <f t="shared" si="453"/>
        <v>0</v>
      </c>
      <c r="V442" s="188"/>
      <c r="W442" s="188"/>
      <c r="X442" s="357">
        <f t="shared" si="454"/>
        <v>0</v>
      </c>
      <c r="Y442" s="358">
        <f t="shared" si="455"/>
        <v>0</v>
      </c>
      <c r="Z442" s="184">
        <f t="shared" si="427"/>
        <v>0</v>
      </c>
    </row>
    <row r="443" spans="1:26" hidden="1">
      <c r="A443" s="187">
        <v>1</v>
      </c>
      <c r="B443" s="328" t="s">
        <v>88</v>
      </c>
      <c r="C443" s="314" t="s">
        <v>91</v>
      </c>
      <c r="D443" s="286">
        <v>0</v>
      </c>
      <c r="E443" s="190" t="s">
        <v>80</v>
      </c>
      <c r="F443" s="339">
        <v>2100</v>
      </c>
      <c r="G443" s="355">
        <f t="shared" si="446"/>
        <v>0</v>
      </c>
      <c r="H443" s="356">
        <f t="shared" si="447"/>
        <v>0</v>
      </c>
      <c r="I443" s="357"/>
      <c r="J443" s="357"/>
      <c r="K443" s="357">
        <f t="shared" si="448"/>
        <v>0</v>
      </c>
      <c r="L443" s="357"/>
      <c r="M443" s="357"/>
      <c r="N443" s="357">
        <f t="shared" si="449"/>
        <v>0</v>
      </c>
      <c r="O443" s="358">
        <f t="shared" si="450"/>
        <v>0</v>
      </c>
      <c r="P443" s="359">
        <f t="shared" si="451"/>
        <v>0</v>
      </c>
      <c r="Q443" s="321">
        <v>3</v>
      </c>
      <c r="R443" s="188">
        <f t="shared" si="452"/>
        <v>0</v>
      </c>
      <c r="S443" s="188"/>
      <c r="T443" s="188"/>
      <c r="U443" s="357">
        <f t="shared" si="453"/>
        <v>0</v>
      </c>
      <c r="V443" s="188"/>
      <c r="W443" s="188"/>
      <c r="X443" s="357">
        <f t="shared" si="454"/>
        <v>0</v>
      </c>
      <c r="Y443" s="358">
        <f t="shared" si="455"/>
        <v>0</v>
      </c>
      <c r="Z443" s="184">
        <f t="shared" si="427"/>
        <v>0</v>
      </c>
    </row>
    <row r="444" spans="1:26" hidden="1">
      <c r="A444" s="187">
        <v>1</v>
      </c>
      <c r="B444" s="328" t="s">
        <v>88</v>
      </c>
      <c r="C444" s="196" t="s">
        <v>323</v>
      </c>
      <c r="D444" s="286">
        <v>1</v>
      </c>
      <c r="E444" s="190" t="s">
        <v>80</v>
      </c>
      <c r="F444" s="339">
        <v>3000</v>
      </c>
      <c r="G444" s="355">
        <f t="shared" si="446"/>
        <v>3000</v>
      </c>
      <c r="H444" s="356">
        <f t="shared" si="447"/>
        <v>3000</v>
      </c>
      <c r="I444" s="357"/>
      <c r="J444" s="357"/>
      <c r="K444" s="357">
        <f t="shared" si="448"/>
        <v>0</v>
      </c>
      <c r="L444" s="357"/>
      <c r="M444" s="357"/>
      <c r="N444" s="357">
        <f t="shared" si="449"/>
        <v>0</v>
      </c>
      <c r="O444" s="358">
        <f t="shared" si="450"/>
        <v>3000</v>
      </c>
      <c r="P444" s="359">
        <f t="shared" si="451"/>
        <v>431.0344827586207</v>
      </c>
      <c r="Q444" s="321">
        <v>1</v>
      </c>
      <c r="R444" s="188">
        <f t="shared" si="452"/>
        <v>431.0344827586207</v>
      </c>
      <c r="S444" s="188"/>
      <c r="T444" s="188"/>
      <c r="U444" s="357">
        <f t="shared" si="453"/>
        <v>0</v>
      </c>
      <c r="V444" s="188"/>
      <c r="W444" s="188"/>
      <c r="X444" s="357">
        <f t="shared" si="454"/>
        <v>0</v>
      </c>
      <c r="Y444" s="358">
        <f t="shared" si="455"/>
        <v>431.0344827586207</v>
      </c>
      <c r="Z444" s="184"/>
    </row>
    <row r="445" spans="1:26" hidden="1">
      <c r="A445" s="187">
        <v>1</v>
      </c>
      <c r="B445" s="328" t="s">
        <v>88</v>
      </c>
      <c r="C445" s="196" t="s">
        <v>323</v>
      </c>
      <c r="D445" s="286">
        <v>0</v>
      </c>
      <c r="E445" s="190" t="s">
        <v>80</v>
      </c>
      <c r="F445" s="339">
        <v>3000</v>
      </c>
      <c r="G445" s="355">
        <f t="shared" si="446"/>
        <v>0</v>
      </c>
      <c r="H445" s="356">
        <f t="shared" si="447"/>
        <v>0</v>
      </c>
      <c r="I445" s="357"/>
      <c r="J445" s="357"/>
      <c r="K445" s="357">
        <f t="shared" si="448"/>
        <v>0</v>
      </c>
      <c r="L445" s="357"/>
      <c r="M445" s="357"/>
      <c r="N445" s="357">
        <f t="shared" si="449"/>
        <v>0</v>
      </c>
      <c r="O445" s="358">
        <f t="shared" si="450"/>
        <v>0</v>
      </c>
      <c r="P445" s="359">
        <f t="shared" si="451"/>
        <v>0</v>
      </c>
      <c r="Q445" s="321">
        <v>2</v>
      </c>
      <c r="R445" s="188">
        <f t="shared" si="452"/>
        <v>0</v>
      </c>
      <c r="S445" s="188"/>
      <c r="T445" s="188"/>
      <c r="U445" s="357">
        <f t="shared" si="453"/>
        <v>0</v>
      </c>
      <c r="V445" s="188"/>
      <c r="W445" s="188"/>
      <c r="X445" s="357">
        <f t="shared" si="454"/>
        <v>0</v>
      </c>
      <c r="Y445" s="358">
        <f t="shared" si="455"/>
        <v>0</v>
      </c>
      <c r="Z445" s="184"/>
    </row>
    <row r="446" spans="1:26" hidden="1">
      <c r="A446" s="187">
        <v>1</v>
      </c>
      <c r="B446" s="328" t="s">
        <v>88</v>
      </c>
      <c r="C446" s="196" t="s">
        <v>323</v>
      </c>
      <c r="D446" s="286">
        <v>0</v>
      </c>
      <c r="E446" s="190" t="s">
        <v>80</v>
      </c>
      <c r="F446" s="339">
        <v>3000</v>
      </c>
      <c r="G446" s="355">
        <f t="shared" si="446"/>
        <v>0</v>
      </c>
      <c r="H446" s="356">
        <f t="shared" si="447"/>
        <v>0</v>
      </c>
      <c r="I446" s="357"/>
      <c r="J446" s="357"/>
      <c r="K446" s="357">
        <f t="shared" si="448"/>
        <v>0</v>
      </c>
      <c r="L446" s="357"/>
      <c r="M446" s="357"/>
      <c r="N446" s="357">
        <f t="shared" si="449"/>
        <v>0</v>
      </c>
      <c r="O446" s="358">
        <f t="shared" si="450"/>
        <v>0</v>
      </c>
      <c r="P446" s="359">
        <f t="shared" si="451"/>
        <v>0</v>
      </c>
      <c r="Q446" s="321">
        <v>3</v>
      </c>
      <c r="R446" s="188">
        <f t="shared" si="452"/>
        <v>0</v>
      </c>
      <c r="S446" s="188"/>
      <c r="T446" s="188"/>
      <c r="U446" s="357">
        <f t="shared" si="453"/>
        <v>0</v>
      </c>
      <c r="V446" s="188"/>
      <c r="W446" s="188"/>
      <c r="X446" s="357">
        <f t="shared" si="454"/>
        <v>0</v>
      </c>
      <c r="Y446" s="358">
        <f t="shared" si="455"/>
        <v>0</v>
      </c>
      <c r="Z446" s="184"/>
    </row>
    <row r="447" spans="1:26" hidden="1">
      <c r="A447" s="187">
        <v>1</v>
      </c>
      <c r="B447" s="328" t="s">
        <v>88</v>
      </c>
      <c r="C447" s="196" t="s">
        <v>152</v>
      </c>
      <c r="D447" s="286">
        <v>10</v>
      </c>
      <c r="E447" s="190" t="s">
        <v>80</v>
      </c>
      <c r="F447" s="339">
        <v>140</v>
      </c>
      <c r="G447" s="355">
        <f t="shared" si="446"/>
        <v>1400</v>
      </c>
      <c r="H447" s="356">
        <f t="shared" si="447"/>
        <v>1400</v>
      </c>
      <c r="I447" s="357"/>
      <c r="J447" s="357"/>
      <c r="K447" s="357">
        <f t="shared" si="448"/>
        <v>0</v>
      </c>
      <c r="L447" s="357"/>
      <c r="M447" s="357"/>
      <c r="N447" s="357">
        <f t="shared" si="449"/>
        <v>0</v>
      </c>
      <c r="O447" s="358">
        <f t="shared" si="450"/>
        <v>1400</v>
      </c>
      <c r="P447" s="359">
        <f t="shared" si="451"/>
        <v>201.14942528735634</v>
      </c>
      <c r="Q447" s="321">
        <v>1</v>
      </c>
      <c r="R447" s="188">
        <f t="shared" si="452"/>
        <v>201.14942528735634</v>
      </c>
      <c r="S447" s="188"/>
      <c r="T447" s="188"/>
      <c r="U447" s="357">
        <f t="shared" si="453"/>
        <v>0</v>
      </c>
      <c r="V447" s="188"/>
      <c r="W447" s="188"/>
      <c r="X447" s="357">
        <f t="shared" si="454"/>
        <v>0</v>
      </c>
      <c r="Y447" s="358">
        <f t="shared" si="455"/>
        <v>201.14942528735634</v>
      </c>
      <c r="Z447" s="184"/>
    </row>
    <row r="448" spans="1:26" hidden="1">
      <c r="A448" s="187">
        <v>1</v>
      </c>
      <c r="B448" s="328" t="s">
        <v>88</v>
      </c>
      <c r="C448" s="196" t="s">
        <v>152</v>
      </c>
      <c r="D448" s="286">
        <v>0</v>
      </c>
      <c r="E448" s="190" t="s">
        <v>80</v>
      </c>
      <c r="F448" s="339">
        <v>140</v>
      </c>
      <c r="G448" s="355">
        <f t="shared" si="446"/>
        <v>0</v>
      </c>
      <c r="H448" s="356">
        <f t="shared" si="447"/>
        <v>0</v>
      </c>
      <c r="I448" s="357"/>
      <c r="J448" s="357"/>
      <c r="K448" s="357">
        <f t="shared" si="448"/>
        <v>0</v>
      </c>
      <c r="L448" s="357"/>
      <c r="M448" s="357"/>
      <c r="N448" s="357">
        <f t="shared" si="449"/>
        <v>0</v>
      </c>
      <c r="O448" s="358">
        <f t="shared" si="450"/>
        <v>0</v>
      </c>
      <c r="P448" s="359">
        <f t="shared" si="451"/>
        <v>0</v>
      </c>
      <c r="Q448" s="321">
        <v>2</v>
      </c>
      <c r="R448" s="188">
        <f t="shared" si="452"/>
        <v>0</v>
      </c>
      <c r="S448" s="188"/>
      <c r="T448" s="188"/>
      <c r="U448" s="357">
        <f t="shared" si="453"/>
        <v>0</v>
      </c>
      <c r="V448" s="188"/>
      <c r="W448" s="188"/>
      <c r="X448" s="357">
        <f t="shared" si="454"/>
        <v>0</v>
      </c>
      <c r="Y448" s="358">
        <f t="shared" si="455"/>
        <v>0</v>
      </c>
      <c r="Z448" s="184"/>
    </row>
    <row r="449" spans="1:26" hidden="1">
      <c r="A449" s="187">
        <v>1</v>
      </c>
      <c r="B449" s="328" t="s">
        <v>88</v>
      </c>
      <c r="C449" s="196" t="s">
        <v>152</v>
      </c>
      <c r="D449" s="286">
        <v>0</v>
      </c>
      <c r="E449" s="190" t="s">
        <v>80</v>
      </c>
      <c r="F449" s="339">
        <v>140</v>
      </c>
      <c r="G449" s="355">
        <f t="shared" si="446"/>
        <v>0</v>
      </c>
      <c r="H449" s="356">
        <f t="shared" si="447"/>
        <v>0</v>
      </c>
      <c r="I449" s="357"/>
      <c r="J449" s="357"/>
      <c r="K449" s="357">
        <f t="shared" si="448"/>
        <v>0</v>
      </c>
      <c r="L449" s="357"/>
      <c r="M449" s="357"/>
      <c r="N449" s="357">
        <f t="shared" si="449"/>
        <v>0</v>
      </c>
      <c r="O449" s="358">
        <f t="shared" si="450"/>
        <v>0</v>
      </c>
      <c r="P449" s="359">
        <f t="shared" si="451"/>
        <v>0</v>
      </c>
      <c r="Q449" s="321">
        <v>3</v>
      </c>
      <c r="R449" s="188">
        <f t="shared" si="452"/>
        <v>0</v>
      </c>
      <c r="S449" s="188"/>
      <c r="T449" s="188"/>
      <c r="U449" s="357">
        <f t="shared" si="453"/>
        <v>0</v>
      </c>
      <c r="V449" s="188"/>
      <c r="W449" s="188"/>
      <c r="X449" s="357">
        <f t="shared" si="454"/>
        <v>0</v>
      </c>
      <c r="Y449" s="358">
        <f t="shared" si="455"/>
        <v>0</v>
      </c>
      <c r="Z449" s="184"/>
    </row>
    <row r="450" spans="1:26" hidden="1">
      <c r="A450" s="187">
        <v>1</v>
      </c>
      <c r="B450" s="328" t="s">
        <v>88</v>
      </c>
      <c r="C450" s="196" t="s">
        <v>319</v>
      </c>
      <c r="D450" s="286">
        <v>2</v>
      </c>
      <c r="E450" s="190" t="s">
        <v>80</v>
      </c>
      <c r="F450" s="339">
        <v>700</v>
      </c>
      <c r="G450" s="355">
        <f t="shared" si="446"/>
        <v>1400</v>
      </c>
      <c r="H450" s="356">
        <f t="shared" si="447"/>
        <v>1400</v>
      </c>
      <c r="I450" s="357"/>
      <c r="J450" s="357"/>
      <c r="K450" s="357">
        <f t="shared" si="448"/>
        <v>0</v>
      </c>
      <c r="L450" s="357"/>
      <c r="M450" s="357"/>
      <c r="N450" s="357">
        <f t="shared" si="449"/>
        <v>0</v>
      </c>
      <c r="O450" s="358">
        <f t="shared" si="450"/>
        <v>1400</v>
      </c>
      <c r="P450" s="359">
        <f t="shared" si="451"/>
        <v>201.14942528735634</v>
      </c>
      <c r="Q450" s="321">
        <v>1</v>
      </c>
      <c r="R450" s="188">
        <f t="shared" si="452"/>
        <v>201.14942528735634</v>
      </c>
      <c r="S450" s="188"/>
      <c r="T450" s="188"/>
      <c r="U450" s="357">
        <f t="shared" si="453"/>
        <v>0</v>
      </c>
      <c r="V450" s="188"/>
      <c r="W450" s="188"/>
      <c r="X450" s="357">
        <f t="shared" si="454"/>
        <v>0</v>
      </c>
      <c r="Y450" s="358">
        <f t="shared" si="455"/>
        <v>201.14942528735634</v>
      </c>
      <c r="Z450" s="184"/>
    </row>
    <row r="451" spans="1:26" hidden="1">
      <c r="A451" s="187">
        <v>1</v>
      </c>
      <c r="B451" s="328" t="s">
        <v>88</v>
      </c>
      <c r="C451" s="196" t="s">
        <v>319</v>
      </c>
      <c r="D451" s="286">
        <v>0</v>
      </c>
      <c r="E451" s="190" t="s">
        <v>80</v>
      </c>
      <c r="F451" s="339">
        <v>700</v>
      </c>
      <c r="G451" s="355">
        <f t="shared" si="446"/>
        <v>0</v>
      </c>
      <c r="H451" s="356">
        <f t="shared" si="447"/>
        <v>0</v>
      </c>
      <c r="I451" s="357"/>
      <c r="J451" s="357"/>
      <c r="K451" s="357">
        <f t="shared" si="448"/>
        <v>0</v>
      </c>
      <c r="L451" s="357"/>
      <c r="M451" s="357"/>
      <c r="N451" s="357">
        <f t="shared" si="449"/>
        <v>0</v>
      </c>
      <c r="O451" s="358">
        <f t="shared" si="450"/>
        <v>0</v>
      </c>
      <c r="P451" s="359">
        <f t="shared" si="451"/>
        <v>0</v>
      </c>
      <c r="Q451" s="321">
        <v>2</v>
      </c>
      <c r="R451" s="188">
        <f t="shared" si="452"/>
        <v>0</v>
      </c>
      <c r="S451" s="188"/>
      <c r="T451" s="188"/>
      <c r="U451" s="357">
        <f t="shared" si="453"/>
        <v>0</v>
      </c>
      <c r="V451" s="188"/>
      <c r="W451" s="188"/>
      <c r="X451" s="357">
        <f t="shared" si="454"/>
        <v>0</v>
      </c>
      <c r="Y451" s="358">
        <f t="shared" si="455"/>
        <v>0</v>
      </c>
      <c r="Z451" s="184"/>
    </row>
    <row r="452" spans="1:26" hidden="1">
      <c r="A452" s="187">
        <v>1</v>
      </c>
      <c r="B452" s="328" t="s">
        <v>88</v>
      </c>
      <c r="C452" s="196" t="s">
        <v>319</v>
      </c>
      <c r="D452" s="286">
        <v>0</v>
      </c>
      <c r="E452" s="190" t="s">
        <v>80</v>
      </c>
      <c r="F452" s="339">
        <v>700</v>
      </c>
      <c r="G452" s="355">
        <f t="shared" si="446"/>
        <v>0</v>
      </c>
      <c r="H452" s="356">
        <f t="shared" si="447"/>
        <v>0</v>
      </c>
      <c r="I452" s="357"/>
      <c r="J452" s="357"/>
      <c r="K452" s="357">
        <f t="shared" si="448"/>
        <v>0</v>
      </c>
      <c r="L452" s="357"/>
      <c r="M452" s="357"/>
      <c r="N452" s="357">
        <f t="shared" si="449"/>
        <v>0</v>
      </c>
      <c r="O452" s="358">
        <f t="shared" si="450"/>
        <v>0</v>
      </c>
      <c r="P452" s="359">
        <f t="shared" si="451"/>
        <v>0</v>
      </c>
      <c r="Q452" s="321">
        <v>3</v>
      </c>
      <c r="R452" s="188">
        <f t="shared" si="452"/>
        <v>0</v>
      </c>
      <c r="S452" s="188"/>
      <c r="T452" s="188"/>
      <c r="U452" s="357">
        <f t="shared" si="453"/>
        <v>0</v>
      </c>
      <c r="V452" s="188"/>
      <c r="W452" s="188"/>
      <c r="X452" s="357">
        <f t="shared" si="454"/>
        <v>0</v>
      </c>
      <c r="Y452" s="358">
        <f t="shared" si="455"/>
        <v>0</v>
      </c>
      <c r="Z452" s="184"/>
    </row>
    <row r="453" spans="1:26" hidden="1">
      <c r="A453" s="187">
        <v>1</v>
      </c>
      <c r="B453" s="328" t="s">
        <v>88</v>
      </c>
      <c r="C453" s="196" t="s">
        <v>318</v>
      </c>
      <c r="D453" s="286">
        <v>1</v>
      </c>
      <c r="E453" s="190" t="s">
        <v>80</v>
      </c>
      <c r="F453" s="339">
        <v>1500</v>
      </c>
      <c r="G453" s="355">
        <f t="shared" si="446"/>
        <v>1500</v>
      </c>
      <c r="H453" s="356">
        <f t="shared" si="447"/>
        <v>1500</v>
      </c>
      <c r="I453" s="357"/>
      <c r="J453" s="357"/>
      <c r="K453" s="357">
        <f t="shared" si="448"/>
        <v>0</v>
      </c>
      <c r="L453" s="357"/>
      <c r="M453" s="357"/>
      <c r="N453" s="357">
        <f t="shared" si="449"/>
        <v>0</v>
      </c>
      <c r="O453" s="358">
        <f t="shared" si="450"/>
        <v>1500</v>
      </c>
      <c r="P453" s="359">
        <f t="shared" si="451"/>
        <v>215.51724137931035</v>
      </c>
      <c r="Q453" s="321">
        <v>1</v>
      </c>
      <c r="R453" s="188">
        <f t="shared" si="452"/>
        <v>215.51724137931035</v>
      </c>
      <c r="S453" s="188"/>
      <c r="T453" s="188"/>
      <c r="U453" s="357">
        <f t="shared" si="453"/>
        <v>0</v>
      </c>
      <c r="V453" s="188"/>
      <c r="W453" s="188"/>
      <c r="X453" s="357">
        <f t="shared" si="454"/>
        <v>0</v>
      </c>
      <c r="Y453" s="358">
        <f t="shared" si="455"/>
        <v>215.51724137931035</v>
      </c>
      <c r="Z453" s="184"/>
    </row>
    <row r="454" spans="1:26" hidden="1">
      <c r="A454" s="187">
        <v>1</v>
      </c>
      <c r="B454" s="328" t="s">
        <v>88</v>
      </c>
      <c r="C454" s="196" t="s">
        <v>318</v>
      </c>
      <c r="D454" s="286">
        <v>0</v>
      </c>
      <c r="E454" s="190" t="s">
        <v>80</v>
      </c>
      <c r="F454" s="339">
        <v>1500</v>
      </c>
      <c r="G454" s="355">
        <f t="shared" si="446"/>
        <v>0</v>
      </c>
      <c r="H454" s="356">
        <f t="shared" si="447"/>
        <v>0</v>
      </c>
      <c r="I454" s="357"/>
      <c r="J454" s="357"/>
      <c r="K454" s="357">
        <f t="shared" si="448"/>
        <v>0</v>
      </c>
      <c r="L454" s="357"/>
      <c r="M454" s="357"/>
      <c r="N454" s="357">
        <f t="shared" si="449"/>
        <v>0</v>
      </c>
      <c r="O454" s="358">
        <f t="shared" si="450"/>
        <v>0</v>
      </c>
      <c r="P454" s="359">
        <f t="shared" si="451"/>
        <v>0</v>
      </c>
      <c r="Q454" s="321">
        <v>2</v>
      </c>
      <c r="R454" s="188">
        <f t="shared" si="452"/>
        <v>0</v>
      </c>
      <c r="S454" s="188"/>
      <c r="T454" s="188"/>
      <c r="U454" s="357">
        <f t="shared" si="453"/>
        <v>0</v>
      </c>
      <c r="V454" s="188"/>
      <c r="W454" s="188"/>
      <c r="X454" s="357">
        <f t="shared" si="454"/>
        <v>0</v>
      </c>
      <c r="Y454" s="358">
        <f t="shared" si="455"/>
        <v>0</v>
      </c>
      <c r="Z454" s="184"/>
    </row>
    <row r="455" spans="1:26" hidden="1">
      <c r="A455" s="187">
        <v>1</v>
      </c>
      <c r="B455" s="328" t="s">
        <v>88</v>
      </c>
      <c r="C455" s="196" t="s">
        <v>318</v>
      </c>
      <c r="D455" s="286">
        <v>0</v>
      </c>
      <c r="E455" s="190" t="s">
        <v>80</v>
      </c>
      <c r="F455" s="339">
        <v>1500</v>
      </c>
      <c r="G455" s="355">
        <f t="shared" si="446"/>
        <v>0</v>
      </c>
      <c r="H455" s="356">
        <f t="shared" si="447"/>
        <v>0</v>
      </c>
      <c r="I455" s="357"/>
      <c r="J455" s="357"/>
      <c r="K455" s="357">
        <f t="shared" si="448"/>
        <v>0</v>
      </c>
      <c r="L455" s="357"/>
      <c r="M455" s="357"/>
      <c r="N455" s="357">
        <f t="shared" si="449"/>
        <v>0</v>
      </c>
      <c r="O455" s="358">
        <f t="shared" si="450"/>
        <v>0</v>
      </c>
      <c r="P455" s="359">
        <f t="shared" si="451"/>
        <v>0</v>
      </c>
      <c r="Q455" s="321">
        <v>3</v>
      </c>
      <c r="R455" s="188">
        <f t="shared" si="452"/>
        <v>0</v>
      </c>
      <c r="S455" s="188"/>
      <c r="T455" s="188"/>
      <c r="U455" s="357">
        <f t="shared" si="453"/>
        <v>0</v>
      </c>
      <c r="V455" s="188"/>
      <c r="W455" s="188"/>
      <c r="X455" s="357">
        <f t="shared" si="454"/>
        <v>0</v>
      </c>
      <c r="Y455" s="358">
        <f t="shared" si="455"/>
        <v>0</v>
      </c>
      <c r="Z455" s="184"/>
    </row>
    <row r="456" spans="1:26" hidden="1">
      <c r="A456" s="187">
        <v>1</v>
      </c>
      <c r="B456" s="328" t="s">
        <v>88</v>
      </c>
      <c r="C456" s="196" t="s">
        <v>320</v>
      </c>
      <c r="D456" s="286">
        <v>1</v>
      </c>
      <c r="E456" s="190" t="s">
        <v>80</v>
      </c>
      <c r="F456" s="339">
        <v>2700</v>
      </c>
      <c r="G456" s="355">
        <f t="shared" si="446"/>
        <v>2700</v>
      </c>
      <c r="H456" s="356">
        <f t="shared" si="447"/>
        <v>2700</v>
      </c>
      <c r="I456" s="357"/>
      <c r="J456" s="357"/>
      <c r="K456" s="357">
        <f t="shared" si="448"/>
        <v>0</v>
      </c>
      <c r="L456" s="357"/>
      <c r="M456" s="357"/>
      <c r="N456" s="357">
        <f t="shared" si="449"/>
        <v>0</v>
      </c>
      <c r="O456" s="358">
        <f t="shared" si="450"/>
        <v>2700</v>
      </c>
      <c r="P456" s="359">
        <f t="shared" si="451"/>
        <v>387.93103448275861</v>
      </c>
      <c r="Q456" s="321">
        <v>1</v>
      </c>
      <c r="R456" s="188">
        <f t="shared" si="452"/>
        <v>387.93103448275861</v>
      </c>
      <c r="S456" s="188"/>
      <c r="T456" s="188"/>
      <c r="U456" s="357">
        <f t="shared" si="453"/>
        <v>0</v>
      </c>
      <c r="V456" s="188"/>
      <c r="W456" s="188"/>
      <c r="X456" s="357">
        <f t="shared" si="454"/>
        <v>0</v>
      </c>
      <c r="Y456" s="358">
        <f t="shared" si="455"/>
        <v>387.93103448275861</v>
      </c>
      <c r="Z456" s="184"/>
    </row>
    <row r="457" spans="1:26" hidden="1">
      <c r="A457" s="187">
        <v>1</v>
      </c>
      <c r="B457" s="328" t="s">
        <v>88</v>
      </c>
      <c r="C457" s="196" t="s">
        <v>320</v>
      </c>
      <c r="D457" s="286">
        <v>0</v>
      </c>
      <c r="E457" s="190" t="s">
        <v>80</v>
      </c>
      <c r="F457" s="339">
        <v>2700</v>
      </c>
      <c r="G457" s="355">
        <f t="shared" si="446"/>
        <v>0</v>
      </c>
      <c r="H457" s="356">
        <f t="shared" si="447"/>
        <v>0</v>
      </c>
      <c r="I457" s="357"/>
      <c r="J457" s="357"/>
      <c r="K457" s="357">
        <f t="shared" si="448"/>
        <v>0</v>
      </c>
      <c r="L457" s="357"/>
      <c r="M457" s="357"/>
      <c r="N457" s="357">
        <f t="shared" si="449"/>
        <v>0</v>
      </c>
      <c r="O457" s="358">
        <f t="shared" si="450"/>
        <v>0</v>
      </c>
      <c r="P457" s="359">
        <f t="shared" si="451"/>
        <v>0</v>
      </c>
      <c r="Q457" s="321">
        <v>2</v>
      </c>
      <c r="R457" s="188">
        <f t="shared" si="452"/>
        <v>0</v>
      </c>
      <c r="S457" s="188"/>
      <c r="T457" s="188"/>
      <c r="U457" s="357">
        <f t="shared" si="453"/>
        <v>0</v>
      </c>
      <c r="V457" s="188"/>
      <c r="W457" s="188"/>
      <c r="X457" s="357">
        <f t="shared" si="454"/>
        <v>0</v>
      </c>
      <c r="Y457" s="358">
        <f t="shared" si="455"/>
        <v>0</v>
      </c>
      <c r="Z457" s="184"/>
    </row>
    <row r="458" spans="1:26" hidden="1">
      <c r="A458" s="187">
        <v>1</v>
      </c>
      <c r="B458" s="328" t="s">
        <v>88</v>
      </c>
      <c r="C458" s="196" t="s">
        <v>320</v>
      </c>
      <c r="D458" s="286">
        <v>0</v>
      </c>
      <c r="E458" s="190" t="s">
        <v>80</v>
      </c>
      <c r="F458" s="339">
        <v>2700</v>
      </c>
      <c r="G458" s="355">
        <f t="shared" si="446"/>
        <v>0</v>
      </c>
      <c r="H458" s="356">
        <f t="shared" si="447"/>
        <v>0</v>
      </c>
      <c r="I458" s="357"/>
      <c r="J458" s="357"/>
      <c r="K458" s="357">
        <f t="shared" si="448"/>
        <v>0</v>
      </c>
      <c r="L458" s="357"/>
      <c r="M458" s="357"/>
      <c r="N458" s="357">
        <f t="shared" si="449"/>
        <v>0</v>
      </c>
      <c r="O458" s="358">
        <f t="shared" si="450"/>
        <v>0</v>
      </c>
      <c r="P458" s="359">
        <f t="shared" si="451"/>
        <v>0</v>
      </c>
      <c r="Q458" s="321">
        <v>3</v>
      </c>
      <c r="R458" s="188">
        <f t="shared" si="452"/>
        <v>0</v>
      </c>
      <c r="S458" s="188"/>
      <c r="T458" s="188"/>
      <c r="U458" s="357">
        <f t="shared" si="453"/>
        <v>0</v>
      </c>
      <c r="V458" s="188"/>
      <c r="W458" s="188"/>
      <c r="X458" s="357">
        <f t="shared" si="454"/>
        <v>0</v>
      </c>
      <c r="Y458" s="358">
        <f t="shared" si="455"/>
        <v>0</v>
      </c>
      <c r="Z458" s="184"/>
    </row>
    <row r="459" spans="1:26" ht="25.5" hidden="1">
      <c r="A459" s="187">
        <v>5</v>
      </c>
      <c r="B459" s="328" t="s">
        <v>88</v>
      </c>
      <c r="C459" s="196" t="s">
        <v>297</v>
      </c>
      <c r="D459" s="286">
        <f>3*6*1</f>
        <v>18</v>
      </c>
      <c r="E459" s="190" t="s">
        <v>169</v>
      </c>
      <c r="F459" s="339">
        <v>1200</v>
      </c>
      <c r="G459" s="355">
        <f t="shared" si="446"/>
        <v>21600</v>
      </c>
      <c r="H459" s="356">
        <f t="shared" si="447"/>
        <v>21600</v>
      </c>
      <c r="I459" s="357"/>
      <c r="J459" s="357"/>
      <c r="K459" s="357">
        <f t="shared" si="448"/>
        <v>0</v>
      </c>
      <c r="L459" s="357"/>
      <c r="M459" s="357"/>
      <c r="N459" s="357">
        <f t="shared" si="449"/>
        <v>0</v>
      </c>
      <c r="O459" s="358">
        <f t="shared" si="450"/>
        <v>21600</v>
      </c>
      <c r="P459" s="359">
        <f t="shared" si="451"/>
        <v>3103.4482758620688</v>
      </c>
      <c r="Q459" s="321">
        <v>1</v>
      </c>
      <c r="R459" s="188">
        <f t="shared" si="452"/>
        <v>3103.4482758620688</v>
      </c>
      <c r="S459" s="188"/>
      <c r="T459" s="188"/>
      <c r="U459" s="357">
        <f t="shared" si="453"/>
        <v>0</v>
      </c>
      <c r="V459" s="188"/>
      <c r="W459" s="188"/>
      <c r="X459" s="357">
        <f t="shared" si="454"/>
        <v>0</v>
      </c>
      <c r="Y459" s="358">
        <f t="shared" si="455"/>
        <v>3103.4482758620688</v>
      </c>
      <c r="Z459" s="184">
        <f t="shared" ref="Z459:Z522" si="459">P459-Y459</f>
        <v>0</v>
      </c>
    </row>
    <row r="460" spans="1:26" ht="25.5">
      <c r="A460" s="187">
        <v>5</v>
      </c>
      <c r="B460" s="328" t="s">
        <v>88</v>
      </c>
      <c r="C460" s="196" t="s">
        <v>297</v>
      </c>
      <c r="D460" s="286">
        <f t="shared" ref="D460:D461" si="460">3*6*1</f>
        <v>18</v>
      </c>
      <c r="E460" s="190" t="s">
        <v>169</v>
      </c>
      <c r="F460" s="339">
        <v>1200</v>
      </c>
      <c r="G460" s="355">
        <f t="shared" si="446"/>
        <v>21600</v>
      </c>
      <c r="H460" s="356">
        <f t="shared" si="447"/>
        <v>21600</v>
      </c>
      <c r="I460" s="357"/>
      <c r="J460" s="357"/>
      <c r="K460" s="357">
        <f t="shared" si="448"/>
        <v>0</v>
      </c>
      <c r="L460" s="357"/>
      <c r="M460" s="357"/>
      <c r="N460" s="357">
        <f t="shared" si="449"/>
        <v>0</v>
      </c>
      <c r="O460" s="358">
        <f t="shared" si="450"/>
        <v>21600</v>
      </c>
      <c r="P460" s="359">
        <f t="shared" si="451"/>
        <v>3103.4482758620688</v>
      </c>
      <c r="Q460" s="321">
        <v>2</v>
      </c>
      <c r="R460" s="188">
        <f t="shared" si="452"/>
        <v>3103.4482758620688</v>
      </c>
      <c r="S460" s="188"/>
      <c r="T460" s="188"/>
      <c r="U460" s="357">
        <f t="shared" si="453"/>
        <v>0</v>
      </c>
      <c r="V460" s="188"/>
      <c r="W460" s="188"/>
      <c r="X460" s="357">
        <f t="shared" si="454"/>
        <v>0</v>
      </c>
      <c r="Y460" s="358">
        <f t="shared" si="455"/>
        <v>3103.4482758620688</v>
      </c>
      <c r="Z460" s="184">
        <f t="shared" si="459"/>
        <v>0</v>
      </c>
    </row>
    <row r="461" spans="1:26" ht="25.5" hidden="1">
      <c r="A461" s="187">
        <v>5</v>
      </c>
      <c r="B461" s="328" t="s">
        <v>88</v>
      </c>
      <c r="C461" s="196" t="s">
        <v>297</v>
      </c>
      <c r="D461" s="286">
        <f t="shared" si="460"/>
        <v>18</v>
      </c>
      <c r="E461" s="190" t="s">
        <v>169</v>
      </c>
      <c r="F461" s="339">
        <v>1200</v>
      </c>
      <c r="G461" s="355">
        <f t="shared" si="446"/>
        <v>21600</v>
      </c>
      <c r="H461" s="356">
        <f t="shared" si="447"/>
        <v>21600</v>
      </c>
      <c r="I461" s="357"/>
      <c r="J461" s="357"/>
      <c r="K461" s="357">
        <f t="shared" si="448"/>
        <v>0</v>
      </c>
      <c r="L461" s="357"/>
      <c r="M461" s="357"/>
      <c r="N461" s="357">
        <f t="shared" si="449"/>
        <v>0</v>
      </c>
      <c r="O461" s="358">
        <f t="shared" si="450"/>
        <v>21600</v>
      </c>
      <c r="P461" s="359">
        <f t="shared" si="451"/>
        <v>3103.4482758620688</v>
      </c>
      <c r="Q461" s="321">
        <v>3</v>
      </c>
      <c r="R461" s="188">
        <f t="shared" si="452"/>
        <v>3103.4482758620688</v>
      </c>
      <c r="S461" s="188"/>
      <c r="T461" s="188"/>
      <c r="U461" s="357">
        <f t="shared" si="453"/>
        <v>0</v>
      </c>
      <c r="V461" s="188"/>
      <c r="W461" s="188"/>
      <c r="X461" s="357">
        <f t="shared" si="454"/>
        <v>0</v>
      </c>
      <c r="Y461" s="358">
        <f t="shared" si="455"/>
        <v>3103.4482758620688</v>
      </c>
      <c r="Z461" s="184">
        <f t="shared" si="459"/>
        <v>0</v>
      </c>
    </row>
    <row r="462" spans="1:26" ht="25.5" hidden="1">
      <c r="A462" s="187">
        <v>5</v>
      </c>
      <c r="B462" s="328" t="s">
        <v>88</v>
      </c>
      <c r="C462" s="189" t="s">
        <v>298</v>
      </c>
      <c r="D462" s="286">
        <v>1</v>
      </c>
      <c r="E462" s="315" t="s">
        <v>92</v>
      </c>
      <c r="F462" s="339">
        <v>3000</v>
      </c>
      <c r="G462" s="355">
        <f t="shared" si="446"/>
        <v>3000</v>
      </c>
      <c r="H462" s="356">
        <f t="shared" si="447"/>
        <v>3000</v>
      </c>
      <c r="I462" s="357"/>
      <c r="J462" s="357"/>
      <c r="K462" s="357">
        <f t="shared" si="448"/>
        <v>0</v>
      </c>
      <c r="L462" s="357"/>
      <c r="M462" s="357"/>
      <c r="N462" s="357">
        <f t="shared" si="449"/>
        <v>0</v>
      </c>
      <c r="O462" s="358">
        <f t="shared" si="450"/>
        <v>3000</v>
      </c>
      <c r="P462" s="359">
        <f t="shared" si="451"/>
        <v>431.0344827586207</v>
      </c>
      <c r="Q462" s="321">
        <v>1</v>
      </c>
      <c r="R462" s="188">
        <f t="shared" si="452"/>
        <v>431.0344827586207</v>
      </c>
      <c r="S462" s="188"/>
      <c r="T462" s="188"/>
      <c r="U462" s="357">
        <f t="shared" si="453"/>
        <v>0</v>
      </c>
      <c r="V462" s="188"/>
      <c r="W462" s="188"/>
      <c r="X462" s="357">
        <f t="shared" si="454"/>
        <v>0</v>
      </c>
      <c r="Y462" s="358">
        <f t="shared" si="455"/>
        <v>431.0344827586207</v>
      </c>
      <c r="Z462" s="184">
        <f t="shared" si="459"/>
        <v>0</v>
      </c>
    </row>
    <row r="463" spans="1:26" ht="25.5">
      <c r="A463" s="187">
        <v>5</v>
      </c>
      <c r="B463" s="328" t="s">
        <v>88</v>
      </c>
      <c r="C463" s="189" t="s">
        <v>298</v>
      </c>
      <c r="D463" s="286">
        <v>1</v>
      </c>
      <c r="E463" s="315" t="s">
        <v>92</v>
      </c>
      <c r="F463" s="339">
        <v>3000</v>
      </c>
      <c r="G463" s="355">
        <f t="shared" si="446"/>
        <v>3000</v>
      </c>
      <c r="H463" s="356">
        <f t="shared" si="447"/>
        <v>3000</v>
      </c>
      <c r="I463" s="357"/>
      <c r="J463" s="357"/>
      <c r="K463" s="357">
        <f t="shared" si="448"/>
        <v>0</v>
      </c>
      <c r="L463" s="357"/>
      <c r="M463" s="357"/>
      <c r="N463" s="357">
        <f t="shared" si="449"/>
        <v>0</v>
      </c>
      <c r="O463" s="358">
        <f t="shared" si="450"/>
        <v>3000</v>
      </c>
      <c r="P463" s="359">
        <f t="shared" si="451"/>
        <v>431.0344827586207</v>
      </c>
      <c r="Q463" s="321">
        <v>2</v>
      </c>
      <c r="R463" s="188">
        <f t="shared" si="452"/>
        <v>431.0344827586207</v>
      </c>
      <c r="S463" s="188"/>
      <c r="T463" s="188"/>
      <c r="U463" s="357">
        <f t="shared" si="453"/>
        <v>0</v>
      </c>
      <c r="V463" s="188"/>
      <c r="W463" s="188"/>
      <c r="X463" s="357">
        <f t="shared" si="454"/>
        <v>0</v>
      </c>
      <c r="Y463" s="358">
        <f t="shared" si="455"/>
        <v>431.0344827586207</v>
      </c>
      <c r="Z463" s="184">
        <f t="shared" si="459"/>
        <v>0</v>
      </c>
    </row>
    <row r="464" spans="1:26" ht="25.5" hidden="1">
      <c r="A464" s="187">
        <v>5</v>
      </c>
      <c r="B464" s="328" t="s">
        <v>88</v>
      </c>
      <c r="C464" s="189" t="s">
        <v>298</v>
      </c>
      <c r="D464" s="286">
        <v>1</v>
      </c>
      <c r="E464" s="315" t="s">
        <v>92</v>
      </c>
      <c r="F464" s="339">
        <v>3000</v>
      </c>
      <c r="G464" s="355">
        <f t="shared" si="446"/>
        <v>3000</v>
      </c>
      <c r="H464" s="356">
        <f t="shared" si="447"/>
        <v>3000</v>
      </c>
      <c r="I464" s="357"/>
      <c r="J464" s="357"/>
      <c r="K464" s="357">
        <f t="shared" si="448"/>
        <v>0</v>
      </c>
      <c r="L464" s="357"/>
      <c r="M464" s="357"/>
      <c r="N464" s="357">
        <f t="shared" si="449"/>
        <v>0</v>
      </c>
      <c r="O464" s="358">
        <f t="shared" si="450"/>
        <v>3000</v>
      </c>
      <c r="P464" s="359">
        <f t="shared" si="451"/>
        <v>431.0344827586207</v>
      </c>
      <c r="Q464" s="321">
        <v>3</v>
      </c>
      <c r="R464" s="188">
        <f t="shared" si="452"/>
        <v>431.0344827586207</v>
      </c>
      <c r="S464" s="188"/>
      <c r="T464" s="188"/>
      <c r="U464" s="357">
        <f t="shared" si="453"/>
        <v>0</v>
      </c>
      <c r="V464" s="188"/>
      <c r="W464" s="188"/>
      <c r="X464" s="357">
        <f t="shared" si="454"/>
        <v>0</v>
      </c>
      <c r="Y464" s="358">
        <f t="shared" si="455"/>
        <v>431.0344827586207</v>
      </c>
      <c r="Z464" s="184">
        <f t="shared" si="459"/>
        <v>0</v>
      </c>
    </row>
    <row r="465" spans="1:26" hidden="1">
      <c r="A465" s="219" t="s">
        <v>93</v>
      </c>
      <c r="B465" s="326"/>
      <c r="C465" s="220"/>
      <c r="D465" s="185"/>
      <c r="E465" s="185"/>
      <c r="F465" s="186"/>
      <c r="G465" s="207">
        <f t="shared" ref="G465:Y465" si="461">SUM(G466:G504)</f>
        <v>240000</v>
      </c>
      <c r="H465" s="352">
        <f t="shared" si="461"/>
        <v>186000</v>
      </c>
      <c r="I465" s="353">
        <f t="shared" si="461"/>
        <v>54000</v>
      </c>
      <c r="J465" s="353">
        <f t="shared" si="461"/>
        <v>0</v>
      </c>
      <c r="K465" s="353">
        <f t="shared" si="461"/>
        <v>54000</v>
      </c>
      <c r="L465" s="353">
        <f t="shared" si="461"/>
        <v>0</v>
      </c>
      <c r="M465" s="353">
        <f t="shared" si="461"/>
        <v>0</v>
      </c>
      <c r="N465" s="353">
        <f t="shared" si="461"/>
        <v>0</v>
      </c>
      <c r="O465" s="354">
        <f t="shared" si="461"/>
        <v>240000</v>
      </c>
      <c r="P465" s="352">
        <f t="shared" si="461"/>
        <v>34482.758620689652</v>
      </c>
      <c r="Q465" s="320"/>
      <c r="R465" s="181">
        <f t="shared" si="461"/>
        <v>26724.137931034489</v>
      </c>
      <c r="S465" s="181">
        <f t="shared" si="461"/>
        <v>7758.6206896551721</v>
      </c>
      <c r="T465" s="181">
        <f t="shared" si="461"/>
        <v>0</v>
      </c>
      <c r="U465" s="353">
        <f t="shared" si="461"/>
        <v>7758.6206896551721</v>
      </c>
      <c r="V465" s="181">
        <f t="shared" si="461"/>
        <v>0</v>
      </c>
      <c r="W465" s="181">
        <f t="shared" si="461"/>
        <v>0</v>
      </c>
      <c r="X465" s="353">
        <f t="shared" si="461"/>
        <v>0</v>
      </c>
      <c r="Y465" s="354">
        <f t="shared" si="461"/>
        <v>34482.758620689652</v>
      </c>
      <c r="Z465" s="184">
        <f t="shared" si="459"/>
        <v>0</v>
      </c>
    </row>
    <row r="466" spans="1:26" hidden="1">
      <c r="A466" s="187">
        <v>5</v>
      </c>
      <c r="B466" s="328" t="s">
        <v>93</v>
      </c>
      <c r="C466" s="196" t="s">
        <v>202</v>
      </c>
      <c r="D466" s="182">
        <f>1*12</f>
        <v>12</v>
      </c>
      <c r="E466" s="315" t="s">
        <v>77</v>
      </c>
      <c r="F466" s="183">
        <v>1500</v>
      </c>
      <c r="G466" s="355">
        <f>D466*F466</f>
        <v>18000</v>
      </c>
      <c r="H466" s="356">
        <f t="shared" ref="H466:I504" si="462">R466*$Y$4</f>
        <v>0</v>
      </c>
      <c r="I466" s="357">
        <f>S466*$Y$4</f>
        <v>18000</v>
      </c>
      <c r="J466" s="357"/>
      <c r="K466" s="357">
        <f t="shared" ref="K466:K504" si="463">I466+J466</f>
        <v>18000</v>
      </c>
      <c r="L466" s="357"/>
      <c r="M466" s="357"/>
      <c r="N466" s="357">
        <f t="shared" ref="N466:N504" si="464">L466+M466</f>
        <v>0</v>
      </c>
      <c r="O466" s="358">
        <f t="shared" ref="O466:O504" si="465">H466+K466+N466</f>
        <v>18000</v>
      </c>
      <c r="P466" s="359">
        <f>G466/$Y$4</f>
        <v>2586.2068965517242</v>
      </c>
      <c r="Q466" s="321">
        <v>1</v>
      </c>
      <c r="R466" s="188"/>
      <c r="S466" s="188">
        <f>P466</f>
        <v>2586.2068965517242</v>
      </c>
      <c r="T466" s="188"/>
      <c r="U466" s="357">
        <f t="shared" ref="U466:U504" si="466">S466+T466</f>
        <v>2586.2068965517242</v>
      </c>
      <c r="V466" s="188"/>
      <c r="W466" s="188"/>
      <c r="X466" s="357">
        <f t="shared" ref="X466:X504" si="467">V466+W466</f>
        <v>0</v>
      </c>
      <c r="Y466" s="358">
        <f t="shared" ref="Y466:Y504" si="468">R466+U466+X466</f>
        <v>2586.2068965517242</v>
      </c>
      <c r="Z466" s="184">
        <f t="shared" si="459"/>
        <v>0</v>
      </c>
    </row>
    <row r="467" spans="1:26">
      <c r="A467" s="187">
        <v>5</v>
      </c>
      <c r="B467" s="328" t="s">
        <v>93</v>
      </c>
      <c r="C467" s="196" t="s">
        <v>202</v>
      </c>
      <c r="D467" s="182">
        <f t="shared" ref="D467:D468" si="469">1*12</f>
        <v>12</v>
      </c>
      <c r="E467" s="315" t="s">
        <v>77</v>
      </c>
      <c r="F467" s="183">
        <v>1500</v>
      </c>
      <c r="G467" s="355">
        <f t="shared" ref="G467:G468" si="470">D467*F467</f>
        <v>18000</v>
      </c>
      <c r="H467" s="356">
        <f t="shared" si="462"/>
        <v>0</v>
      </c>
      <c r="I467" s="357">
        <f t="shared" si="462"/>
        <v>18000</v>
      </c>
      <c r="J467" s="357"/>
      <c r="K467" s="357">
        <f t="shared" si="463"/>
        <v>18000</v>
      </c>
      <c r="L467" s="357"/>
      <c r="M467" s="357"/>
      <c r="N467" s="357">
        <f t="shared" si="464"/>
        <v>0</v>
      </c>
      <c r="O467" s="358">
        <f t="shared" si="465"/>
        <v>18000</v>
      </c>
      <c r="P467" s="359">
        <f t="shared" ref="P467:P468" si="471">G467/$Y$4</f>
        <v>2586.2068965517242</v>
      </c>
      <c r="Q467" s="321">
        <v>2</v>
      </c>
      <c r="R467" s="188"/>
      <c r="S467" s="188">
        <f t="shared" ref="S467:S468" si="472">P467</f>
        <v>2586.2068965517242</v>
      </c>
      <c r="T467" s="188"/>
      <c r="U467" s="357">
        <f t="shared" si="466"/>
        <v>2586.2068965517242</v>
      </c>
      <c r="V467" s="188"/>
      <c r="W467" s="188"/>
      <c r="X467" s="357">
        <f t="shared" si="467"/>
        <v>0</v>
      </c>
      <c r="Y467" s="358">
        <f t="shared" si="468"/>
        <v>2586.2068965517242</v>
      </c>
      <c r="Z467" s="184">
        <f t="shared" si="459"/>
        <v>0</v>
      </c>
    </row>
    <row r="468" spans="1:26" hidden="1">
      <c r="A468" s="187">
        <v>5</v>
      </c>
      <c r="B468" s="328" t="s">
        <v>93</v>
      </c>
      <c r="C468" s="196" t="s">
        <v>202</v>
      </c>
      <c r="D468" s="182">
        <f t="shared" si="469"/>
        <v>12</v>
      </c>
      <c r="E468" s="315" t="s">
        <v>77</v>
      </c>
      <c r="F468" s="183">
        <v>1500</v>
      </c>
      <c r="G468" s="355">
        <f t="shared" si="470"/>
        <v>18000</v>
      </c>
      <c r="H468" s="356">
        <f t="shared" si="462"/>
        <v>0</v>
      </c>
      <c r="I468" s="357">
        <f t="shared" si="462"/>
        <v>18000</v>
      </c>
      <c r="J468" s="357"/>
      <c r="K468" s="357">
        <f t="shared" si="463"/>
        <v>18000</v>
      </c>
      <c r="L468" s="357"/>
      <c r="M468" s="357"/>
      <c r="N468" s="357">
        <f t="shared" si="464"/>
        <v>0</v>
      </c>
      <c r="O468" s="358">
        <f t="shared" si="465"/>
        <v>18000</v>
      </c>
      <c r="P468" s="359">
        <f t="shared" si="471"/>
        <v>2586.2068965517242</v>
      </c>
      <c r="Q468" s="321">
        <v>3</v>
      </c>
      <c r="R468" s="188"/>
      <c r="S468" s="188">
        <f t="shared" si="472"/>
        <v>2586.2068965517242</v>
      </c>
      <c r="T468" s="188"/>
      <c r="U468" s="357">
        <f t="shared" si="466"/>
        <v>2586.2068965517242</v>
      </c>
      <c r="V468" s="188"/>
      <c r="W468" s="188"/>
      <c r="X468" s="357">
        <f t="shared" si="467"/>
        <v>0</v>
      </c>
      <c r="Y468" s="358">
        <f t="shared" si="468"/>
        <v>2586.2068965517242</v>
      </c>
      <c r="Z468" s="184">
        <f t="shared" si="459"/>
        <v>0</v>
      </c>
    </row>
    <row r="469" spans="1:26" hidden="1">
      <c r="A469" s="187">
        <v>5</v>
      </c>
      <c r="B469" s="328" t="s">
        <v>93</v>
      </c>
      <c r="C469" s="196" t="s">
        <v>214</v>
      </c>
      <c r="D469" s="182">
        <v>1</v>
      </c>
      <c r="E469" s="315" t="s">
        <v>76</v>
      </c>
      <c r="F469" s="183">
        <v>25000</v>
      </c>
      <c r="G469" s="355">
        <f>D469*F469</f>
        <v>25000</v>
      </c>
      <c r="H469" s="356">
        <f t="shared" si="462"/>
        <v>25000</v>
      </c>
      <c r="I469" s="357"/>
      <c r="J469" s="357"/>
      <c r="K469" s="357">
        <f t="shared" si="463"/>
        <v>0</v>
      </c>
      <c r="L469" s="357"/>
      <c r="M469" s="357"/>
      <c r="N469" s="357">
        <f t="shared" si="464"/>
        <v>0</v>
      </c>
      <c r="O469" s="358">
        <f t="shared" si="465"/>
        <v>25000</v>
      </c>
      <c r="P469" s="359">
        <f>G469/$Y$4</f>
        <v>3591.9540229885056</v>
      </c>
      <c r="Q469" s="321">
        <v>1</v>
      </c>
      <c r="R469" s="188">
        <f>P469</f>
        <v>3591.9540229885056</v>
      </c>
      <c r="S469" s="188"/>
      <c r="T469" s="188"/>
      <c r="U469" s="357">
        <f t="shared" si="466"/>
        <v>0</v>
      </c>
      <c r="V469" s="188"/>
      <c r="W469" s="188"/>
      <c r="X469" s="357">
        <f t="shared" si="467"/>
        <v>0</v>
      </c>
      <c r="Y469" s="358">
        <f t="shared" si="468"/>
        <v>3591.9540229885056</v>
      </c>
      <c r="Z469" s="184">
        <f t="shared" si="459"/>
        <v>0</v>
      </c>
    </row>
    <row r="470" spans="1:26" hidden="1">
      <c r="A470" s="187">
        <v>5</v>
      </c>
      <c r="B470" s="328" t="s">
        <v>93</v>
      </c>
      <c r="C470" s="196" t="s">
        <v>214</v>
      </c>
      <c r="D470" s="182">
        <v>0</v>
      </c>
      <c r="E470" s="315" t="s">
        <v>76</v>
      </c>
      <c r="F470" s="183">
        <v>25000</v>
      </c>
      <c r="G470" s="355">
        <f t="shared" ref="G470:G495" si="473">D470*F470</f>
        <v>0</v>
      </c>
      <c r="H470" s="356">
        <f t="shared" si="462"/>
        <v>0</v>
      </c>
      <c r="I470" s="357"/>
      <c r="J470" s="357"/>
      <c r="K470" s="357">
        <f t="shared" si="463"/>
        <v>0</v>
      </c>
      <c r="L470" s="357"/>
      <c r="M470" s="357"/>
      <c r="N470" s="357">
        <f t="shared" si="464"/>
        <v>0</v>
      </c>
      <c r="O470" s="358">
        <f t="shared" si="465"/>
        <v>0</v>
      </c>
      <c r="P470" s="359">
        <f t="shared" ref="P470:P495" si="474">G470/$Y$4</f>
        <v>0</v>
      </c>
      <c r="Q470" s="321">
        <v>2</v>
      </c>
      <c r="R470" s="188">
        <f t="shared" ref="R470:R471" si="475">P470</f>
        <v>0</v>
      </c>
      <c r="S470" s="188"/>
      <c r="T470" s="188"/>
      <c r="U470" s="357">
        <f t="shared" si="466"/>
        <v>0</v>
      </c>
      <c r="V470" s="188"/>
      <c r="W470" s="188"/>
      <c r="X470" s="357">
        <f t="shared" si="467"/>
        <v>0</v>
      </c>
      <c r="Y470" s="358">
        <f t="shared" si="468"/>
        <v>0</v>
      </c>
      <c r="Z470" s="184">
        <f t="shared" si="459"/>
        <v>0</v>
      </c>
    </row>
    <row r="471" spans="1:26" hidden="1">
      <c r="A471" s="187">
        <v>5</v>
      </c>
      <c r="B471" s="328" t="s">
        <v>93</v>
      </c>
      <c r="C471" s="196" t="s">
        <v>214</v>
      </c>
      <c r="D471" s="182">
        <v>0</v>
      </c>
      <c r="E471" s="315" t="s">
        <v>76</v>
      </c>
      <c r="F471" s="183">
        <v>25000</v>
      </c>
      <c r="G471" s="355">
        <f t="shared" si="473"/>
        <v>0</v>
      </c>
      <c r="H471" s="356">
        <f t="shared" si="462"/>
        <v>0</v>
      </c>
      <c r="I471" s="357"/>
      <c r="J471" s="357"/>
      <c r="K471" s="357">
        <f t="shared" si="463"/>
        <v>0</v>
      </c>
      <c r="L471" s="357"/>
      <c r="M471" s="357"/>
      <c r="N471" s="357">
        <f t="shared" si="464"/>
        <v>0</v>
      </c>
      <c r="O471" s="358">
        <f t="shared" si="465"/>
        <v>0</v>
      </c>
      <c r="P471" s="359">
        <f t="shared" si="474"/>
        <v>0</v>
      </c>
      <c r="Q471" s="321">
        <v>3</v>
      </c>
      <c r="R471" s="188">
        <f t="shared" si="475"/>
        <v>0</v>
      </c>
      <c r="S471" s="188"/>
      <c r="T471" s="188"/>
      <c r="U471" s="357">
        <f t="shared" si="466"/>
        <v>0</v>
      </c>
      <c r="V471" s="188"/>
      <c r="W471" s="188"/>
      <c r="X471" s="357">
        <f t="shared" si="467"/>
        <v>0</v>
      </c>
      <c r="Y471" s="358">
        <f t="shared" si="468"/>
        <v>0</v>
      </c>
      <c r="Z471" s="184">
        <f t="shared" si="459"/>
        <v>0</v>
      </c>
    </row>
    <row r="472" spans="1:26" hidden="1">
      <c r="A472" s="187">
        <v>5</v>
      </c>
      <c r="B472" s="328" t="s">
        <v>93</v>
      </c>
      <c r="C472" s="196" t="s">
        <v>208</v>
      </c>
      <c r="D472" s="182">
        <f t="shared" ref="D472:D480" si="476">1*12</f>
        <v>12</v>
      </c>
      <c r="E472" s="190" t="s">
        <v>77</v>
      </c>
      <c r="F472" s="183">
        <v>600</v>
      </c>
      <c r="G472" s="355">
        <f t="shared" si="473"/>
        <v>7200</v>
      </c>
      <c r="H472" s="356">
        <f t="shared" si="462"/>
        <v>7200.0000000000009</v>
      </c>
      <c r="I472" s="357"/>
      <c r="J472" s="357"/>
      <c r="K472" s="357">
        <f t="shared" si="463"/>
        <v>0</v>
      </c>
      <c r="L472" s="357"/>
      <c r="M472" s="357"/>
      <c r="N472" s="357">
        <f t="shared" si="464"/>
        <v>0</v>
      </c>
      <c r="O472" s="358">
        <f t="shared" si="465"/>
        <v>7200.0000000000009</v>
      </c>
      <c r="P472" s="359">
        <f t="shared" si="474"/>
        <v>1034.4827586206898</v>
      </c>
      <c r="Q472" s="321">
        <v>1</v>
      </c>
      <c r="R472" s="188">
        <f>P472</f>
        <v>1034.4827586206898</v>
      </c>
      <c r="S472" s="188"/>
      <c r="T472" s="188"/>
      <c r="U472" s="357">
        <f t="shared" si="466"/>
        <v>0</v>
      </c>
      <c r="V472" s="188"/>
      <c r="W472" s="188"/>
      <c r="X472" s="357">
        <f t="shared" si="467"/>
        <v>0</v>
      </c>
      <c r="Y472" s="358">
        <f t="shared" si="468"/>
        <v>1034.4827586206898</v>
      </c>
      <c r="Z472" s="184">
        <f t="shared" si="459"/>
        <v>0</v>
      </c>
    </row>
    <row r="473" spans="1:26">
      <c r="A473" s="187">
        <v>5</v>
      </c>
      <c r="B473" s="328" t="s">
        <v>93</v>
      </c>
      <c r="C473" s="196" t="s">
        <v>208</v>
      </c>
      <c r="D473" s="182">
        <f t="shared" si="476"/>
        <v>12</v>
      </c>
      <c r="E473" s="190" t="s">
        <v>77</v>
      </c>
      <c r="F473" s="183">
        <v>600</v>
      </c>
      <c r="G473" s="355">
        <f t="shared" si="473"/>
        <v>7200</v>
      </c>
      <c r="H473" s="356">
        <f t="shared" si="462"/>
        <v>7200.0000000000009</v>
      </c>
      <c r="I473" s="357"/>
      <c r="J473" s="357"/>
      <c r="K473" s="357">
        <f t="shared" si="463"/>
        <v>0</v>
      </c>
      <c r="L473" s="357"/>
      <c r="M473" s="357"/>
      <c r="N473" s="357">
        <f t="shared" si="464"/>
        <v>0</v>
      </c>
      <c r="O473" s="358">
        <f t="shared" si="465"/>
        <v>7200.0000000000009</v>
      </c>
      <c r="P473" s="359">
        <f t="shared" si="474"/>
        <v>1034.4827586206898</v>
      </c>
      <c r="Q473" s="321">
        <v>2</v>
      </c>
      <c r="R473" s="188">
        <f t="shared" ref="R473:R495" si="477">P473</f>
        <v>1034.4827586206898</v>
      </c>
      <c r="S473" s="188"/>
      <c r="T473" s="188"/>
      <c r="U473" s="357">
        <f t="shared" si="466"/>
        <v>0</v>
      </c>
      <c r="V473" s="188"/>
      <c r="W473" s="188"/>
      <c r="X473" s="357">
        <f t="shared" si="467"/>
        <v>0</v>
      </c>
      <c r="Y473" s="358">
        <f t="shared" si="468"/>
        <v>1034.4827586206898</v>
      </c>
      <c r="Z473" s="184">
        <f t="shared" si="459"/>
        <v>0</v>
      </c>
    </row>
    <row r="474" spans="1:26" hidden="1">
      <c r="A474" s="187">
        <v>5</v>
      </c>
      <c r="B474" s="328" t="s">
        <v>93</v>
      </c>
      <c r="C474" s="196" t="s">
        <v>208</v>
      </c>
      <c r="D474" s="182">
        <f t="shared" si="476"/>
        <v>12</v>
      </c>
      <c r="E474" s="190" t="s">
        <v>77</v>
      </c>
      <c r="F474" s="183">
        <v>600</v>
      </c>
      <c r="G474" s="355">
        <f t="shared" si="473"/>
        <v>7200</v>
      </c>
      <c r="H474" s="356">
        <f t="shared" si="462"/>
        <v>7200.0000000000009</v>
      </c>
      <c r="I474" s="357"/>
      <c r="J474" s="357"/>
      <c r="K474" s="357">
        <f t="shared" si="463"/>
        <v>0</v>
      </c>
      <c r="L474" s="357"/>
      <c r="M474" s="357"/>
      <c r="N474" s="357">
        <f t="shared" si="464"/>
        <v>0</v>
      </c>
      <c r="O474" s="358">
        <f t="shared" si="465"/>
        <v>7200.0000000000009</v>
      </c>
      <c r="P474" s="359">
        <f t="shared" si="474"/>
        <v>1034.4827586206898</v>
      </c>
      <c r="Q474" s="321">
        <v>3</v>
      </c>
      <c r="R474" s="188">
        <f t="shared" si="477"/>
        <v>1034.4827586206898</v>
      </c>
      <c r="S474" s="188"/>
      <c r="T474" s="188"/>
      <c r="U474" s="357">
        <f t="shared" si="466"/>
        <v>0</v>
      </c>
      <c r="V474" s="188"/>
      <c r="W474" s="188"/>
      <c r="X474" s="357">
        <f t="shared" si="467"/>
        <v>0</v>
      </c>
      <c r="Y474" s="358">
        <f t="shared" si="468"/>
        <v>1034.4827586206898</v>
      </c>
      <c r="Z474" s="184">
        <f t="shared" si="459"/>
        <v>0</v>
      </c>
    </row>
    <row r="475" spans="1:26" hidden="1">
      <c r="A475" s="187">
        <v>5</v>
      </c>
      <c r="B475" s="328" t="s">
        <v>93</v>
      </c>
      <c r="C475" s="191" t="s">
        <v>209</v>
      </c>
      <c r="D475" s="182">
        <f t="shared" si="476"/>
        <v>12</v>
      </c>
      <c r="E475" s="187" t="s">
        <v>77</v>
      </c>
      <c r="F475" s="340">
        <v>800</v>
      </c>
      <c r="G475" s="355">
        <f t="shared" si="473"/>
        <v>9600</v>
      </c>
      <c r="H475" s="356">
        <f t="shared" si="462"/>
        <v>9600</v>
      </c>
      <c r="I475" s="357"/>
      <c r="J475" s="357"/>
      <c r="K475" s="357">
        <f t="shared" si="463"/>
        <v>0</v>
      </c>
      <c r="L475" s="357"/>
      <c r="M475" s="357"/>
      <c r="N475" s="357">
        <f t="shared" si="464"/>
        <v>0</v>
      </c>
      <c r="O475" s="358">
        <f t="shared" si="465"/>
        <v>9600</v>
      </c>
      <c r="P475" s="359">
        <f t="shared" si="474"/>
        <v>1379.3103448275863</v>
      </c>
      <c r="Q475" s="321">
        <v>1</v>
      </c>
      <c r="R475" s="188">
        <f t="shared" si="477"/>
        <v>1379.3103448275863</v>
      </c>
      <c r="S475" s="188"/>
      <c r="T475" s="188"/>
      <c r="U475" s="357">
        <f t="shared" si="466"/>
        <v>0</v>
      </c>
      <c r="V475" s="188"/>
      <c r="W475" s="188"/>
      <c r="X475" s="357">
        <f t="shared" si="467"/>
        <v>0</v>
      </c>
      <c r="Y475" s="358">
        <f t="shared" si="468"/>
        <v>1379.3103448275863</v>
      </c>
      <c r="Z475" s="184">
        <f t="shared" si="459"/>
        <v>0</v>
      </c>
    </row>
    <row r="476" spans="1:26">
      <c r="A476" s="187">
        <v>5</v>
      </c>
      <c r="B476" s="328" t="s">
        <v>93</v>
      </c>
      <c r="C476" s="191" t="s">
        <v>209</v>
      </c>
      <c r="D476" s="182">
        <f t="shared" si="476"/>
        <v>12</v>
      </c>
      <c r="E476" s="187" t="s">
        <v>77</v>
      </c>
      <c r="F476" s="340">
        <v>800</v>
      </c>
      <c r="G476" s="355">
        <f t="shared" si="473"/>
        <v>9600</v>
      </c>
      <c r="H476" s="356">
        <f t="shared" si="462"/>
        <v>9600</v>
      </c>
      <c r="I476" s="357"/>
      <c r="J476" s="357"/>
      <c r="K476" s="357">
        <f t="shared" si="463"/>
        <v>0</v>
      </c>
      <c r="L476" s="357"/>
      <c r="M476" s="357"/>
      <c r="N476" s="357">
        <f t="shared" si="464"/>
        <v>0</v>
      </c>
      <c r="O476" s="358">
        <f t="shared" si="465"/>
        <v>9600</v>
      </c>
      <c r="P476" s="359">
        <f t="shared" si="474"/>
        <v>1379.3103448275863</v>
      </c>
      <c r="Q476" s="321">
        <v>2</v>
      </c>
      <c r="R476" s="188">
        <f t="shared" si="477"/>
        <v>1379.3103448275863</v>
      </c>
      <c r="S476" s="188"/>
      <c r="T476" s="188"/>
      <c r="U476" s="357">
        <f t="shared" si="466"/>
        <v>0</v>
      </c>
      <c r="V476" s="188"/>
      <c r="W476" s="188"/>
      <c r="X476" s="357">
        <f t="shared" si="467"/>
        <v>0</v>
      </c>
      <c r="Y476" s="358">
        <f t="shared" si="468"/>
        <v>1379.3103448275863</v>
      </c>
      <c r="Z476" s="184">
        <f t="shared" si="459"/>
        <v>0</v>
      </c>
    </row>
    <row r="477" spans="1:26" hidden="1">
      <c r="A477" s="187">
        <v>5</v>
      </c>
      <c r="B477" s="328" t="s">
        <v>93</v>
      </c>
      <c r="C477" s="191" t="s">
        <v>209</v>
      </c>
      <c r="D477" s="182">
        <f t="shared" si="476"/>
        <v>12</v>
      </c>
      <c r="E477" s="187" t="s">
        <v>77</v>
      </c>
      <c r="F477" s="340">
        <v>800</v>
      </c>
      <c r="G477" s="355">
        <f t="shared" si="473"/>
        <v>9600</v>
      </c>
      <c r="H477" s="356">
        <f t="shared" si="462"/>
        <v>9600</v>
      </c>
      <c r="I477" s="357"/>
      <c r="J477" s="357"/>
      <c r="K477" s="357">
        <f t="shared" si="463"/>
        <v>0</v>
      </c>
      <c r="L477" s="357"/>
      <c r="M477" s="357"/>
      <c r="N477" s="357">
        <f t="shared" si="464"/>
        <v>0</v>
      </c>
      <c r="O477" s="358">
        <f t="shared" si="465"/>
        <v>9600</v>
      </c>
      <c r="P477" s="359">
        <f t="shared" si="474"/>
        <v>1379.3103448275863</v>
      </c>
      <c r="Q477" s="321">
        <v>3</v>
      </c>
      <c r="R477" s="188">
        <f t="shared" si="477"/>
        <v>1379.3103448275863</v>
      </c>
      <c r="S477" s="188"/>
      <c r="T477" s="188"/>
      <c r="U477" s="357">
        <f t="shared" si="466"/>
        <v>0</v>
      </c>
      <c r="V477" s="188"/>
      <c r="W477" s="188"/>
      <c r="X477" s="357">
        <f t="shared" si="467"/>
        <v>0</v>
      </c>
      <c r="Y477" s="358">
        <f t="shared" si="468"/>
        <v>1379.3103448275863</v>
      </c>
      <c r="Z477" s="184">
        <f t="shared" si="459"/>
        <v>0</v>
      </c>
    </row>
    <row r="478" spans="1:26" hidden="1">
      <c r="A478" s="187">
        <v>5</v>
      </c>
      <c r="B478" s="328" t="s">
        <v>93</v>
      </c>
      <c r="C478" s="191" t="s">
        <v>210</v>
      </c>
      <c r="D478" s="182">
        <f t="shared" si="476"/>
        <v>12</v>
      </c>
      <c r="E478" s="187" t="s">
        <v>77</v>
      </c>
      <c r="F478" s="340">
        <v>800</v>
      </c>
      <c r="G478" s="355">
        <f t="shared" si="473"/>
        <v>9600</v>
      </c>
      <c r="H478" s="356">
        <f t="shared" si="462"/>
        <v>9600</v>
      </c>
      <c r="I478" s="357"/>
      <c r="J478" s="357"/>
      <c r="K478" s="357">
        <f t="shared" si="463"/>
        <v>0</v>
      </c>
      <c r="L478" s="357"/>
      <c r="M478" s="357"/>
      <c r="N478" s="357">
        <f t="shared" si="464"/>
        <v>0</v>
      </c>
      <c r="O478" s="358">
        <f t="shared" si="465"/>
        <v>9600</v>
      </c>
      <c r="P478" s="359">
        <f t="shared" si="474"/>
        <v>1379.3103448275863</v>
      </c>
      <c r="Q478" s="321">
        <v>1</v>
      </c>
      <c r="R478" s="188">
        <f t="shared" si="477"/>
        <v>1379.3103448275863</v>
      </c>
      <c r="S478" s="188"/>
      <c r="T478" s="188"/>
      <c r="U478" s="357">
        <f t="shared" si="466"/>
        <v>0</v>
      </c>
      <c r="V478" s="188"/>
      <c r="W478" s="188"/>
      <c r="X478" s="357">
        <f t="shared" si="467"/>
        <v>0</v>
      </c>
      <c r="Y478" s="358">
        <f t="shared" si="468"/>
        <v>1379.3103448275863</v>
      </c>
      <c r="Z478" s="184">
        <f t="shared" si="459"/>
        <v>0</v>
      </c>
    </row>
    <row r="479" spans="1:26">
      <c r="A479" s="187">
        <v>5</v>
      </c>
      <c r="B479" s="328" t="s">
        <v>93</v>
      </c>
      <c r="C479" s="191" t="s">
        <v>210</v>
      </c>
      <c r="D479" s="182">
        <f t="shared" si="476"/>
        <v>12</v>
      </c>
      <c r="E479" s="187" t="s">
        <v>77</v>
      </c>
      <c r="F479" s="340">
        <v>800</v>
      </c>
      <c r="G479" s="355">
        <f t="shared" si="473"/>
        <v>9600</v>
      </c>
      <c r="H479" s="356">
        <f t="shared" si="462"/>
        <v>9600</v>
      </c>
      <c r="I479" s="357"/>
      <c r="J479" s="357"/>
      <c r="K479" s="357">
        <f t="shared" si="463"/>
        <v>0</v>
      </c>
      <c r="L479" s="357"/>
      <c r="M479" s="357"/>
      <c r="N479" s="357">
        <f t="shared" si="464"/>
        <v>0</v>
      </c>
      <c r="O479" s="358">
        <f t="shared" si="465"/>
        <v>9600</v>
      </c>
      <c r="P479" s="359">
        <f t="shared" si="474"/>
        <v>1379.3103448275863</v>
      </c>
      <c r="Q479" s="321">
        <v>2</v>
      </c>
      <c r="R479" s="188">
        <f t="shared" si="477"/>
        <v>1379.3103448275863</v>
      </c>
      <c r="S479" s="188"/>
      <c r="T479" s="188"/>
      <c r="U479" s="357">
        <f t="shared" si="466"/>
        <v>0</v>
      </c>
      <c r="V479" s="188"/>
      <c r="W479" s="188"/>
      <c r="X479" s="357">
        <f t="shared" si="467"/>
        <v>0</v>
      </c>
      <c r="Y479" s="358">
        <f t="shared" si="468"/>
        <v>1379.3103448275863</v>
      </c>
      <c r="Z479" s="184">
        <f t="shared" si="459"/>
        <v>0</v>
      </c>
    </row>
    <row r="480" spans="1:26" hidden="1">
      <c r="A480" s="187">
        <v>5</v>
      </c>
      <c r="B480" s="328" t="s">
        <v>93</v>
      </c>
      <c r="C480" s="191" t="s">
        <v>210</v>
      </c>
      <c r="D480" s="182">
        <f t="shared" si="476"/>
        <v>12</v>
      </c>
      <c r="E480" s="187" t="s">
        <v>77</v>
      </c>
      <c r="F480" s="340">
        <v>800</v>
      </c>
      <c r="G480" s="355">
        <f t="shared" si="473"/>
        <v>9600</v>
      </c>
      <c r="H480" s="356">
        <f t="shared" si="462"/>
        <v>9600</v>
      </c>
      <c r="I480" s="357"/>
      <c r="J480" s="357"/>
      <c r="K480" s="357">
        <f t="shared" si="463"/>
        <v>0</v>
      </c>
      <c r="L480" s="357"/>
      <c r="M480" s="357"/>
      <c r="N480" s="357">
        <f t="shared" si="464"/>
        <v>0</v>
      </c>
      <c r="O480" s="358">
        <f t="shared" si="465"/>
        <v>9600</v>
      </c>
      <c r="P480" s="359">
        <f t="shared" si="474"/>
        <v>1379.3103448275863</v>
      </c>
      <c r="Q480" s="321">
        <v>3</v>
      </c>
      <c r="R480" s="188">
        <f t="shared" si="477"/>
        <v>1379.3103448275863</v>
      </c>
      <c r="S480" s="188"/>
      <c r="T480" s="188"/>
      <c r="U480" s="357">
        <f t="shared" si="466"/>
        <v>0</v>
      </c>
      <c r="V480" s="188"/>
      <c r="W480" s="188"/>
      <c r="X480" s="357">
        <f t="shared" si="467"/>
        <v>0</v>
      </c>
      <c r="Y480" s="358">
        <f t="shared" si="468"/>
        <v>1379.3103448275863</v>
      </c>
      <c r="Z480" s="184">
        <f t="shared" si="459"/>
        <v>0</v>
      </c>
    </row>
    <row r="481" spans="1:26" hidden="1">
      <c r="A481" s="187">
        <v>5</v>
      </c>
      <c r="B481" s="328" t="s">
        <v>93</v>
      </c>
      <c r="C481" s="191" t="s">
        <v>94</v>
      </c>
      <c r="D481" s="284">
        <v>1</v>
      </c>
      <c r="E481" s="187" t="s">
        <v>92</v>
      </c>
      <c r="F481" s="340">
        <v>3000</v>
      </c>
      <c r="G481" s="355">
        <f t="shared" si="473"/>
        <v>3000</v>
      </c>
      <c r="H481" s="356">
        <f t="shared" si="462"/>
        <v>3000</v>
      </c>
      <c r="I481" s="357"/>
      <c r="J481" s="357"/>
      <c r="K481" s="357">
        <f t="shared" si="463"/>
        <v>0</v>
      </c>
      <c r="L481" s="357"/>
      <c r="M481" s="357"/>
      <c r="N481" s="357">
        <f t="shared" si="464"/>
        <v>0</v>
      </c>
      <c r="O481" s="358">
        <f t="shared" si="465"/>
        <v>3000</v>
      </c>
      <c r="P481" s="359">
        <f t="shared" si="474"/>
        <v>431.0344827586207</v>
      </c>
      <c r="Q481" s="321">
        <v>1</v>
      </c>
      <c r="R481" s="188">
        <f t="shared" si="477"/>
        <v>431.0344827586207</v>
      </c>
      <c r="S481" s="188"/>
      <c r="T481" s="188"/>
      <c r="U481" s="357">
        <f t="shared" si="466"/>
        <v>0</v>
      </c>
      <c r="V481" s="188"/>
      <c r="W481" s="188"/>
      <c r="X481" s="357">
        <f t="shared" si="467"/>
        <v>0</v>
      </c>
      <c r="Y481" s="358">
        <f t="shared" si="468"/>
        <v>431.0344827586207</v>
      </c>
      <c r="Z481" s="184">
        <f t="shared" si="459"/>
        <v>0</v>
      </c>
    </row>
    <row r="482" spans="1:26">
      <c r="A482" s="187">
        <v>5</v>
      </c>
      <c r="B482" s="328" t="s">
        <v>93</v>
      </c>
      <c r="C482" s="191" t="s">
        <v>94</v>
      </c>
      <c r="D482" s="284">
        <v>1</v>
      </c>
      <c r="E482" s="187" t="s">
        <v>92</v>
      </c>
      <c r="F482" s="340">
        <v>3000</v>
      </c>
      <c r="G482" s="355">
        <f t="shared" si="473"/>
        <v>3000</v>
      </c>
      <c r="H482" s="356">
        <f t="shared" si="462"/>
        <v>3000</v>
      </c>
      <c r="I482" s="357"/>
      <c r="J482" s="357"/>
      <c r="K482" s="357">
        <f t="shared" si="463"/>
        <v>0</v>
      </c>
      <c r="L482" s="357"/>
      <c r="M482" s="357"/>
      <c r="N482" s="357">
        <f t="shared" si="464"/>
        <v>0</v>
      </c>
      <c r="O482" s="358">
        <f t="shared" si="465"/>
        <v>3000</v>
      </c>
      <c r="P482" s="359">
        <f t="shared" si="474"/>
        <v>431.0344827586207</v>
      </c>
      <c r="Q482" s="321">
        <v>2</v>
      </c>
      <c r="R482" s="188">
        <f t="shared" si="477"/>
        <v>431.0344827586207</v>
      </c>
      <c r="S482" s="188"/>
      <c r="T482" s="188"/>
      <c r="U482" s="357">
        <f t="shared" si="466"/>
        <v>0</v>
      </c>
      <c r="V482" s="188"/>
      <c r="W482" s="188"/>
      <c r="X482" s="357">
        <f t="shared" si="467"/>
        <v>0</v>
      </c>
      <c r="Y482" s="358">
        <f t="shared" si="468"/>
        <v>431.0344827586207</v>
      </c>
      <c r="Z482" s="184">
        <f t="shared" si="459"/>
        <v>0</v>
      </c>
    </row>
    <row r="483" spans="1:26" hidden="1">
      <c r="A483" s="187">
        <v>5</v>
      </c>
      <c r="B483" s="328" t="s">
        <v>93</v>
      </c>
      <c r="C483" s="191" t="s">
        <v>94</v>
      </c>
      <c r="D483" s="284">
        <v>1</v>
      </c>
      <c r="E483" s="187" t="s">
        <v>92</v>
      </c>
      <c r="F483" s="340">
        <v>3000</v>
      </c>
      <c r="G483" s="355">
        <f t="shared" si="473"/>
        <v>3000</v>
      </c>
      <c r="H483" s="356">
        <f t="shared" si="462"/>
        <v>3000</v>
      </c>
      <c r="I483" s="357"/>
      <c r="J483" s="357"/>
      <c r="K483" s="357">
        <f t="shared" si="463"/>
        <v>0</v>
      </c>
      <c r="L483" s="357"/>
      <c r="M483" s="357"/>
      <c r="N483" s="357">
        <f t="shared" si="464"/>
        <v>0</v>
      </c>
      <c r="O483" s="358">
        <f t="shared" si="465"/>
        <v>3000</v>
      </c>
      <c r="P483" s="359">
        <f t="shared" si="474"/>
        <v>431.0344827586207</v>
      </c>
      <c r="Q483" s="321">
        <v>3</v>
      </c>
      <c r="R483" s="188">
        <f t="shared" si="477"/>
        <v>431.0344827586207</v>
      </c>
      <c r="S483" s="188"/>
      <c r="T483" s="188"/>
      <c r="U483" s="357">
        <f t="shared" si="466"/>
        <v>0</v>
      </c>
      <c r="V483" s="188"/>
      <c r="W483" s="188"/>
      <c r="X483" s="357">
        <f t="shared" si="467"/>
        <v>0</v>
      </c>
      <c r="Y483" s="358">
        <f t="shared" si="468"/>
        <v>431.0344827586207</v>
      </c>
      <c r="Z483" s="184">
        <f t="shared" si="459"/>
        <v>0</v>
      </c>
    </row>
    <row r="484" spans="1:26" hidden="1">
      <c r="A484" s="187">
        <v>5</v>
      </c>
      <c r="B484" s="328" t="s">
        <v>93</v>
      </c>
      <c r="C484" s="191" t="s">
        <v>211</v>
      </c>
      <c r="D484" s="284">
        <v>1</v>
      </c>
      <c r="E484" s="187" t="s">
        <v>92</v>
      </c>
      <c r="F484" s="340">
        <v>1000</v>
      </c>
      <c r="G484" s="355">
        <f t="shared" si="473"/>
        <v>1000</v>
      </c>
      <c r="H484" s="356">
        <f t="shared" si="462"/>
        <v>1000</v>
      </c>
      <c r="I484" s="357"/>
      <c r="J484" s="357"/>
      <c r="K484" s="357">
        <f t="shared" si="463"/>
        <v>0</v>
      </c>
      <c r="L484" s="357"/>
      <c r="M484" s="357"/>
      <c r="N484" s="357">
        <f t="shared" si="464"/>
        <v>0</v>
      </c>
      <c r="O484" s="358">
        <f t="shared" si="465"/>
        <v>1000</v>
      </c>
      <c r="P484" s="359">
        <f t="shared" si="474"/>
        <v>143.67816091954023</v>
      </c>
      <c r="Q484" s="321">
        <v>1</v>
      </c>
      <c r="R484" s="188">
        <f t="shared" si="477"/>
        <v>143.67816091954023</v>
      </c>
      <c r="S484" s="188"/>
      <c r="T484" s="188"/>
      <c r="U484" s="357">
        <f t="shared" si="466"/>
        <v>0</v>
      </c>
      <c r="V484" s="188"/>
      <c r="W484" s="188"/>
      <c r="X484" s="357">
        <f t="shared" si="467"/>
        <v>0</v>
      </c>
      <c r="Y484" s="358">
        <f t="shared" si="468"/>
        <v>143.67816091954023</v>
      </c>
      <c r="Z484" s="184">
        <f t="shared" si="459"/>
        <v>0</v>
      </c>
    </row>
    <row r="485" spans="1:26">
      <c r="A485" s="187">
        <v>5</v>
      </c>
      <c r="B485" s="328" t="s">
        <v>93</v>
      </c>
      <c r="C485" s="191" t="s">
        <v>211</v>
      </c>
      <c r="D485" s="284">
        <v>1</v>
      </c>
      <c r="E485" s="187" t="s">
        <v>92</v>
      </c>
      <c r="F485" s="340">
        <v>1000</v>
      </c>
      <c r="G485" s="355">
        <f t="shared" si="473"/>
        <v>1000</v>
      </c>
      <c r="H485" s="356">
        <f t="shared" si="462"/>
        <v>1000</v>
      </c>
      <c r="I485" s="357"/>
      <c r="J485" s="357"/>
      <c r="K485" s="357">
        <f t="shared" si="463"/>
        <v>0</v>
      </c>
      <c r="L485" s="357"/>
      <c r="M485" s="357"/>
      <c r="N485" s="357">
        <f t="shared" si="464"/>
        <v>0</v>
      </c>
      <c r="O485" s="358">
        <f t="shared" si="465"/>
        <v>1000</v>
      </c>
      <c r="P485" s="359">
        <f t="shared" si="474"/>
        <v>143.67816091954023</v>
      </c>
      <c r="Q485" s="321">
        <v>2</v>
      </c>
      <c r="R485" s="188">
        <f t="shared" si="477"/>
        <v>143.67816091954023</v>
      </c>
      <c r="S485" s="188"/>
      <c r="T485" s="188"/>
      <c r="U485" s="357">
        <f t="shared" si="466"/>
        <v>0</v>
      </c>
      <c r="V485" s="188"/>
      <c r="W485" s="188"/>
      <c r="X485" s="357">
        <f t="shared" si="467"/>
        <v>0</v>
      </c>
      <c r="Y485" s="358">
        <f t="shared" si="468"/>
        <v>143.67816091954023</v>
      </c>
      <c r="Z485" s="184">
        <f t="shared" si="459"/>
        <v>0</v>
      </c>
    </row>
    <row r="486" spans="1:26" hidden="1">
      <c r="A486" s="187">
        <v>5</v>
      </c>
      <c r="B486" s="328" t="s">
        <v>93</v>
      </c>
      <c r="C486" s="191" t="s">
        <v>211</v>
      </c>
      <c r="D486" s="284">
        <v>1</v>
      </c>
      <c r="E486" s="187" t="s">
        <v>92</v>
      </c>
      <c r="F486" s="340">
        <v>1000</v>
      </c>
      <c r="G486" s="355">
        <f t="shared" si="473"/>
        <v>1000</v>
      </c>
      <c r="H486" s="356">
        <f t="shared" si="462"/>
        <v>1000</v>
      </c>
      <c r="I486" s="357"/>
      <c r="J486" s="357"/>
      <c r="K486" s="357">
        <f t="shared" si="463"/>
        <v>0</v>
      </c>
      <c r="L486" s="357"/>
      <c r="M486" s="357"/>
      <c r="N486" s="357">
        <f t="shared" si="464"/>
        <v>0</v>
      </c>
      <c r="O486" s="358">
        <f t="shared" si="465"/>
        <v>1000</v>
      </c>
      <c r="P486" s="359">
        <f t="shared" si="474"/>
        <v>143.67816091954023</v>
      </c>
      <c r="Q486" s="321">
        <v>3</v>
      </c>
      <c r="R486" s="188">
        <f t="shared" si="477"/>
        <v>143.67816091954023</v>
      </c>
      <c r="S486" s="188"/>
      <c r="T486" s="188"/>
      <c r="U486" s="357">
        <f t="shared" si="466"/>
        <v>0</v>
      </c>
      <c r="V486" s="188"/>
      <c r="W486" s="188"/>
      <c r="X486" s="357">
        <f t="shared" si="467"/>
        <v>0</v>
      </c>
      <c r="Y486" s="358">
        <f t="shared" si="468"/>
        <v>143.67816091954023</v>
      </c>
      <c r="Z486" s="184">
        <f t="shared" si="459"/>
        <v>0</v>
      </c>
    </row>
    <row r="487" spans="1:26" hidden="1">
      <c r="A487" s="187">
        <v>5</v>
      </c>
      <c r="B487" s="328" t="s">
        <v>93</v>
      </c>
      <c r="C487" s="191" t="s">
        <v>212</v>
      </c>
      <c r="D487" s="284">
        <v>1</v>
      </c>
      <c r="E487" s="187" t="s">
        <v>92</v>
      </c>
      <c r="F487" s="340">
        <v>4000</v>
      </c>
      <c r="G487" s="355">
        <f t="shared" si="473"/>
        <v>4000</v>
      </c>
      <c r="H487" s="356">
        <f t="shared" si="462"/>
        <v>4000</v>
      </c>
      <c r="I487" s="357"/>
      <c r="J487" s="357"/>
      <c r="K487" s="357">
        <f t="shared" si="463"/>
        <v>0</v>
      </c>
      <c r="L487" s="357"/>
      <c r="M487" s="357"/>
      <c r="N487" s="357">
        <f t="shared" si="464"/>
        <v>0</v>
      </c>
      <c r="O487" s="358">
        <f t="shared" si="465"/>
        <v>4000</v>
      </c>
      <c r="P487" s="359">
        <f t="shared" si="474"/>
        <v>574.71264367816093</v>
      </c>
      <c r="Q487" s="321">
        <v>1</v>
      </c>
      <c r="R487" s="188">
        <f t="shared" si="477"/>
        <v>574.71264367816093</v>
      </c>
      <c r="S487" s="188"/>
      <c r="T487" s="188"/>
      <c r="U487" s="357">
        <f t="shared" si="466"/>
        <v>0</v>
      </c>
      <c r="V487" s="188"/>
      <c r="W487" s="188"/>
      <c r="X487" s="357">
        <f t="shared" si="467"/>
        <v>0</v>
      </c>
      <c r="Y487" s="358">
        <f t="shared" si="468"/>
        <v>574.71264367816093</v>
      </c>
      <c r="Z487" s="184">
        <f t="shared" si="459"/>
        <v>0</v>
      </c>
    </row>
    <row r="488" spans="1:26">
      <c r="A488" s="187">
        <v>5</v>
      </c>
      <c r="B488" s="328" t="s">
        <v>93</v>
      </c>
      <c r="C488" s="191" t="s">
        <v>212</v>
      </c>
      <c r="D488" s="284">
        <v>1</v>
      </c>
      <c r="E488" s="187" t="s">
        <v>92</v>
      </c>
      <c r="F488" s="340">
        <v>4000</v>
      </c>
      <c r="G488" s="355">
        <f t="shared" si="473"/>
        <v>4000</v>
      </c>
      <c r="H488" s="356">
        <f t="shared" si="462"/>
        <v>4000</v>
      </c>
      <c r="I488" s="357"/>
      <c r="J488" s="357"/>
      <c r="K488" s="357">
        <f t="shared" si="463"/>
        <v>0</v>
      </c>
      <c r="L488" s="357"/>
      <c r="M488" s="357"/>
      <c r="N488" s="357">
        <f t="shared" si="464"/>
        <v>0</v>
      </c>
      <c r="O488" s="358">
        <f t="shared" si="465"/>
        <v>4000</v>
      </c>
      <c r="P488" s="359">
        <f t="shared" si="474"/>
        <v>574.71264367816093</v>
      </c>
      <c r="Q488" s="321">
        <v>2</v>
      </c>
      <c r="R488" s="188">
        <f t="shared" si="477"/>
        <v>574.71264367816093</v>
      </c>
      <c r="S488" s="188"/>
      <c r="T488" s="188"/>
      <c r="U488" s="357">
        <f t="shared" si="466"/>
        <v>0</v>
      </c>
      <c r="V488" s="188"/>
      <c r="W488" s="188"/>
      <c r="X488" s="357">
        <f t="shared" si="467"/>
        <v>0</v>
      </c>
      <c r="Y488" s="358">
        <f t="shared" si="468"/>
        <v>574.71264367816093</v>
      </c>
      <c r="Z488" s="184">
        <f t="shared" si="459"/>
        <v>0</v>
      </c>
    </row>
    <row r="489" spans="1:26" hidden="1">
      <c r="A489" s="187">
        <v>5</v>
      </c>
      <c r="B489" s="328" t="s">
        <v>93</v>
      </c>
      <c r="C489" s="191" t="s">
        <v>212</v>
      </c>
      <c r="D489" s="284">
        <v>1</v>
      </c>
      <c r="E489" s="187" t="s">
        <v>92</v>
      </c>
      <c r="F489" s="340">
        <v>4000</v>
      </c>
      <c r="G489" s="355">
        <f t="shared" si="473"/>
        <v>4000</v>
      </c>
      <c r="H489" s="356">
        <f t="shared" si="462"/>
        <v>4000</v>
      </c>
      <c r="I489" s="357"/>
      <c r="J489" s="357"/>
      <c r="K489" s="357">
        <f t="shared" si="463"/>
        <v>0</v>
      </c>
      <c r="L489" s="357"/>
      <c r="M489" s="357"/>
      <c r="N489" s="357">
        <f t="shared" si="464"/>
        <v>0</v>
      </c>
      <c r="O489" s="358">
        <f t="shared" si="465"/>
        <v>4000</v>
      </c>
      <c r="P489" s="359">
        <f t="shared" si="474"/>
        <v>574.71264367816093</v>
      </c>
      <c r="Q489" s="321">
        <v>3</v>
      </c>
      <c r="R489" s="188">
        <f t="shared" si="477"/>
        <v>574.71264367816093</v>
      </c>
      <c r="S489" s="188"/>
      <c r="T489" s="188"/>
      <c r="U489" s="357">
        <f t="shared" si="466"/>
        <v>0</v>
      </c>
      <c r="V489" s="188"/>
      <c r="W489" s="188"/>
      <c r="X489" s="357">
        <f t="shared" si="467"/>
        <v>0</v>
      </c>
      <c r="Y489" s="358">
        <f t="shared" si="468"/>
        <v>574.71264367816093</v>
      </c>
      <c r="Z489" s="184">
        <f t="shared" si="459"/>
        <v>0</v>
      </c>
    </row>
    <row r="490" spans="1:26" ht="25.5" hidden="1">
      <c r="A490" s="187">
        <v>5</v>
      </c>
      <c r="B490" s="328" t="s">
        <v>93</v>
      </c>
      <c r="C490" s="191" t="s">
        <v>213</v>
      </c>
      <c r="D490" s="284">
        <v>1</v>
      </c>
      <c r="E490" s="187" t="s">
        <v>92</v>
      </c>
      <c r="F490" s="340">
        <f>5*800</f>
        <v>4000</v>
      </c>
      <c r="G490" s="355">
        <f t="shared" si="473"/>
        <v>4000</v>
      </c>
      <c r="H490" s="356">
        <f t="shared" si="462"/>
        <v>4000</v>
      </c>
      <c r="I490" s="357"/>
      <c r="J490" s="357"/>
      <c r="K490" s="357">
        <f t="shared" si="463"/>
        <v>0</v>
      </c>
      <c r="L490" s="357"/>
      <c r="M490" s="357"/>
      <c r="N490" s="357">
        <f t="shared" si="464"/>
        <v>0</v>
      </c>
      <c r="O490" s="358">
        <f t="shared" si="465"/>
        <v>4000</v>
      </c>
      <c r="P490" s="359">
        <f t="shared" si="474"/>
        <v>574.71264367816093</v>
      </c>
      <c r="Q490" s="321">
        <v>1</v>
      </c>
      <c r="R490" s="188">
        <f t="shared" si="477"/>
        <v>574.71264367816093</v>
      </c>
      <c r="S490" s="188"/>
      <c r="T490" s="188"/>
      <c r="U490" s="357">
        <f t="shared" si="466"/>
        <v>0</v>
      </c>
      <c r="V490" s="188"/>
      <c r="W490" s="188"/>
      <c r="X490" s="357">
        <f t="shared" si="467"/>
        <v>0</v>
      </c>
      <c r="Y490" s="358">
        <f t="shared" si="468"/>
        <v>574.71264367816093</v>
      </c>
      <c r="Z490" s="184">
        <f t="shared" si="459"/>
        <v>0</v>
      </c>
    </row>
    <row r="491" spans="1:26" ht="25.5">
      <c r="A491" s="187">
        <v>5</v>
      </c>
      <c r="B491" s="328" t="s">
        <v>93</v>
      </c>
      <c r="C491" s="191" t="s">
        <v>213</v>
      </c>
      <c r="D491" s="284">
        <v>1</v>
      </c>
      <c r="E491" s="187" t="s">
        <v>92</v>
      </c>
      <c r="F491" s="340">
        <f t="shared" ref="F491:F492" si="478">5*800</f>
        <v>4000</v>
      </c>
      <c r="G491" s="355">
        <f t="shared" si="473"/>
        <v>4000</v>
      </c>
      <c r="H491" s="356">
        <f t="shared" si="462"/>
        <v>4000</v>
      </c>
      <c r="I491" s="357"/>
      <c r="J491" s="357"/>
      <c r="K491" s="357">
        <f t="shared" si="463"/>
        <v>0</v>
      </c>
      <c r="L491" s="357"/>
      <c r="M491" s="357"/>
      <c r="N491" s="357">
        <f t="shared" si="464"/>
        <v>0</v>
      </c>
      <c r="O491" s="358">
        <f t="shared" si="465"/>
        <v>4000</v>
      </c>
      <c r="P491" s="359">
        <f t="shared" si="474"/>
        <v>574.71264367816093</v>
      </c>
      <c r="Q491" s="321">
        <v>2</v>
      </c>
      <c r="R491" s="188">
        <f t="shared" si="477"/>
        <v>574.71264367816093</v>
      </c>
      <c r="S491" s="188"/>
      <c r="T491" s="188"/>
      <c r="U491" s="357">
        <f t="shared" si="466"/>
        <v>0</v>
      </c>
      <c r="V491" s="188"/>
      <c r="W491" s="188"/>
      <c r="X491" s="357">
        <f t="shared" si="467"/>
        <v>0</v>
      </c>
      <c r="Y491" s="358">
        <f t="shared" si="468"/>
        <v>574.71264367816093</v>
      </c>
      <c r="Z491" s="184">
        <f t="shared" si="459"/>
        <v>0</v>
      </c>
    </row>
    <row r="492" spans="1:26" ht="25.5" hidden="1">
      <c r="A492" s="187">
        <v>5</v>
      </c>
      <c r="B492" s="328" t="s">
        <v>93</v>
      </c>
      <c r="C492" s="191" t="s">
        <v>213</v>
      </c>
      <c r="D492" s="284">
        <v>1</v>
      </c>
      <c r="E492" s="187" t="s">
        <v>92</v>
      </c>
      <c r="F492" s="340">
        <f t="shared" si="478"/>
        <v>4000</v>
      </c>
      <c r="G492" s="355">
        <f t="shared" si="473"/>
        <v>4000</v>
      </c>
      <c r="H492" s="356">
        <f t="shared" si="462"/>
        <v>4000</v>
      </c>
      <c r="I492" s="357"/>
      <c r="J492" s="357"/>
      <c r="K492" s="357">
        <f t="shared" si="463"/>
        <v>0</v>
      </c>
      <c r="L492" s="357"/>
      <c r="M492" s="357"/>
      <c r="N492" s="357">
        <f t="shared" si="464"/>
        <v>0</v>
      </c>
      <c r="O492" s="358">
        <f t="shared" si="465"/>
        <v>4000</v>
      </c>
      <c r="P492" s="359">
        <f t="shared" si="474"/>
        <v>574.71264367816093</v>
      </c>
      <c r="Q492" s="321">
        <v>3</v>
      </c>
      <c r="R492" s="188">
        <f t="shared" si="477"/>
        <v>574.71264367816093</v>
      </c>
      <c r="S492" s="188"/>
      <c r="T492" s="188"/>
      <c r="U492" s="357">
        <f t="shared" si="466"/>
        <v>0</v>
      </c>
      <c r="V492" s="188"/>
      <c r="W492" s="188"/>
      <c r="X492" s="357">
        <f t="shared" si="467"/>
        <v>0</v>
      </c>
      <c r="Y492" s="358">
        <f t="shared" si="468"/>
        <v>574.71264367816093</v>
      </c>
      <c r="Z492" s="184">
        <f t="shared" si="459"/>
        <v>0</v>
      </c>
    </row>
    <row r="493" spans="1:26" hidden="1">
      <c r="A493" s="187">
        <v>5</v>
      </c>
      <c r="B493" s="328" t="s">
        <v>93</v>
      </c>
      <c r="C493" s="191" t="s">
        <v>195</v>
      </c>
      <c r="D493" s="284">
        <v>1</v>
      </c>
      <c r="E493" s="187" t="s">
        <v>92</v>
      </c>
      <c r="F493" s="340">
        <v>5000</v>
      </c>
      <c r="G493" s="355">
        <f t="shared" si="473"/>
        <v>5000</v>
      </c>
      <c r="H493" s="356">
        <f t="shared" si="462"/>
        <v>5000</v>
      </c>
      <c r="I493" s="357"/>
      <c r="J493" s="357"/>
      <c r="K493" s="357">
        <f t="shared" si="463"/>
        <v>0</v>
      </c>
      <c r="L493" s="357"/>
      <c r="M493" s="357"/>
      <c r="N493" s="357">
        <f t="shared" si="464"/>
        <v>0</v>
      </c>
      <c r="O493" s="358">
        <f t="shared" si="465"/>
        <v>5000</v>
      </c>
      <c r="P493" s="359">
        <f t="shared" si="474"/>
        <v>718.39080459770116</v>
      </c>
      <c r="Q493" s="321">
        <v>1</v>
      </c>
      <c r="R493" s="188">
        <f t="shared" si="477"/>
        <v>718.39080459770116</v>
      </c>
      <c r="S493" s="188"/>
      <c r="T493" s="188"/>
      <c r="U493" s="357">
        <f t="shared" si="466"/>
        <v>0</v>
      </c>
      <c r="V493" s="188"/>
      <c r="W493" s="188"/>
      <c r="X493" s="357">
        <f t="shared" si="467"/>
        <v>0</v>
      </c>
      <c r="Y493" s="358">
        <f t="shared" si="468"/>
        <v>718.39080459770116</v>
      </c>
      <c r="Z493" s="184">
        <f t="shared" si="459"/>
        <v>0</v>
      </c>
    </row>
    <row r="494" spans="1:26">
      <c r="A494" s="187">
        <v>5</v>
      </c>
      <c r="B494" s="328" t="s">
        <v>93</v>
      </c>
      <c r="C494" s="191" t="s">
        <v>195</v>
      </c>
      <c r="D494" s="284">
        <v>1</v>
      </c>
      <c r="E494" s="187" t="s">
        <v>92</v>
      </c>
      <c r="F494" s="340">
        <v>5000</v>
      </c>
      <c r="G494" s="355">
        <f t="shared" si="473"/>
        <v>5000</v>
      </c>
      <c r="H494" s="356">
        <f t="shared" si="462"/>
        <v>5000</v>
      </c>
      <c r="I494" s="357"/>
      <c r="J494" s="357"/>
      <c r="K494" s="357">
        <f t="shared" si="463"/>
        <v>0</v>
      </c>
      <c r="L494" s="357"/>
      <c r="M494" s="357"/>
      <c r="N494" s="357">
        <f t="shared" si="464"/>
        <v>0</v>
      </c>
      <c r="O494" s="358">
        <f t="shared" si="465"/>
        <v>5000</v>
      </c>
      <c r="P494" s="359">
        <f t="shared" si="474"/>
        <v>718.39080459770116</v>
      </c>
      <c r="Q494" s="321">
        <v>2</v>
      </c>
      <c r="R494" s="188">
        <f t="shared" si="477"/>
        <v>718.39080459770116</v>
      </c>
      <c r="S494" s="188"/>
      <c r="T494" s="188"/>
      <c r="U494" s="357">
        <f t="shared" si="466"/>
        <v>0</v>
      </c>
      <c r="V494" s="188"/>
      <c r="W494" s="188"/>
      <c r="X494" s="357">
        <f t="shared" si="467"/>
        <v>0</v>
      </c>
      <c r="Y494" s="358">
        <f t="shared" si="468"/>
        <v>718.39080459770116</v>
      </c>
      <c r="Z494" s="184">
        <f t="shared" si="459"/>
        <v>0</v>
      </c>
    </row>
    <row r="495" spans="1:26" hidden="1">
      <c r="A495" s="187">
        <v>5</v>
      </c>
      <c r="B495" s="328" t="s">
        <v>93</v>
      </c>
      <c r="C495" s="191" t="s">
        <v>195</v>
      </c>
      <c r="D495" s="284">
        <v>1</v>
      </c>
      <c r="E495" s="187" t="s">
        <v>92</v>
      </c>
      <c r="F495" s="340">
        <v>5000</v>
      </c>
      <c r="G495" s="355">
        <f t="shared" si="473"/>
        <v>5000</v>
      </c>
      <c r="H495" s="356">
        <f t="shared" si="462"/>
        <v>5000</v>
      </c>
      <c r="I495" s="357"/>
      <c r="J495" s="357"/>
      <c r="K495" s="357">
        <f t="shared" si="463"/>
        <v>0</v>
      </c>
      <c r="L495" s="357"/>
      <c r="M495" s="357"/>
      <c r="N495" s="357">
        <f t="shared" si="464"/>
        <v>0</v>
      </c>
      <c r="O495" s="358">
        <f t="shared" si="465"/>
        <v>5000</v>
      </c>
      <c r="P495" s="359">
        <f t="shared" si="474"/>
        <v>718.39080459770116</v>
      </c>
      <c r="Q495" s="321">
        <v>3</v>
      </c>
      <c r="R495" s="188">
        <f t="shared" si="477"/>
        <v>718.39080459770116</v>
      </c>
      <c r="S495" s="188"/>
      <c r="T495" s="188"/>
      <c r="U495" s="357">
        <f t="shared" si="466"/>
        <v>0</v>
      </c>
      <c r="V495" s="188"/>
      <c r="W495" s="188"/>
      <c r="X495" s="357">
        <f t="shared" si="467"/>
        <v>0</v>
      </c>
      <c r="Y495" s="358">
        <f t="shared" si="468"/>
        <v>718.39080459770116</v>
      </c>
      <c r="Z495" s="184">
        <f t="shared" si="459"/>
        <v>0</v>
      </c>
    </row>
    <row r="496" spans="1:26" hidden="1">
      <c r="A496" s="187">
        <v>5</v>
      </c>
      <c r="B496" s="328" t="s">
        <v>93</v>
      </c>
      <c r="C496" s="191" t="s">
        <v>196</v>
      </c>
      <c r="D496" s="284">
        <v>1</v>
      </c>
      <c r="E496" s="187" t="s">
        <v>92</v>
      </c>
      <c r="F496" s="340">
        <v>2000</v>
      </c>
      <c r="G496" s="355">
        <f>D496*F496</f>
        <v>2000</v>
      </c>
      <c r="H496" s="356">
        <f t="shared" si="462"/>
        <v>2000</v>
      </c>
      <c r="I496" s="357"/>
      <c r="J496" s="357"/>
      <c r="K496" s="357">
        <f t="shared" si="463"/>
        <v>0</v>
      </c>
      <c r="L496" s="357"/>
      <c r="M496" s="357"/>
      <c r="N496" s="357">
        <f t="shared" si="464"/>
        <v>0</v>
      </c>
      <c r="O496" s="358">
        <f t="shared" si="465"/>
        <v>2000</v>
      </c>
      <c r="P496" s="359">
        <f>G496/$Y$4</f>
        <v>287.35632183908046</v>
      </c>
      <c r="Q496" s="321">
        <v>1</v>
      </c>
      <c r="R496" s="188">
        <f>P496</f>
        <v>287.35632183908046</v>
      </c>
      <c r="S496" s="188"/>
      <c r="T496" s="188"/>
      <c r="U496" s="357">
        <f t="shared" si="466"/>
        <v>0</v>
      </c>
      <c r="V496" s="188"/>
      <c r="W496" s="188"/>
      <c r="X496" s="357">
        <f t="shared" si="467"/>
        <v>0</v>
      </c>
      <c r="Y496" s="358">
        <f t="shared" si="468"/>
        <v>287.35632183908046</v>
      </c>
      <c r="Z496" s="184">
        <f t="shared" si="459"/>
        <v>0</v>
      </c>
    </row>
    <row r="497" spans="1:26">
      <c r="A497" s="187">
        <v>5</v>
      </c>
      <c r="B497" s="328" t="s">
        <v>93</v>
      </c>
      <c r="C497" s="191" t="s">
        <v>196</v>
      </c>
      <c r="D497" s="284">
        <v>1</v>
      </c>
      <c r="E497" s="187" t="s">
        <v>92</v>
      </c>
      <c r="F497" s="340">
        <v>2000</v>
      </c>
      <c r="G497" s="355">
        <f t="shared" ref="G497:G498" si="479">D497*F497</f>
        <v>2000</v>
      </c>
      <c r="H497" s="356">
        <f t="shared" si="462"/>
        <v>2000</v>
      </c>
      <c r="I497" s="357"/>
      <c r="J497" s="357"/>
      <c r="K497" s="357">
        <f t="shared" si="463"/>
        <v>0</v>
      </c>
      <c r="L497" s="357"/>
      <c r="M497" s="357"/>
      <c r="N497" s="357">
        <f t="shared" si="464"/>
        <v>0</v>
      </c>
      <c r="O497" s="358">
        <f t="shared" si="465"/>
        <v>2000</v>
      </c>
      <c r="P497" s="359">
        <f t="shared" ref="P497:P498" si="480">G497/$Y$4</f>
        <v>287.35632183908046</v>
      </c>
      <c r="Q497" s="321">
        <v>2</v>
      </c>
      <c r="R497" s="188">
        <f t="shared" ref="R497:R498" si="481">P497</f>
        <v>287.35632183908046</v>
      </c>
      <c r="S497" s="188"/>
      <c r="T497" s="188"/>
      <c r="U497" s="357">
        <f t="shared" si="466"/>
        <v>0</v>
      </c>
      <c r="V497" s="188"/>
      <c r="W497" s="188"/>
      <c r="X497" s="357">
        <f t="shared" si="467"/>
        <v>0</v>
      </c>
      <c r="Y497" s="358">
        <f t="shared" si="468"/>
        <v>287.35632183908046</v>
      </c>
      <c r="Z497" s="184">
        <f t="shared" si="459"/>
        <v>0</v>
      </c>
    </row>
    <row r="498" spans="1:26" hidden="1">
      <c r="A498" s="187">
        <v>5</v>
      </c>
      <c r="B498" s="328" t="s">
        <v>93</v>
      </c>
      <c r="C498" s="191" t="s">
        <v>196</v>
      </c>
      <c r="D498" s="284">
        <v>1</v>
      </c>
      <c r="E498" s="187" t="s">
        <v>92</v>
      </c>
      <c r="F498" s="340">
        <v>2000</v>
      </c>
      <c r="G498" s="355">
        <f t="shared" si="479"/>
        <v>2000</v>
      </c>
      <c r="H498" s="356">
        <f t="shared" si="462"/>
        <v>2000</v>
      </c>
      <c r="I498" s="357"/>
      <c r="J498" s="357"/>
      <c r="K498" s="357">
        <f t="shared" si="463"/>
        <v>0</v>
      </c>
      <c r="L498" s="357"/>
      <c r="M498" s="357"/>
      <c r="N498" s="357">
        <f t="shared" si="464"/>
        <v>0</v>
      </c>
      <c r="O498" s="358">
        <f t="shared" si="465"/>
        <v>2000</v>
      </c>
      <c r="P498" s="359">
        <f t="shared" si="480"/>
        <v>287.35632183908046</v>
      </c>
      <c r="Q498" s="321">
        <v>3</v>
      </c>
      <c r="R498" s="188">
        <f t="shared" si="481"/>
        <v>287.35632183908046</v>
      </c>
      <c r="S498" s="188"/>
      <c r="T498" s="188"/>
      <c r="U498" s="357">
        <f t="shared" si="466"/>
        <v>0</v>
      </c>
      <c r="V498" s="188"/>
      <c r="W498" s="188"/>
      <c r="X498" s="357">
        <f t="shared" si="467"/>
        <v>0</v>
      </c>
      <c r="Y498" s="358">
        <f t="shared" si="468"/>
        <v>287.35632183908046</v>
      </c>
      <c r="Z498" s="184">
        <f t="shared" si="459"/>
        <v>0</v>
      </c>
    </row>
    <row r="499" spans="1:26" hidden="1">
      <c r="A499" s="187">
        <v>5</v>
      </c>
      <c r="B499" s="328" t="s">
        <v>93</v>
      </c>
      <c r="C499" s="191" t="s">
        <v>215</v>
      </c>
      <c r="D499" s="284">
        <v>2</v>
      </c>
      <c r="E499" s="187" t="s">
        <v>204</v>
      </c>
      <c r="F499" s="340">
        <v>10000</v>
      </c>
      <c r="G499" s="355">
        <f>D499*F499</f>
        <v>20000</v>
      </c>
      <c r="H499" s="356">
        <f t="shared" si="462"/>
        <v>20000</v>
      </c>
      <c r="I499" s="357"/>
      <c r="J499" s="357"/>
      <c r="K499" s="357">
        <f t="shared" si="463"/>
        <v>0</v>
      </c>
      <c r="L499" s="357"/>
      <c r="M499" s="357"/>
      <c r="N499" s="357">
        <f t="shared" si="464"/>
        <v>0</v>
      </c>
      <c r="O499" s="358">
        <f t="shared" si="465"/>
        <v>20000</v>
      </c>
      <c r="P499" s="359">
        <f>G499/$Y$4</f>
        <v>2873.5632183908046</v>
      </c>
      <c r="Q499" s="321">
        <v>1</v>
      </c>
      <c r="R499" s="188">
        <f>P499</f>
        <v>2873.5632183908046</v>
      </c>
      <c r="S499" s="188"/>
      <c r="T499" s="188"/>
      <c r="U499" s="357">
        <f t="shared" si="466"/>
        <v>0</v>
      </c>
      <c r="V499" s="188"/>
      <c r="W499" s="188"/>
      <c r="X499" s="357">
        <f t="shared" si="467"/>
        <v>0</v>
      </c>
      <c r="Y499" s="358">
        <f t="shared" si="468"/>
        <v>2873.5632183908046</v>
      </c>
      <c r="Z499" s="184">
        <f t="shared" si="459"/>
        <v>0</v>
      </c>
    </row>
    <row r="500" spans="1:26" hidden="1">
      <c r="A500" s="187">
        <v>5</v>
      </c>
      <c r="B500" s="328" t="s">
        <v>93</v>
      </c>
      <c r="C500" s="191" t="s">
        <v>215</v>
      </c>
      <c r="D500" s="284">
        <v>0</v>
      </c>
      <c r="E500" s="187" t="s">
        <v>204</v>
      </c>
      <c r="F500" s="340">
        <v>10000</v>
      </c>
      <c r="G500" s="355">
        <f t="shared" ref="G500:G503" si="482">D500*F500</f>
        <v>0</v>
      </c>
      <c r="H500" s="356">
        <f t="shared" si="462"/>
        <v>0</v>
      </c>
      <c r="I500" s="357"/>
      <c r="J500" s="357"/>
      <c r="K500" s="357">
        <f t="shared" si="463"/>
        <v>0</v>
      </c>
      <c r="L500" s="357"/>
      <c r="M500" s="357"/>
      <c r="N500" s="357">
        <f t="shared" si="464"/>
        <v>0</v>
      </c>
      <c r="O500" s="358">
        <f t="shared" si="465"/>
        <v>0</v>
      </c>
      <c r="P500" s="359">
        <f t="shared" ref="P500:P503" si="483">G500/$Y$4</f>
        <v>0</v>
      </c>
      <c r="Q500" s="321">
        <v>2</v>
      </c>
      <c r="R500" s="188">
        <f t="shared" ref="R500:R503" si="484">P500</f>
        <v>0</v>
      </c>
      <c r="S500" s="188"/>
      <c r="T500" s="188"/>
      <c r="U500" s="357">
        <f t="shared" si="466"/>
        <v>0</v>
      </c>
      <c r="V500" s="188"/>
      <c r="W500" s="188"/>
      <c r="X500" s="357">
        <f t="shared" si="467"/>
        <v>0</v>
      </c>
      <c r="Y500" s="358">
        <f t="shared" si="468"/>
        <v>0</v>
      </c>
      <c r="Z500" s="184">
        <f t="shared" si="459"/>
        <v>0</v>
      </c>
    </row>
    <row r="501" spans="1:26" hidden="1">
      <c r="A501" s="187">
        <v>5</v>
      </c>
      <c r="B501" s="328" t="s">
        <v>93</v>
      </c>
      <c r="C501" s="191" t="s">
        <v>215</v>
      </c>
      <c r="D501" s="284">
        <v>0</v>
      </c>
      <c r="E501" s="187" t="s">
        <v>204</v>
      </c>
      <c r="F501" s="340">
        <v>10000</v>
      </c>
      <c r="G501" s="355">
        <f t="shared" si="482"/>
        <v>0</v>
      </c>
      <c r="H501" s="356">
        <f t="shared" si="462"/>
        <v>0</v>
      </c>
      <c r="I501" s="357"/>
      <c r="J501" s="357"/>
      <c r="K501" s="357">
        <f t="shared" si="463"/>
        <v>0</v>
      </c>
      <c r="L501" s="357"/>
      <c r="M501" s="357"/>
      <c r="N501" s="357">
        <f t="shared" si="464"/>
        <v>0</v>
      </c>
      <c r="O501" s="358">
        <f t="shared" si="465"/>
        <v>0</v>
      </c>
      <c r="P501" s="359">
        <f t="shared" si="483"/>
        <v>0</v>
      </c>
      <c r="Q501" s="321">
        <v>3</v>
      </c>
      <c r="R501" s="188">
        <f t="shared" si="484"/>
        <v>0</v>
      </c>
      <c r="S501" s="188"/>
      <c r="T501" s="188"/>
      <c r="U501" s="357">
        <f t="shared" si="466"/>
        <v>0</v>
      </c>
      <c r="V501" s="188"/>
      <c r="W501" s="188"/>
      <c r="X501" s="357">
        <f t="shared" si="467"/>
        <v>0</v>
      </c>
      <c r="Y501" s="358">
        <f t="shared" si="468"/>
        <v>0</v>
      </c>
      <c r="Z501" s="184">
        <f t="shared" si="459"/>
        <v>0</v>
      </c>
    </row>
    <row r="502" spans="1:26" hidden="1">
      <c r="A502" s="187">
        <v>5</v>
      </c>
      <c r="B502" s="328" t="s">
        <v>93</v>
      </c>
      <c r="C502" s="191" t="s">
        <v>203</v>
      </c>
      <c r="D502" s="284">
        <v>12</v>
      </c>
      <c r="E502" s="187" t="s">
        <v>205</v>
      </c>
      <c r="F502" s="340">
        <v>400</v>
      </c>
      <c r="G502" s="355">
        <f t="shared" si="482"/>
        <v>4800</v>
      </c>
      <c r="H502" s="356">
        <f t="shared" si="462"/>
        <v>4800</v>
      </c>
      <c r="I502" s="357"/>
      <c r="J502" s="357"/>
      <c r="K502" s="357">
        <f t="shared" si="463"/>
        <v>0</v>
      </c>
      <c r="L502" s="357"/>
      <c r="M502" s="357"/>
      <c r="N502" s="357">
        <f t="shared" si="464"/>
        <v>0</v>
      </c>
      <c r="O502" s="358">
        <f t="shared" si="465"/>
        <v>4800</v>
      </c>
      <c r="P502" s="359">
        <f t="shared" si="483"/>
        <v>689.65517241379314</v>
      </c>
      <c r="Q502" s="321">
        <v>1</v>
      </c>
      <c r="R502" s="188">
        <f t="shared" si="484"/>
        <v>689.65517241379314</v>
      </c>
      <c r="S502" s="188"/>
      <c r="T502" s="188"/>
      <c r="U502" s="357">
        <f t="shared" si="466"/>
        <v>0</v>
      </c>
      <c r="V502" s="188"/>
      <c r="W502" s="188"/>
      <c r="X502" s="357">
        <f t="shared" si="467"/>
        <v>0</v>
      </c>
      <c r="Y502" s="358">
        <f t="shared" si="468"/>
        <v>689.65517241379314</v>
      </c>
      <c r="Z502" s="184">
        <f t="shared" si="459"/>
        <v>0</v>
      </c>
    </row>
    <row r="503" spans="1:26" hidden="1">
      <c r="A503" s="187">
        <v>5</v>
      </c>
      <c r="B503" s="328" t="s">
        <v>93</v>
      </c>
      <c r="C503" s="191" t="s">
        <v>203</v>
      </c>
      <c r="D503" s="284">
        <v>0</v>
      </c>
      <c r="E503" s="187" t="s">
        <v>205</v>
      </c>
      <c r="F503" s="340">
        <v>400</v>
      </c>
      <c r="G503" s="355">
        <f t="shared" si="482"/>
        <v>0</v>
      </c>
      <c r="H503" s="356">
        <f t="shared" si="462"/>
        <v>0</v>
      </c>
      <c r="I503" s="357"/>
      <c r="J503" s="357"/>
      <c r="K503" s="357">
        <f t="shared" si="463"/>
        <v>0</v>
      </c>
      <c r="L503" s="357"/>
      <c r="M503" s="357"/>
      <c r="N503" s="357">
        <f t="shared" si="464"/>
        <v>0</v>
      </c>
      <c r="O503" s="358">
        <f t="shared" si="465"/>
        <v>0</v>
      </c>
      <c r="P503" s="359">
        <f t="shared" si="483"/>
        <v>0</v>
      </c>
      <c r="Q503" s="321">
        <v>2</v>
      </c>
      <c r="R503" s="188">
        <f t="shared" si="484"/>
        <v>0</v>
      </c>
      <c r="S503" s="188"/>
      <c r="T503" s="188"/>
      <c r="U503" s="357">
        <f t="shared" si="466"/>
        <v>0</v>
      </c>
      <c r="V503" s="188"/>
      <c r="W503" s="188"/>
      <c r="X503" s="357">
        <f t="shared" si="467"/>
        <v>0</v>
      </c>
      <c r="Y503" s="358">
        <f t="shared" si="468"/>
        <v>0</v>
      </c>
      <c r="Z503" s="184">
        <f t="shared" si="459"/>
        <v>0</v>
      </c>
    </row>
    <row r="504" spans="1:26" hidden="1">
      <c r="A504" s="187">
        <v>5</v>
      </c>
      <c r="B504" s="328" t="s">
        <v>93</v>
      </c>
      <c r="C504" s="191" t="s">
        <v>203</v>
      </c>
      <c r="D504" s="284">
        <v>0</v>
      </c>
      <c r="E504" s="187" t="s">
        <v>205</v>
      </c>
      <c r="F504" s="340">
        <v>400</v>
      </c>
      <c r="G504" s="355">
        <f>D504*F504</f>
        <v>0</v>
      </c>
      <c r="H504" s="356">
        <f t="shared" si="462"/>
        <v>0</v>
      </c>
      <c r="I504" s="357"/>
      <c r="J504" s="357"/>
      <c r="K504" s="357">
        <f t="shared" si="463"/>
        <v>0</v>
      </c>
      <c r="L504" s="357"/>
      <c r="M504" s="357"/>
      <c r="N504" s="357">
        <f t="shared" si="464"/>
        <v>0</v>
      </c>
      <c r="O504" s="358">
        <f t="shared" si="465"/>
        <v>0</v>
      </c>
      <c r="P504" s="359">
        <f>G504/$Y$4</f>
        <v>0</v>
      </c>
      <c r="Q504" s="321">
        <v>3</v>
      </c>
      <c r="R504" s="188">
        <f>P504</f>
        <v>0</v>
      </c>
      <c r="S504" s="188"/>
      <c r="T504" s="188"/>
      <c r="U504" s="357">
        <f t="shared" si="466"/>
        <v>0</v>
      </c>
      <c r="V504" s="188"/>
      <c r="W504" s="188"/>
      <c r="X504" s="357">
        <f t="shared" si="467"/>
        <v>0</v>
      </c>
      <c r="Y504" s="358">
        <f t="shared" si="468"/>
        <v>0</v>
      </c>
      <c r="Z504" s="184">
        <f t="shared" si="459"/>
        <v>0</v>
      </c>
    </row>
    <row r="505" spans="1:26" hidden="1">
      <c r="A505" s="219" t="s">
        <v>228</v>
      </c>
      <c r="B505" s="326"/>
      <c r="C505" s="220"/>
      <c r="D505" s="185"/>
      <c r="E505" s="185"/>
      <c r="F505" s="186"/>
      <c r="G505" s="207">
        <f>SUM(G506:G517)</f>
        <v>12420</v>
      </c>
      <c r="H505" s="352">
        <f t="shared" ref="H505:Y505" si="485">SUM(H506:H517)</f>
        <v>12420</v>
      </c>
      <c r="I505" s="353">
        <f t="shared" si="485"/>
        <v>0</v>
      </c>
      <c r="J505" s="353">
        <f t="shared" si="485"/>
        <v>0</v>
      </c>
      <c r="K505" s="353">
        <f t="shared" si="485"/>
        <v>0</v>
      </c>
      <c r="L505" s="353">
        <f t="shared" si="485"/>
        <v>0</v>
      </c>
      <c r="M505" s="353">
        <f t="shared" si="485"/>
        <v>0</v>
      </c>
      <c r="N505" s="353">
        <f t="shared" si="485"/>
        <v>0</v>
      </c>
      <c r="O505" s="354">
        <f t="shared" si="485"/>
        <v>12420</v>
      </c>
      <c r="P505" s="352">
        <f t="shared" si="485"/>
        <v>1784.4827586206898</v>
      </c>
      <c r="Q505" s="320"/>
      <c r="R505" s="181">
        <f t="shared" si="485"/>
        <v>1784.4827586206898</v>
      </c>
      <c r="S505" s="181">
        <f t="shared" si="485"/>
        <v>0</v>
      </c>
      <c r="T505" s="181">
        <f t="shared" si="485"/>
        <v>0</v>
      </c>
      <c r="U505" s="353">
        <f t="shared" si="485"/>
        <v>0</v>
      </c>
      <c r="V505" s="181">
        <f t="shared" si="485"/>
        <v>0</v>
      </c>
      <c r="W505" s="181">
        <f t="shared" si="485"/>
        <v>0</v>
      </c>
      <c r="X505" s="353">
        <f t="shared" si="485"/>
        <v>0</v>
      </c>
      <c r="Y505" s="354">
        <f t="shared" si="485"/>
        <v>1784.4827586206898</v>
      </c>
      <c r="Z505" s="184">
        <f t="shared" si="459"/>
        <v>0</v>
      </c>
    </row>
    <row r="506" spans="1:26" hidden="1">
      <c r="A506" s="187" t="s">
        <v>287</v>
      </c>
      <c r="B506" s="328" t="s">
        <v>228</v>
      </c>
      <c r="C506" s="189" t="s">
        <v>256</v>
      </c>
      <c r="D506" s="284">
        <v>0</v>
      </c>
      <c r="E506" s="198" t="s">
        <v>144</v>
      </c>
      <c r="F506" s="340">
        <v>600</v>
      </c>
      <c r="G506" s="355">
        <f>D506*F506</f>
        <v>0</v>
      </c>
      <c r="H506" s="356">
        <f t="shared" ref="H506:H517" si="486">R506*$Y$4</f>
        <v>0</v>
      </c>
      <c r="I506" s="357"/>
      <c r="J506" s="357"/>
      <c r="K506" s="357">
        <f t="shared" ref="K506:K517" si="487">I506+J506</f>
        <v>0</v>
      </c>
      <c r="L506" s="357"/>
      <c r="M506" s="357"/>
      <c r="N506" s="357">
        <f t="shared" ref="N506:N517" si="488">L506+M506</f>
        <v>0</v>
      </c>
      <c r="O506" s="358">
        <f t="shared" ref="O506:O517" si="489">H506+K506+N506</f>
        <v>0</v>
      </c>
      <c r="P506" s="359">
        <f>G506/$Y$4</f>
        <v>0</v>
      </c>
      <c r="Q506" s="321">
        <v>1</v>
      </c>
      <c r="R506" s="188">
        <f t="shared" ref="R506:R517" si="490">P506</f>
        <v>0</v>
      </c>
      <c r="S506" s="188"/>
      <c r="T506" s="188"/>
      <c r="U506" s="357">
        <f t="shared" ref="U506:U517" si="491">S506+T506</f>
        <v>0</v>
      </c>
      <c r="V506" s="188"/>
      <c r="W506" s="188"/>
      <c r="X506" s="357">
        <f t="shared" ref="X506:X517" si="492">V506+W506</f>
        <v>0</v>
      </c>
      <c r="Y506" s="358">
        <f t="shared" ref="Y506:Y517" si="493">R506+U506+X506</f>
        <v>0</v>
      </c>
      <c r="Z506" s="184">
        <f t="shared" si="459"/>
        <v>0</v>
      </c>
    </row>
    <row r="507" spans="1:26">
      <c r="A507" s="187" t="s">
        <v>287</v>
      </c>
      <c r="B507" s="328" t="s">
        <v>228</v>
      </c>
      <c r="C507" s="189" t="s">
        <v>256</v>
      </c>
      <c r="D507" s="284">
        <v>6</v>
      </c>
      <c r="E507" s="198" t="s">
        <v>144</v>
      </c>
      <c r="F507" s="340">
        <v>600</v>
      </c>
      <c r="G507" s="355">
        <f t="shared" ref="G507:G508" si="494">D507*F507</f>
        <v>3600</v>
      </c>
      <c r="H507" s="356">
        <f t="shared" si="486"/>
        <v>3600.0000000000005</v>
      </c>
      <c r="I507" s="357"/>
      <c r="J507" s="357"/>
      <c r="K507" s="357">
        <f t="shared" si="487"/>
        <v>0</v>
      </c>
      <c r="L507" s="357"/>
      <c r="M507" s="357"/>
      <c r="N507" s="357">
        <f t="shared" si="488"/>
        <v>0</v>
      </c>
      <c r="O507" s="358">
        <f t="shared" si="489"/>
        <v>3600.0000000000005</v>
      </c>
      <c r="P507" s="359">
        <f t="shared" ref="P507:P508" si="495">G507/$Y$4</f>
        <v>517.24137931034488</v>
      </c>
      <c r="Q507" s="321">
        <v>2</v>
      </c>
      <c r="R507" s="188">
        <f t="shared" si="490"/>
        <v>517.24137931034488</v>
      </c>
      <c r="S507" s="188"/>
      <c r="T507" s="188"/>
      <c r="U507" s="357">
        <f t="shared" si="491"/>
        <v>0</v>
      </c>
      <c r="V507" s="188"/>
      <c r="W507" s="188"/>
      <c r="X507" s="357">
        <f t="shared" si="492"/>
        <v>0</v>
      </c>
      <c r="Y507" s="358">
        <f t="shared" si="493"/>
        <v>517.24137931034488</v>
      </c>
      <c r="Z507" s="184">
        <f t="shared" si="459"/>
        <v>0</v>
      </c>
    </row>
    <row r="508" spans="1:26" hidden="1">
      <c r="A508" s="187" t="s">
        <v>287</v>
      </c>
      <c r="B508" s="328" t="s">
        <v>228</v>
      </c>
      <c r="C508" s="189" t="s">
        <v>256</v>
      </c>
      <c r="D508" s="284">
        <v>0</v>
      </c>
      <c r="E508" s="198" t="s">
        <v>144</v>
      </c>
      <c r="F508" s="340">
        <v>600</v>
      </c>
      <c r="G508" s="355">
        <f t="shared" si="494"/>
        <v>0</v>
      </c>
      <c r="H508" s="356">
        <f t="shared" si="486"/>
        <v>0</v>
      </c>
      <c r="I508" s="357"/>
      <c r="J508" s="357"/>
      <c r="K508" s="357">
        <f t="shared" si="487"/>
        <v>0</v>
      </c>
      <c r="L508" s="357"/>
      <c r="M508" s="357"/>
      <c r="N508" s="357">
        <f t="shared" si="488"/>
        <v>0</v>
      </c>
      <c r="O508" s="358">
        <f t="shared" si="489"/>
        <v>0</v>
      </c>
      <c r="P508" s="359">
        <f t="shared" si="495"/>
        <v>0</v>
      </c>
      <c r="Q508" s="321">
        <v>3</v>
      </c>
      <c r="R508" s="188">
        <f t="shared" si="490"/>
        <v>0</v>
      </c>
      <c r="S508" s="188"/>
      <c r="T508" s="188"/>
      <c r="U508" s="357">
        <f t="shared" si="491"/>
        <v>0</v>
      </c>
      <c r="V508" s="188"/>
      <c r="W508" s="188"/>
      <c r="X508" s="357">
        <f t="shared" si="492"/>
        <v>0</v>
      </c>
      <c r="Y508" s="358">
        <f t="shared" si="493"/>
        <v>0</v>
      </c>
      <c r="Z508" s="184">
        <f t="shared" si="459"/>
        <v>0</v>
      </c>
    </row>
    <row r="509" spans="1:26" hidden="1">
      <c r="A509" s="187" t="s">
        <v>287</v>
      </c>
      <c r="B509" s="328" t="s">
        <v>228</v>
      </c>
      <c r="C509" s="197" t="s">
        <v>229</v>
      </c>
      <c r="D509" s="284">
        <v>0</v>
      </c>
      <c r="E509" s="198" t="s">
        <v>79</v>
      </c>
      <c r="F509" s="340">
        <v>500</v>
      </c>
      <c r="G509" s="355">
        <f>D509*F509</f>
        <v>0</v>
      </c>
      <c r="H509" s="356">
        <f t="shared" si="486"/>
        <v>0</v>
      </c>
      <c r="I509" s="357"/>
      <c r="J509" s="357"/>
      <c r="K509" s="357">
        <f t="shared" si="487"/>
        <v>0</v>
      </c>
      <c r="L509" s="357"/>
      <c r="M509" s="357"/>
      <c r="N509" s="357">
        <f t="shared" si="488"/>
        <v>0</v>
      </c>
      <c r="O509" s="358">
        <f t="shared" si="489"/>
        <v>0</v>
      </c>
      <c r="P509" s="359">
        <f>G509/$Y$4</f>
        <v>0</v>
      </c>
      <c r="Q509" s="321">
        <v>1</v>
      </c>
      <c r="R509" s="188">
        <f t="shared" si="490"/>
        <v>0</v>
      </c>
      <c r="S509" s="188"/>
      <c r="T509" s="188"/>
      <c r="U509" s="357">
        <f t="shared" si="491"/>
        <v>0</v>
      </c>
      <c r="V509" s="188"/>
      <c r="W509" s="188"/>
      <c r="X509" s="357">
        <f t="shared" si="492"/>
        <v>0</v>
      </c>
      <c r="Y509" s="358">
        <f t="shared" si="493"/>
        <v>0</v>
      </c>
      <c r="Z509" s="184">
        <f t="shared" si="459"/>
        <v>0</v>
      </c>
    </row>
    <row r="510" spans="1:26">
      <c r="A510" s="187" t="s">
        <v>287</v>
      </c>
      <c r="B510" s="328" t="s">
        <v>228</v>
      </c>
      <c r="C510" s="197" t="s">
        <v>229</v>
      </c>
      <c r="D510" s="284">
        <v>12</v>
      </c>
      <c r="E510" s="198" t="s">
        <v>79</v>
      </c>
      <c r="F510" s="340">
        <v>500</v>
      </c>
      <c r="G510" s="355">
        <f t="shared" ref="G510:G517" si="496">D510*F510</f>
        <v>6000</v>
      </c>
      <c r="H510" s="356">
        <f t="shared" si="486"/>
        <v>6000</v>
      </c>
      <c r="I510" s="357"/>
      <c r="J510" s="357"/>
      <c r="K510" s="357">
        <f t="shared" si="487"/>
        <v>0</v>
      </c>
      <c r="L510" s="357"/>
      <c r="M510" s="357"/>
      <c r="N510" s="357">
        <f t="shared" si="488"/>
        <v>0</v>
      </c>
      <c r="O510" s="358">
        <f t="shared" si="489"/>
        <v>6000</v>
      </c>
      <c r="P510" s="359">
        <f t="shared" ref="P510:P517" si="497">G510/$Y$4</f>
        <v>862.06896551724139</v>
      </c>
      <c r="Q510" s="321">
        <v>2</v>
      </c>
      <c r="R510" s="188">
        <f t="shared" si="490"/>
        <v>862.06896551724139</v>
      </c>
      <c r="S510" s="188"/>
      <c r="T510" s="188"/>
      <c r="U510" s="357">
        <f t="shared" si="491"/>
        <v>0</v>
      </c>
      <c r="V510" s="188"/>
      <c r="W510" s="188"/>
      <c r="X510" s="357">
        <f t="shared" si="492"/>
        <v>0</v>
      </c>
      <c r="Y510" s="358">
        <f t="shared" si="493"/>
        <v>862.06896551724139</v>
      </c>
      <c r="Z510" s="184">
        <f t="shared" si="459"/>
        <v>0</v>
      </c>
    </row>
    <row r="511" spans="1:26" hidden="1">
      <c r="A511" s="187" t="s">
        <v>287</v>
      </c>
      <c r="B511" s="328" t="s">
        <v>228</v>
      </c>
      <c r="C511" s="197" t="s">
        <v>229</v>
      </c>
      <c r="D511" s="284">
        <v>0</v>
      </c>
      <c r="E511" s="198" t="s">
        <v>79</v>
      </c>
      <c r="F511" s="340">
        <v>500</v>
      </c>
      <c r="G511" s="355">
        <f t="shared" si="496"/>
        <v>0</v>
      </c>
      <c r="H511" s="356">
        <f t="shared" si="486"/>
        <v>0</v>
      </c>
      <c r="I511" s="357"/>
      <c r="J511" s="357"/>
      <c r="K511" s="357">
        <f t="shared" si="487"/>
        <v>0</v>
      </c>
      <c r="L511" s="357"/>
      <c r="M511" s="357"/>
      <c r="N511" s="357">
        <f t="shared" si="488"/>
        <v>0</v>
      </c>
      <c r="O511" s="358">
        <f t="shared" si="489"/>
        <v>0</v>
      </c>
      <c r="P511" s="359">
        <f t="shared" si="497"/>
        <v>0</v>
      </c>
      <c r="Q511" s="321">
        <v>3</v>
      </c>
      <c r="R511" s="188">
        <f t="shared" si="490"/>
        <v>0</v>
      </c>
      <c r="S511" s="188"/>
      <c r="T511" s="188"/>
      <c r="U511" s="357">
        <f t="shared" si="491"/>
        <v>0</v>
      </c>
      <c r="V511" s="188"/>
      <c r="W511" s="188"/>
      <c r="X511" s="357">
        <f t="shared" si="492"/>
        <v>0</v>
      </c>
      <c r="Y511" s="358">
        <f t="shared" si="493"/>
        <v>0</v>
      </c>
      <c r="Z511" s="184">
        <f t="shared" si="459"/>
        <v>0</v>
      </c>
    </row>
    <row r="512" spans="1:26" hidden="1">
      <c r="A512" s="187" t="s">
        <v>287</v>
      </c>
      <c r="B512" s="328" t="s">
        <v>228</v>
      </c>
      <c r="C512" s="191" t="s">
        <v>257</v>
      </c>
      <c r="D512" s="284">
        <v>0</v>
      </c>
      <c r="E512" s="187" t="s">
        <v>258</v>
      </c>
      <c r="F512" s="340">
        <v>115</v>
      </c>
      <c r="G512" s="355">
        <f t="shared" si="496"/>
        <v>0</v>
      </c>
      <c r="H512" s="356">
        <f t="shared" si="486"/>
        <v>0</v>
      </c>
      <c r="I512" s="357"/>
      <c r="J512" s="357"/>
      <c r="K512" s="357">
        <f t="shared" si="487"/>
        <v>0</v>
      </c>
      <c r="L512" s="357"/>
      <c r="M512" s="357"/>
      <c r="N512" s="357">
        <f t="shared" si="488"/>
        <v>0</v>
      </c>
      <c r="O512" s="358">
        <f t="shared" si="489"/>
        <v>0</v>
      </c>
      <c r="P512" s="359">
        <f t="shared" si="497"/>
        <v>0</v>
      </c>
      <c r="Q512" s="321">
        <v>1</v>
      </c>
      <c r="R512" s="188">
        <f t="shared" si="490"/>
        <v>0</v>
      </c>
      <c r="S512" s="188"/>
      <c r="T512" s="188"/>
      <c r="U512" s="357">
        <f t="shared" si="491"/>
        <v>0</v>
      </c>
      <c r="V512" s="188"/>
      <c r="W512" s="188"/>
      <c r="X512" s="357">
        <f t="shared" si="492"/>
        <v>0</v>
      </c>
      <c r="Y512" s="358">
        <f t="shared" si="493"/>
        <v>0</v>
      </c>
      <c r="Z512" s="184">
        <f t="shared" si="459"/>
        <v>0</v>
      </c>
    </row>
    <row r="513" spans="1:26">
      <c r="A513" s="187" t="s">
        <v>287</v>
      </c>
      <c r="B513" s="328" t="s">
        <v>228</v>
      </c>
      <c r="C513" s="191" t="s">
        <v>257</v>
      </c>
      <c r="D513" s="284">
        <v>12</v>
      </c>
      <c r="E513" s="187" t="s">
        <v>258</v>
      </c>
      <c r="F513" s="340">
        <v>115</v>
      </c>
      <c r="G513" s="355">
        <f t="shared" si="496"/>
        <v>1380</v>
      </c>
      <c r="H513" s="356">
        <f t="shared" si="486"/>
        <v>1380</v>
      </c>
      <c r="I513" s="357"/>
      <c r="J513" s="357"/>
      <c r="K513" s="357">
        <f t="shared" si="487"/>
        <v>0</v>
      </c>
      <c r="L513" s="357"/>
      <c r="M513" s="357"/>
      <c r="N513" s="357">
        <f t="shared" si="488"/>
        <v>0</v>
      </c>
      <c r="O513" s="358">
        <f t="shared" si="489"/>
        <v>1380</v>
      </c>
      <c r="P513" s="359">
        <f t="shared" si="497"/>
        <v>198.27586206896552</v>
      </c>
      <c r="Q513" s="321">
        <v>2</v>
      </c>
      <c r="R513" s="188">
        <f t="shared" si="490"/>
        <v>198.27586206896552</v>
      </c>
      <c r="S513" s="188"/>
      <c r="T513" s="188"/>
      <c r="U513" s="357">
        <f t="shared" si="491"/>
        <v>0</v>
      </c>
      <c r="V513" s="188"/>
      <c r="W513" s="188"/>
      <c r="X513" s="357">
        <f t="shared" si="492"/>
        <v>0</v>
      </c>
      <c r="Y513" s="358">
        <f t="shared" si="493"/>
        <v>198.27586206896552</v>
      </c>
      <c r="Z513" s="184">
        <f t="shared" si="459"/>
        <v>0</v>
      </c>
    </row>
    <row r="514" spans="1:26" hidden="1">
      <c r="A514" s="187" t="s">
        <v>287</v>
      </c>
      <c r="B514" s="328" t="s">
        <v>228</v>
      </c>
      <c r="C514" s="191" t="s">
        <v>257</v>
      </c>
      <c r="D514" s="284">
        <v>0</v>
      </c>
      <c r="E514" s="187" t="s">
        <v>258</v>
      </c>
      <c r="F514" s="340">
        <v>115</v>
      </c>
      <c r="G514" s="355">
        <f t="shared" si="496"/>
        <v>0</v>
      </c>
      <c r="H514" s="356">
        <f t="shared" si="486"/>
        <v>0</v>
      </c>
      <c r="I514" s="357"/>
      <c r="J514" s="357"/>
      <c r="K514" s="357">
        <f t="shared" si="487"/>
        <v>0</v>
      </c>
      <c r="L514" s="357"/>
      <c r="M514" s="357"/>
      <c r="N514" s="357">
        <f t="shared" si="488"/>
        <v>0</v>
      </c>
      <c r="O514" s="358">
        <f t="shared" si="489"/>
        <v>0</v>
      </c>
      <c r="P514" s="359">
        <f t="shared" si="497"/>
        <v>0</v>
      </c>
      <c r="Q514" s="321">
        <v>3</v>
      </c>
      <c r="R514" s="188">
        <f t="shared" si="490"/>
        <v>0</v>
      </c>
      <c r="S514" s="188"/>
      <c r="T514" s="188"/>
      <c r="U514" s="357">
        <f t="shared" si="491"/>
        <v>0</v>
      </c>
      <c r="V514" s="188"/>
      <c r="W514" s="188"/>
      <c r="X514" s="357">
        <f t="shared" si="492"/>
        <v>0</v>
      </c>
      <c r="Y514" s="358">
        <f t="shared" si="493"/>
        <v>0</v>
      </c>
      <c r="Z514" s="184">
        <f t="shared" si="459"/>
        <v>0</v>
      </c>
    </row>
    <row r="515" spans="1:26" hidden="1">
      <c r="A515" s="187" t="s">
        <v>287</v>
      </c>
      <c r="B515" s="328" t="s">
        <v>228</v>
      </c>
      <c r="C515" s="191" t="s">
        <v>219</v>
      </c>
      <c r="D515" s="284">
        <v>0</v>
      </c>
      <c r="E515" s="187" t="s">
        <v>146</v>
      </c>
      <c r="F515" s="340">
        <v>120</v>
      </c>
      <c r="G515" s="355">
        <f t="shared" si="496"/>
        <v>0</v>
      </c>
      <c r="H515" s="356">
        <f t="shared" si="486"/>
        <v>0</v>
      </c>
      <c r="I515" s="357"/>
      <c r="J515" s="357"/>
      <c r="K515" s="357">
        <f t="shared" si="487"/>
        <v>0</v>
      </c>
      <c r="L515" s="357"/>
      <c r="M515" s="357"/>
      <c r="N515" s="357">
        <f t="shared" si="488"/>
        <v>0</v>
      </c>
      <c r="O515" s="358">
        <f t="shared" si="489"/>
        <v>0</v>
      </c>
      <c r="P515" s="359">
        <f t="shared" si="497"/>
        <v>0</v>
      </c>
      <c r="Q515" s="321">
        <v>1</v>
      </c>
      <c r="R515" s="188">
        <f t="shared" si="490"/>
        <v>0</v>
      </c>
      <c r="S515" s="188"/>
      <c r="T515" s="188"/>
      <c r="U515" s="357">
        <f t="shared" si="491"/>
        <v>0</v>
      </c>
      <c r="V515" s="188"/>
      <c r="W515" s="188"/>
      <c r="X515" s="357">
        <f t="shared" si="492"/>
        <v>0</v>
      </c>
      <c r="Y515" s="358">
        <f t="shared" si="493"/>
        <v>0</v>
      </c>
      <c r="Z515" s="184">
        <f t="shared" si="459"/>
        <v>0</v>
      </c>
    </row>
    <row r="516" spans="1:26">
      <c r="A516" s="187" t="s">
        <v>287</v>
      </c>
      <c r="B516" s="328" t="s">
        <v>228</v>
      </c>
      <c r="C516" s="191" t="s">
        <v>219</v>
      </c>
      <c r="D516" s="284">
        <v>12</v>
      </c>
      <c r="E516" s="187" t="s">
        <v>146</v>
      </c>
      <c r="F516" s="340">
        <v>120</v>
      </c>
      <c r="G516" s="355">
        <f t="shared" si="496"/>
        <v>1440</v>
      </c>
      <c r="H516" s="356">
        <f t="shared" si="486"/>
        <v>1440</v>
      </c>
      <c r="I516" s="357"/>
      <c r="J516" s="357"/>
      <c r="K516" s="357">
        <f t="shared" si="487"/>
        <v>0</v>
      </c>
      <c r="L516" s="357"/>
      <c r="M516" s="357"/>
      <c r="N516" s="357">
        <f t="shared" si="488"/>
        <v>0</v>
      </c>
      <c r="O516" s="358">
        <f t="shared" si="489"/>
        <v>1440</v>
      </c>
      <c r="P516" s="359">
        <f t="shared" si="497"/>
        <v>206.89655172413794</v>
      </c>
      <c r="Q516" s="321">
        <v>2</v>
      </c>
      <c r="R516" s="188">
        <f t="shared" si="490"/>
        <v>206.89655172413794</v>
      </c>
      <c r="S516" s="188"/>
      <c r="T516" s="188"/>
      <c r="U516" s="357">
        <f t="shared" si="491"/>
        <v>0</v>
      </c>
      <c r="V516" s="188"/>
      <c r="W516" s="188"/>
      <c r="X516" s="357">
        <f t="shared" si="492"/>
        <v>0</v>
      </c>
      <c r="Y516" s="358">
        <f t="shared" si="493"/>
        <v>206.89655172413794</v>
      </c>
      <c r="Z516" s="184">
        <f t="shared" si="459"/>
        <v>0</v>
      </c>
    </row>
    <row r="517" spans="1:26" hidden="1">
      <c r="A517" s="187" t="s">
        <v>287</v>
      </c>
      <c r="B517" s="328" t="s">
        <v>228</v>
      </c>
      <c r="C517" s="191" t="s">
        <v>219</v>
      </c>
      <c r="D517" s="284">
        <v>0</v>
      </c>
      <c r="E517" s="187" t="s">
        <v>146</v>
      </c>
      <c r="F517" s="340">
        <v>120</v>
      </c>
      <c r="G517" s="355">
        <f t="shared" si="496"/>
        <v>0</v>
      </c>
      <c r="H517" s="356">
        <f t="shared" si="486"/>
        <v>0</v>
      </c>
      <c r="I517" s="357"/>
      <c r="J517" s="357"/>
      <c r="K517" s="357">
        <f t="shared" si="487"/>
        <v>0</v>
      </c>
      <c r="L517" s="357"/>
      <c r="M517" s="357"/>
      <c r="N517" s="357">
        <f t="shared" si="488"/>
        <v>0</v>
      </c>
      <c r="O517" s="358">
        <f t="shared" si="489"/>
        <v>0</v>
      </c>
      <c r="P517" s="359">
        <f t="shared" si="497"/>
        <v>0</v>
      </c>
      <c r="Q517" s="321">
        <v>3</v>
      </c>
      <c r="R517" s="188">
        <f t="shared" si="490"/>
        <v>0</v>
      </c>
      <c r="S517" s="188"/>
      <c r="T517" s="188"/>
      <c r="U517" s="357">
        <f t="shared" si="491"/>
        <v>0</v>
      </c>
      <c r="V517" s="188"/>
      <c r="W517" s="188"/>
      <c r="X517" s="357">
        <f t="shared" si="492"/>
        <v>0</v>
      </c>
      <c r="Y517" s="358">
        <f t="shared" si="493"/>
        <v>0</v>
      </c>
      <c r="Z517" s="184">
        <f t="shared" si="459"/>
        <v>0</v>
      </c>
    </row>
    <row r="518" spans="1:26" hidden="1">
      <c r="A518" s="219" t="s">
        <v>227</v>
      </c>
      <c r="B518" s="326"/>
      <c r="C518" s="220"/>
      <c r="D518" s="185"/>
      <c r="E518" s="185"/>
      <c r="F518" s="186"/>
      <c r="G518" s="207">
        <f t="shared" ref="G518:P518" si="498">SUM(G519:G524)</f>
        <v>73200</v>
      </c>
      <c r="H518" s="352">
        <f t="shared" si="498"/>
        <v>73200</v>
      </c>
      <c r="I518" s="353">
        <f t="shared" si="498"/>
        <v>0</v>
      </c>
      <c r="J518" s="353">
        <f t="shared" si="498"/>
        <v>0</v>
      </c>
      <c r="K518" s="353">
        <f t="shared" si="498"/>
        <v>0</v>
      </c>
      <c r="L518" s="353">
        <f t="shared" si="498"/>
        <v>0</v>
      </c>
      <c r="M518" s="353">
        <f t="shared" si="498"/>
        <v>0</v>
      </c>
      <c r="N518" s="353">
        <f t="shared" ref="N518" si="499">SUM(N519:N524)</f>
        <v>0</v>
      </c>
      <c r="O518" s="354">
        <f t="shared" si="498"/>
        <v>73200</v>
      </c>
      <c r="P518" s="352">
        <f t="shared" si="498"/>
        <v>10517.241379310344</v>
      </c>
      <c r="Q518" s="320"/>
      <c r="R518" s="181">
        <f t="shared" ref="R518:Y518" si="500">SUM(R519:R524)</f>
        <v>10517.241379310344</v>
      </c>
      <c r="S518" s="181">
        <f t="shared" si="500"/>
        <v>0</v>
      </c>
      <c r="T518" s="181">
        <f t="shared" si="500"/>
        <v>0</v>
      </c>
      <c r="U518" s="353">
        <f t="shared" si="500"/>
        <v>0</v>
      </c>
      <c r="V518" s="181">
        <f t="shared" si="500"/>
        <v>0</v>
      </c>
      <c r="W518" s="181">
        <f t="shared" si="500"/>
        <v>0</v>
      </c>
      <c r="X518" s="353">
        <f t="shared" si="500"/>
        <v>0</v>
      </c>
      <c r="Y518" s="354">
        <f t="shared" si="500"/>
        <v>10517.241379310344</v>
      </c>
      <c r="Z518" s="184">
        <f t="shared" si="459"/>
        <v>0</v>
      </c>
    </row>
    <row r="519" spans="1:26" hidden="1">
      <c r="A519" s="187">
        <v>5</v>
      </c>
      <c r="B519" s="328" t="s">
        <v>227</v>
      </c>
      <c r="C519" s="197" t="s">
        <v>97</v>
      </c>
      <c r="D519" s="284">
        <v>1</v>
      </c>
      <c r="E519" s="198" t="s">
        <v>206</v>
      </c>
      <c r="F519" s="340">
        <v>17400</v>
      </c>
      <c r="G519" s="355">
        <f>D519*F519</f>
        <v>17400</v>
      </c>
      <c r="H519" s="356">
        <f t="shared" ref="H519:H524" si="501">R519*$Y$4</f>
        <v>17400</v>
      </c>
      <c r="I519" s="357"/>
      <c r="J519" s="357"/>
      <c r="K519" s="357">
        <f t="shared" ref="K519:K524" si="502">I519+J519</f>
        <v>0</v>
      </c>
      <c r="L519" s="357"/>
      <c r="M519" s="357"/>
      <c r="N519" s="357">
        <f t="shared" ref="N519:N524" si="503">L519+M519</f>
        <v>0</v>
      </c>
      <c r="O519" s="358">
        <f t="shared" ref="O519:O524" si="504">H519+K519+N519</f>
        <v>17400</v>
      </c>
      <c r="P519" s="359">
        <f>G519/$Y$4</f>
        <v>2500</v>
      </c>
      <c r="Q519" s="321">
        <v>1</v>
      </c>
      <c r="R519" s="188">
        <f t="shared" ref="R519:R524" si="505">P519</f>
        <v>2500</v>
      </c>
      <c r="S519" s="188"/>
      <c r="T519" s="188"/>
      <c r="U519" s="357">
        <f t="shared" ref="U519:U524" si="506">S519+T519</f>
        <v>0</v>
      </c>
      <c r="V519" s="188"/>
      <c r="W519" s="188"/>
      <c r="X519" s="357">
        <f t="shared" ref="X519:X524" si="507">V519+W519</f>
        <v>0</v>
      </c>
      <c r="Y519" s="358">
        <f t="shared" ref="Y519:Y524" si="508">R519+U519+X519</f>
        <v>2500</v>
      </c>
      <c r="Z519" s="184">
        <f t="shared" si="459"/>
        <v>0</v>
      </c>
    </row>
    <row r="520" spans="1:26">
      <c r="A520" s="187">
        <v>5</v>
      </c>
      <c r="B520" s="328" t="s">
        <v>227</v>
      </c>
      <c r="C520" s="197" t="s">
        <v>97</v>
      </c>
      <c r="D520" s="284">
        <v>1</v>
      </c>
      <c r="E520" s="198" t="s">
        <v>206</v>
      </c>
      <c r="F520" s="340">
        <v>17400</v>
      </c>
      <c r="G520" s="355">
        <f t="shared" ref="G520:G523" si="509">D520*F520</f>
        <v>17400</v>
      </c>
      <c r="H520" s="356">
        <f t="shared" si="501"/>
        <v>17400</v>
      </c>
      <c r="I520" s="357"/>
      <c r="J520" s="357"/>
      <c r="K520" s="357">
        <f t="shared" si="502"/>
        <v>0</v>
      </c>
      <c r="L520" s="357"/>
      <c r="M520" s="357"/>
      <c r="N520" s="357">
        <f t="shared" si="503"/>
        <v>0</v>
      </c>
      <c r="O520" s="358">
        <f t="shared" si="504"/>
        <v>17400</v>
      </c>
      <c r="P520" s="359">
        <f t="shared" ref="P520:P523" si="510">G520/$Y$4</f>
        <v>2500</v>
      </c>
      <c r="Q520" s="321">
        <v>2</v>
      </c>
      <c r="R520" s="188">
        <f t="shared" si="505"/>
        <v>2500</v>
      </c>
      <c r="S520" s="188"/>
      <c r="T520" s="188"/>
      <c r="U520" s="357">
        <f t="shared" si="506"/>
        <v>0</v>
      </c>
      <c r="V520" s="188"/>
      <c r="W520" s="188"/>
      <c r="X520" s="357">
        <f t="shared" si="507"/>
        <v>0</v>
      </c>
      <c r="Y520" s="358">
        <f t="shared" si="508"/>
        <v>2500</v>
      </c>
      <c r="Z520" s="184">
        <f t="shared" si="459"/>
        <v>0</v>
      </c>
    </row>
    <row r="521" spans="1:26" hidden="1">
      <c r="A521" s="187">
        <v>5</v>
      </c>
      <c r="B521" s="328" t="s">
        <v>227</v>
      </c>
      <c r="C521" s="197" t="s">
        <v>97</v>
      </c>
      <c r="D521" s="284">
        <v>1</v>
      </c>
      <c r="E521" s="198" t="s">
        <v>206</v>
      </c>
      <c r="F521" s="340">
        <v>17400</v>
      </c>
      <c r="G521" s="355">
        <f t="shared" si="509"/>
        <v>17400</v>
      </c>
      <c r="H521" s="356">
        <f t="shared" si="501"/>
        <v>17400</v>
      </c>
      <c r="I521" s="357"/>
      <c r="J521" s="357"/>
      <c r="K521" s="357">
        <f t="shared" si="502"/>
        <v>0</v>
      </c>
      <c r="L521" s="357"/>
      <c r="M521" s="357"/>
      <c r="N521" s="357">
        <f t="shared" si="503"/>
        <v>0</v>
      </c>
      <c r="O521" s="358">
        <f t="shared" si="504"/>
        <v>17400</v>
      </c>
      <c r="P521" s="359">
        <f t="shared" si="510"/>
        <v>2500</v>
      </c>
      <c r="Q521" s="321">
        <v>3</v>
      </c>
      <c r="R521" s="188">
        <f t="shared" si="505"/>
        <v>2500</v>
      </c>
      <c r="S521" s="188"/>
      <c r="T521" s="188"/>
      <c r="U521" s="357">
        <f t="shared" si="506"/>
        <v>0</v>
      </c>
      <c r="V521" s="188"/>
      <c r="W521" s="188"/>
      <c r="X521" s="357">
        <f t="shared" si="507"/>
        <v>0</v>
      </c>
      <c r="Y521" s="358">
        <f t="shared" si="508"/>
        <v>2500</v>
      </c>
      <c r="Z521" s="184">
        <f t="shared" si="459"/>
        <v>0</v>
      </c>
    </row>
    <row r="522" spans="1:26" hidden="1">
      <c r="A522" s="187">
        <v>5</v>
      </c>
      <c r="B522" s="328" t="s">
        <v>227</v>
      </c>
      <c r="C522" s="197" t="s">
        <v>98</v>
      </c>
      <c r="D522" s="284">
        <v>0</v>
      </c>
      <c r="E522" s="198" t="s">
        <v>207</v>
      </c>
      <c r="F522" s="340">
        <v>21000</v>
      </c>
      <c r="G522" s="355">
        <f t="shared" si="509"/>
        <v>0</v>
      </c>
      <c r="H522" s="356">
        <f t="shared" si="501"/>
        <v>0</v>
      </c>
      <c r="I522" s="357"/>
      <c r="J522" s="357"/>
      <c r="K522" s="357">
        <f t="shared" si="502"/>
        <v>0</v>
      </c>
      <c r="L522" s="357"/>
      <c r="M522" s="357"/>
      <c r="N522" s="357">
        <f t="shared" si="503"/>
        <v>0</v>
      </c>
      <c r="O522" s="358">
        <f t="shared" si="504"/>
        <v>0</v>
      </c>
      <c r="P522" s="359">
        <f t="shared" si="510"/>
        <v>0</v>
      </c>
      <c r="Q522" s="321">
        <v>1</v>
      </c>
      <c r="R522" s="188">
        <f t="shared" si="505"/>
        <v>0</v>
      </c>
      <c r="S522" s="188"/>
      <c r="T522" s="188"/>
      <c r="U522" s="357">
        <f t="shared" si="506"/>
        <v>0</v>
      </c>
      <c r="V522" s="188"/>
      <c r="W522" s="188"/>
      <c r="X522" s="357">
        <f t="shared" si="507"/>
        <v>0</v>
      </c>
      <c r="Y522" s="358">
        <f t="shared" si="508"/>
        <v>0</v>
      </c>
      <c r="Z522" s="184">
        <f t="shared" si="459"/>
        <v>0</v>
      </c>
    </row>
    <row r="523" spans="1:26" hidden="1">
      <c r="A523" s="187">
        <v>5</v>
      </c>
      <c r="B523" s="328" t="s">
        <v>227</v>
      </c>
      <c r="C523" s="197" t="s">
        <v>98</v>
      </c>
      <c r="D523" s="284">
        <v>0</v>
      </c>
      <c r="E523" s="198" t="s">
        <v>207</v>
      </c>
      <c r="F523" s="340">
        <v>21000</v>
      </c>
      <c r="G523" s="355">
        <f t="shared" si="509"/>
        <v>0</v>
      </c>
      <c r="H523" s="356">
        <f t="shared" si="501"/>
        <v>0</v>
      </c>
      <c r="I523" s="357"/>
      <c r="J523" s="357"/>
      <c r="K523" s="357">
        <f t="shared" si="502"/>
        <v>0</v>
      </c>
      <c r="L523" s="357"/>
      <c r="M523" s="357"/>
      <c r="N523" s="357">
        <f t="shared" si="503"/>
        <v>0</v>
      </c>
      <c r="O523" s="358">
        <f t="shared" si="504"/>
        <v>0</v>
      </c>
      <c r="P523" s="359">
        <f t="shared" si="510"/>
        <v>0</v>
      </c>
      <c r="Q523" s="321">
        <v>2</v>
      </c>
      <c r="R523" s="188">
        <f t="shared" si="505"/>
        <v>0</v>
      </c>
      <c r="S523" s="188"/>
      <c r="T523" s="188"/>
      <c r="U523" s="357">
        <f t="shared" si="506"/>
        <v>0</v>
      </c>
      <c r="V523" s="188"/>
      <c r="W523" s="188"/>
      <c r="X523" s="357">
        <f t="shared" si="507"/>
        <v>0</v>
      </c>
      <c r="Y523" s="358">
        <f t="shared" si="508"/>
        <v>0</v>
      </c>
      <c r="Z523" s="184">
        <f t="shared" ref="Z523:Z529" si="511">P523-Y523</f>
        <v>0</v>
      </c>
    </row>
    <row r="524" spans="1:26" hidden="1">
      <c r="A524" s="187">
        <v>5</v>
      </c>
      <c r="B524" s="328" t="s">
        <v>227</v>
      </c>
      <c r="C524" s="197" t="s">
        <v>98</v>
      </c>
      <c r="D524" s="284">
        <v>1</v>
      </c>
      <c r="E524" s="198" t="s">
        <v>207</v>
      </c>
      <c r="F524" s="340">
        <v>21000</v>
      </c>
      <c r="G524" s="355">
        <f>D524*F524</f>
        <v>21000</v>
      </c>
      <c r="H524" s="356">
        <f t="shared" si="501"/>
        <v>21000</v>
      </c>
      <c r="I524" s="357"/>
      <c r="J524" s="357"/>
      <c r="K524" s="357">
        <f t="shared" si="502"/>
        <v>0</v>
      </c>
      <c r="L524" s="357"/>
      <c r="M524" s="357"/>
      <c r="N524" s="357">
        <f t="shared" si="503"/>
        <v>0</v>
      </c>
      <c r="O524" s="358">
        <f t="shared" si="504"/>
        <v>21000</v>
      </c>
      <c r="P524" s="359">
        <f>G524/$Y$4</f>
        <v>3017.2413793103447</v>
      </c>
      <c r="Q524" s="321">
        <v>3</v>
      </c>
      <c r="R524" s="188">
        <f t="shared" si="505"/>
        <v>3017.2413793103447</v>
      </c>
      <c r="S524" s="188"/>
      <c r="T524" s="188"/>
      <c r="U524" s="357">
        <f t="shared" si="506"/>
        <v>0</v>
      </c>
      <c r="V524" s="188"/>
      <c r="W524" s="188"/>
      <c r="X524" s="357">
        <f t="shared" si="507"/>
        <v>0</v>
      </c>
      <c r="Y524" s="358">
        <f t="shared" si="508"/>
        <v>3017.2413793103447</v>
      </c>
      <c r="Z524" s="184">
        <f t="shared" si="511"/>
        <v>0</v>
      </c>
    </row>
    <row r="525" spans="1:26" hidden="1">
      <c r="A525" s="226" t="s">
        <v>99</v>
      </c>
      <c r="B525" s="225"/>
      <c r="C525" s="227"/>
      <c r="D525" s="287"/>
      <c r="E525" s="287"/>
      <c r="F525" s="213"/>
      <c r="G525" s="362">
        <f t="shared" ref="G525:P525" si="512">G9+G140+G220+G264+G301+G402</f>
        <v>4820154.0555999996</v>
      </c>
      <c r="H525" s="362">
        <f t="shared" si="512"/>
        <v>4091269.2795999995</v>
      </c>
      <c r="I525" s="362">
        <f t="shared" si="512"/>
        <v>101500</v>
      </c>
      <c r="J525" s="362">
        <f t="shared" si="512"/>
        <v>178384.77600000001</v>
      </c>
      <c r="K525" s="362">
        <f t="shared" si="512"/>
        <v>279884.77600000001</v>
      </c>
      <c r="L525" s="362">
        <f t="shared" si="512"/>
        <v>103400</v>
      </c>
      <c r="M525" s="362">
        <f t="shared" si="512"/>
        <v>345600</v>
      </c>
      <c r="N525" s="362">
        <f t="shared" si="512"/>
        <v>449000</v>
      </c>
      <c r="O525" s="362">
        <f t="shared" si="512"/>
        <v>4820154.0555999996</v>
      </c>
      <c r="P525" s="459">
        <f t="shared" si="512"/>
        <v>692550.87005747133</v>
      </c>
      <c r="Q525" s="320"/>
      <c r="R525" s="459">
        <f t="shared" ref="R525:Y525" si="513">R9+R140+R220+R264+R301+R402</f>
        <v>587826.04591954011</v>
      </c>
      <c r="S525" s="459">
        <f t="shared" si="513"/>
        <v>14583.333333333332</v>
      </c>
      <c r="T525" s="459">
        <f t="shared" si="513"/>
        <v>25629.996551724136</v>
      </c>
      <c r="U525" s="459">
        <f t="shared" si="513"/>
        <v>40213.329885057465</v>
      </c>
      <c r="V525" s="459">
        <f t="shared" si="513"/>
        <v>14856.32183908046</v>
      </c>
      <c r="W525" s="459">
        <f t="shared" si="513"/>
        <v>49655.172413793101</v>
      </c>
      <c r="X525" s="459">
        <f t="shared" si="513"/>
        <v>64511.49425287357</v>
      </c>
      <c r="Y525" s="459">
        <f t="shared" si="513"/>
        <v>692550.87005747133</v>
      </c>
      <c r="Z525" s="184">
        <f t="shared" si="511"/>
        <v>0</v>
      </c>
    </row>
    <row r="526" spans="1:26" s="300" customFormat="1" hidden="1">
      <c r="A526" s="329">
        <v>5</v>
      </c>
      <c r="B526" s="330" t="s">
        <v>43</v>
      </c>
      <c r="C526" s="200" t="s">
        <v>371</v>
      </c>
      <c r="D526" s="199"/>
      <c r="E526" s="199"/>
      <c r="F526" s="342"/>
      <c r="G526" s="363">
        <f>5497*6.96</f>
        <v>38259.120000000003</v>
      </c>
      <c r="H526" s="356">
        <f>R526*$Y$4</f>
        <v>38259.120000000003</v>
      </c>
      <c r="I526" s="342"/>
      <c r="J526" s="357">
        <f>T526*$Y$4</f>
        <v>0</v>
      </c>
      <c r="K526" s="357">
        <f t="shared" ref="K526:K528" si="514">I526+J526</f>
        <v>0</v>
      </c>
      <c r="L526" s="342"/>
      <c r="M526" s="342"/>
      <c r="N526" s="357">
        <f t="shared" ref="N526:N528" si="515">L526+M526</f>
        <v>0</v>
      </c>
      <c r="O526" s="358">
        <f t="shared" ref="O526:O528" si="516">H526+K526+N526</f>
        <v>38259.120000000003</v>
      </c>
      <c r="P526" s="359">
        <f>G526/$Y$4</f>
        <v>5497</v>
      </c>
      <c r="Q526" s="321">
        <v>1</v>
      </c>
      <c r="R526" s="188">
        <f>P526</f>
        <v>5497</v>
      </c>
      <c r="S526" s="193"/>
      <c r="T526" s="193"/>
      <c r="U526" s="357">
        <f t="shared" ref="U526:U528" si="517">S526+T526</f>
        <v>0</v>
      </c>
      <c r="V526" s="193"/>
      <c r="W526" s="193"/>
      <c r="X526" s="357">
        <f t="shared" ref="X526:X528" si="518">V526+W526</f>
        <v>0</v>
      </c>
      <c r="Y526" s="358">
        <f t="shared" ref="Y526:Y528" si="519">R526+U526+X526</f>
        <v>5497</v>
      </c>
      <c r="Z526" s="184">
        <f t="shared" si="511"/>
        <v>0</v>
      </c>
    </row>
    <row r="527" spans="1:26" s="300" customFormat="1">
      <c r="A527" s="329">
        <v>5</v>
      </c>
      <c r="B527" s="330" t="s">
        <v>43</v>
      </c>
      <c r="C527" s="200" t="s">
        <v>372</v>
      </c>
      <c r="D527" s="199"/>
      <c r="E527" s="199"/>
      <c r="F527" s="342"/>
      <c r="G527" s="363">
        <f>3494*6.96</f>
        <v>24318.240000000002</v>
      </c>
      <c r="H527" s="356">
        <f t="shared" ref="H527:H528" si="520">R527*$Y$4</f>
        <v>24318.240000000002</v>
      </c>
      <c r="I527" s="342"/>
      <c r="J527" s="357">
        <f t="shared" ref="J527:J528" si="521">T527*$Y$4</f>
        <v>0</v>
      </c>
      <c r="K527" s="357">
        <f t="shared" si="514"/>
        <v>0</v>
      </c>
      <c r="L527" s="342"/>
      <c r="M527" s="342"/>
      <c r="N527" s="357">
        <f t="shared" si="515"/>
        <v>0</v>
      </c>
      <c r="O527" s="358">
        <f t="shared" si="516"/>
        <v>24318.240000000002</v>
      </c>
      <c r="P527" s="359">
        <f>G527/$Y$4</f>
        <v>3494.0000000000005</v>
      </c>
      <c r="Q527" s="321">
        <v>2</v>
      </c>
      <c r="R527" s="188">
        <f t="shared" ref="R527:R528" si="522">P527</f>
        <v>3494.0000000000005</v>
      </c>
      <c r="S527" s="193"/>
      <c r="T527" s="193"/>
      <c r="U527" s="357">
        <f t="shared" si="517"/>
        <v>0</v>
      </c>
      <c r="V527" s="193"/>
      <c r="W527" s="193"/>
      <c r="X527" s="357">
        <f t="shared" si="518"/>
        <v>0</v>
      </c>
      <c r="Y527" s="358">
        <f t="shared" si="519"/>
        <v>3494.0000000000005</v>
      </c>
      <c r="Z527" s="184">
        <f t="shared" si="511"/>
        <v>0</v>
      </c>
    </row>
    <row r="528" spans="1:26" s="300" customFormat="1" hidden="1">
      <c r="A528" s="329">
        <v>5</v>
      </c>
      <c r="B528" s="330" t="s">
        <v>43</v>
      </c>
      <c r="C528" s="200" t="s">
        <v>373</v>
      </c>
      <c r="D528" s="199"/>
      <c r="E528" s="199"/>
      <c r="F528" s="342"/>
      <c r="G528" s="363">
        <f>3183*6.96</f>
        <v>22153.68</v>
      </c>
      <c r="H528" s="356">
        <f t="shared" si="520"/>
        <v>22153.68</v>
      </c>
      <c r="I528" s="342"/>
      <c r="J528" s="357">
        <f t="shared" si="521"/>
        <v>0</v>
      </c>
      <c r="K528" s="357">
        <f t="shared" si="514"/>
        <v>0</v>
      </c>
      <c r="L528" s="342"/>
      <c r="M528" s="342"/>
      <c r="N528" s="357">
        <f t="shared" si="515"/>
        <v>0</v>
      </c>
      <c r="O528" s="358">
        <f t="shared" si="516"/>
        <v>22153.68</v>
      </c>
      <c r="P528" s="359">
        <f>G528/$Y$4</f>
        <v>3183</v>
      </c>
      <c r="Q528" s="321">
        <v>3</v>
      </c>
      <c r="R528" s="188">
        <f t="shared" si="522"/>
        <v>3183</v>
      </c>
      <c r="S528" s="193"/>
      <c r="T528" s="193"/>
      <c r="U528" s="357">
        <f t="shared" si="517"/>
        <v>0</v>
      </c>
      <c r="V528" s="193"/>
      <c r="W528" s="193"/>
      <c r="X528" s="357">
        <f t="shared" si="518"/>
        <v>0</v>
      </c>
      <c r="Y528" s="358">
        <f t="shared" si="519"/>
        <v>3183</v>
      </c>
      <c r="Z528" s="184">
        <f t="shared" si="511"/>
        <v>0</v>
      </c>
    </row>
    <row r="529" spans="1:26" ht="25.5" hidden="1">
      <c r="A529" s="224" t="s">
        <v>96</v>
      </c>
      <c r="B529" s="225"/>
      <c r="C529" s="225"/>
      <c r="D529" s="288"/>
      <c r="E529" s="288"/>
      <c r="F529" s="201"/>
      <c r="G529" s="215">
        <f>G525+G526+G527+G528</f>
        <v>4904885.0955999997</v>
      </c>
      <c r="H529" s="458">
        <f t="shared" ref="H529:O529" si="523">H525+H526+H527+H528</f>
        <v>4176000.3196</v>
      </c>
      <c r="I529" s="458">
        <f t="shared" si="523"/>
        <v>101500</v>
      </c>
      <c r="J529" s="458">
        <f t="shared" si="523"/>
        <v>178384.77600000001</v>
      </c>
      <c r="K529" s="458">
        <f t="shared" si="523"/>
        <v>279884.77600000001</v>
      </c>
      <c r="L529" s="458">
        <f t="shared" si="523"/>
        <v>103400</v>
      </c>
      <c r="M529" s="458">
        <f t="shared" si="523"/>
        <v>345600</v>
      </c>
      <c r="N529" s="458">
        <f t="shared" si="523"/>
        <v>449000</v>
      </c>
      <c r="O529" s="215">
        <f t="shared" si="523"/>
        <v>4904885.0955999997</v>
      </c>
      <c r="P529" s="281">
        <f>P525+P526+P527+P528</f>
        <v>704724.87005747133</v>
      </c>
      <c r="Q529" s="317"/>
      <c r="R529" s="456">
        <f t="shared" ref="R529:Y529" si="524">R525+R526+R527+R528</f>
        <v>600000.04591954011</v>
      </c>
      <c r="S529" s="456">
        <f t="shared" si="524"/>
        <v>14583.333333333332</v>
      </c>
      <c r="T529" s="456">
        <f t="shared" si="524"/>
        <v>25629.996551724136</v>
      </c>
      <c r="U529" s="225">
        <f t="shared" si="524"/>
        <v>40213.329885057465</v>
      </c>
      <c r="V529" s="456">
        <f t="shared" si="524"/>
        <v>14856.32183908046</v>
      </c>
      <c r="W529" s="456">
        <f t="shared" si="524"/>
        <v>49655.172413793101</v>
      </c>
      <c r="X529" s="457">
        <f t="shared" si="524"/>
        <v>64511.49425287357</v>
      </c>
      <c r="Y529" s="225">
        <f t="shared" si="524"/>
        <v>704724.87005747133</v>
      </c>
      <c r="Z529" s="184">
        <f t="shared" si="511"/>
        <v>0</v>
      </c>
    </row>
    <row r="530" spans="1:26" hidden="1"/>
    <row r="531" spans="1:26">
      <c r="C531" s="316"/>
      <c r="D531" s="302"/>
      <c r="E531" s="302"/>
      <c r="F531" s="294"/>
      <c r="G531" s="348">
        <f>SUBTOTAL(9,G10:G529)</f>
        <v>1498014.3048</v>
      </c>
      <c r="H531" s="348">
        <f>SUBTOTAL(9,H10:H529)</f>
        <v>1248808.2967999999</v>
      </c>
      <c r="I531" s="348">
        <f t="shared" ref="I531:M531" si="525">SUBTOTAL(9,I10:I529)</f>
        <v>18000</v>
      </c>
      <c r="J531" s="348">
        <f t="shared" si="525"/>
        <v>58526.008000000002</v>
      </c>
      <c r="K531" s="348">
        <f t="shared" si="525"/>
        <v>76526.008000000002</v>
      </c>
      <c r="L531" s="348">
        <f t="shared" si="525"/>
        <v>43000</v>
      </c>
      <c r="M531" s="348">
        <f t="shared" si="525"/>
        <v>129680</v>
      </c>
      <c r="N531" s="348">
        <f>SUBTOTAL(9,N10:N529)</f>
        <v>172680</v>
      </c>
      <c r="O531" s="348">
        <f>SUBTOTAL(9,O10:O529)</f>
        <v>1498014.3048</v>
      </c>
      <c r="P531" s="348">
        <f>SUBTOTAL(9,P10:P529)</f>
        <v>215231.94034482754</v>
      </c>
      <c r="R531" s="348">
        <f>SUBTOTAL(9,R10:R529)</f>
        <v>179426.47942528737</v>
      </c>
      <c r="S531" s="348">
        <f t="shared" ref="S531:Y531" si="526">SUBTOTAL(9,S10:S529)</f>
        <v>2586.2068965517242</v>
      </c>
      <c r="T531" s="348">
        <f t="shared" si="526"/>
        <v>8408.9091954022988</v>
      </c>
      <c r="U531" s="348">
        <f t="shared" si="526"/>
        <v>10995.116091954023</v>
      </c>
      <c r="V531" s="348">
        <f t="shared" si="526"/>
        <v>6178.1609195402298</v>
      </c>
      <c r="W531" s="348">
        <f t="shared" si="526"/>
        <v>18632.183908045976</v>
      </c>
      <c r="X531" s="348">
        <f t="shared" si="526"/>
        <v>24810.34482758621</v>
      </c>
      <c r="Y531" s="348">
        <f t="shared" si="526"/>
        <v>215231.94034482754</v>
      </c>
    </row>
  </sheetData>
  <autoFilter ref="A8:Y530">
    <filterColumn colId="3">
      <filters blank="1">
        <filter val="1"/>
        <filter val="1.500"/>
        <filter val="10"/>
        <filter val="110"/>
        <filter val="12"/>
        <filter val="14"/>
        <filter val="15"/>
        <filter val="150"/>
        <filter val="16"/>
        <filter val="160"/>
        <filter val="18"/>
        <filter val="20"/>
        <filter val="22"/>
        <filter val="23"/>
        <filter val="24"/>
        <filter val="25"/>
        <filter val="3"/>
        <filter val="30"/>
        <filter val="32"/>
        <filter val="4"/>
        <filter val="400"/>
        <filter val="44"/>
        <filter val="5"/>
        <filter val="6"/>
        <filter val="600"/>
        <filter val="7.200"/>
        <filter val="8"/>
      </filters>
    </filterColumn>
    <filterColumn colId="14">
      <filters>
        <filter val="1.000,00"/>
        <filter val="1.200,00"/>
        <filter val="1.250,00"/>
        <filter val="1.380,00"/>
        <filter val="1.440,00"/>
        <filter val="1.500,00"/>
        <filter val="1.600,00"/>
        <filter val="1.980,00"/>
        <filter val="10.000,00"/>
        <filter val="10.560,00"/>
        <filter val="11.000,00"/>
        <filter val="12.000,00"/>
        <filter val="13.200,00"/>
        <filter val="14.000,00"/>
        <filter val="15.000,00"/>
        <filter val="160.000,00"/>
        <filter val="17.400,00"/>
        <filter val="17.500,00"/>
        <filter val="18.000,00"/>
        <filter val="2.000,00"/>
        <filter val="2.400,00"/>
        <filter val="2.640,00"/>
        <filter val="200,00"/>
        <filter val="21.600,00"/>
        <filter val="24.318,24"/>
        <filter val="250,00"/>
        <filter val="26.928,00"/>
        <filter val="3.000,00"/>
        <filter val="3.200,00"/>
        <filter val="3.500,00"/>
        <filter val="3.600,00"/>
        <filter val="3.750,00"/>
        <filter val="30.000,00"/>
        <filter val="300,00"/>
        <filter val="33.000,00"/>
        <filter val="35.200,00"/>
        <filter val="36.800,00"/>
        <filter val="4.000,00"/>
        <filter val="4.900,00"/>
        <filter val="400,00"/>
        <filter val="5.000,00"/>
        <filter val="55.000,00"/>
        <filter val="6.000,00"/>
        <filter val="6.606,02"/>
        <filter val="600,00"/>
        <filter val="67.218,48"/>
        <filter val="7.200,00"/>
        <filter val="7.500,00"/>
        <filter val="73.157,51"/>
        <filter val="8.000,00"/>
        <filter val="8.800,00"/>
        <filter val="84.023,10"/>
        <filter val="9.600,00"/>
        <filter val="96.000,00"/>
      </filters>
    </filterColumn>
    <filterColumn colId="16">
      <filters>
        <filter val="2"/>
      </filters>
    </filterColumn>
  </autoFilter>
  <mergeCells count="23">
    <mergeCell ref="A2:Y2"/>
    <mergeCell ref="A3:Y3"/>
    <mergeCell ref="I6:J6"/>
    <mergeCell ref="A6:C7"/>
    <mergeCell ref="D6:D7"/>
    <mergeCell ref="E6:E7"/>
    <mergeCell ref="F6:F7"/>
    <mergeCell ref="G6:G7"/>
    <mergeCell ref="Y6:Y7"/>
    <mergeCell ref="L6:L7"/>
    <mergeCell ref="R6:R7"/>
    <mergeCell ref="S6:T6"/>
    <mergeCell ref="X6:X7"/>
    <mergeCell ref="P6:P7"/>
    <mergeCell ref="H6:H7"/>
    <mergeCell ref="O6:O7"/>
    <mergeCell ref="W6:W7"/>
    <mergeCell ref="U6:U7"/>
    <mergeCell ref="K6:K7"/>
    <mergeCell ref="N6:N7"/>
    <mergeCell ref="M6:M7"/>
    <mergeCell ref="Q6:Q7"/>
    <mergeCell ref="V6:V7"/>
  </mergeCells>
  <dataValidations count="1">
    <dataValidation allowBlank="1" showInputMessage="1" showErrorMessage="1" prompt="Desglosa el concepto" sqref="C109:C11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Pres.Total en Bs. y $us.</vt:lpstr>
      <vt:lpstr>Inversiones</vt:lpstr>
      <vt:lpstr>Personal</vt:lpstr>
      <vt:lpstr>Actividades del proyecto</vt:lpstr>
      <vt:lpstr>Gastos de Viaje</vt:lpstr>
      <vt:lpstr>Adm. del Proyecto</vt:lpstr>
      <vt:lpstr>Presup detallado IPTK</vt:lpstr>
      <vt:lpstr>'Actividades del proyecto'!Área_de_impresión</vt:lpstr>
      <vt:lpstr>'Adm. del Proyecto'!Área_de_impresión</vt:lpstr>
      <vt:lpstr>'Gastos de Viaje'!Área_de_impresión</vt:lpstr>
      <vt:lpstr>'Pres.Total en Bs. y $us.'!Área_de_impresión</vt:lpstr>
    </vt:vector>
  </TitlesOfParts>
  <Manager>Jose Pomacusi Tintaya</Manager>
  <Company>Ayuda En Accion Viacha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Presupuesto PROA 2003</dc:title>
  <dc:creator>Jose Pomacusi Tintaya</dc:creator>
  <cp:lastModifiedBy>Usuario de Windows</cp:lastModifiedBy>
  <cp:lastPrinted>2017-11-23T19:40:37Z</cp:lastPrinted>
  <dcterms:created xsi:type="dcterms:W3CDTF">2000-11-02T17:22:29Z</dcterms:created>
  <dcterms:modified xsi:type="dcterms:W3CDTF">2018-09-25T15:00:17Z</dcterms:modified>
</cp:coreProperties>
</file>