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800" windowHeight="17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" l="1"/>
  <c r="K68" i="1"/>
  <c r="K54" i="1"/>
  <c r="I23" i="1"/>
  <c r="J23" i="1"/>
  <c r="I31" i="1"/>
  <c r="G31" i="1"/>
  <c r="E31" i="1"/>
  <c r="J31" i="1"/>
  <c r="J32" i="1"/>
  <c r="J35" i="1"/>
  <c r="K35" i="1"/>
  <c r="K36" i="1"/>
  <c r="K18" i="1"/>
  <c r="I59" i="1"/>
  <c r="J58" i="1"/>
  <c r="J59" i="1"/>
  <c r="J60" i="1"/>
  <c r="J61" i="1"/>
  <c r="J62" i="1"/>
  <c r="J63" i="1"/>
  <c r="J64" i="1"/>
  <c r="J65" i="1"/>
  <c r="J57" i="1"/>
  <c r="I63" i="1"/>
  <c r="I62" i="1"/>
  <c r="I58" i="1"/>
  <c r="I57" i="1"/>
  <c r="G58" i="1"/>
  <c r="G59" i="1"/>
  <c r="G60" i="1"/>
  <c r="G61" i="1"/>
  <c r="G62" i="1"/>
  <c r="G63" i="1"/>
  <c r="G64" i="1"/>
  <c r="G65" i="1"/>
  <c r="G57" i="1"/>
  <c r="E58" i="1"/>
  <c r="E59" i="1"/>
  <c r="E60" i="1"/>
  <c r="E61" i="1"/>
  <c r="E62" i="1"/>
  <c r="E63" i="1"/>
  <c r="E64" i="1"/>
  <c r="E65" i="1"/>
  <c r="E57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B68" i="1"/>
  <c r="B67" i="1"/>
  <c r="M12" i="1"/>
  <c r="G5" i="1"/>
  <c r="M9" i="1"/>
  <c r="G6" i="1"/>
  <c r="M7" i="1"/>
  <c r="G7" i="1"/>
  <c r="M10" i="1"/>
  <c r="G8" i="1"/>
  <c r="G9" i="1"/>
  <c r="G10" i="1"/>
  <c r="M5" i="1"/>
  <c r="G11" i="1"/>
  <c r="G12" i="1"/>
  <c r="M3" i="1"/>
  <c r="G13" i="1"/>
  <c r="G14" i="1"/>
  <c r="G15" i="1"/>
  <c r="M13" i="1"/>
  <c r="G4" i="1"/>
  <c r="G23" i="1"/>
  <c r="C24" i="1"/>
  <c r="G24" i="1"/>
  <c r="G25" i="1"/>
  <c r="G26" i="1"/>
  <c r="G27" i="1"/>
  <c r="G28" i="1"/>
  <c r="G29" i="1"/>
  <c r="G30" i="1"/>
  <c r="M11" i="1"/>
  <c r="G32" i="1"/>
  <c r="G33" i="1"/>
  <c r="G22" i="1"/>
  <c r="I29" i="1"/>
  <c r="H29" i="1"/>
  <c r="I25" i="1"/>
  <c r="H25" i="1"/>
  <c r="I33" i="1"/>
  <c r="E33" i="1"/>
  <c r="J33" i="1"/>
  <c r="E27" i="1"/>
  <c r="J27" i="1"/>
  <c r="I24" i="1"/>
  <c r="J24" i="1"/>
  <c r="K33" i="1"/>
  <c r="H7" i="1"/>
  <c r="I5" i="1"/>
  <c r="G51" i="1"/>
  <c r="E51" i="1"/>
  <c r="J51" i="1"/>
  <c r="I48" i="1"/>
  <c r="G48" i="1"/>
  <c r="E48" i="1"/>
  <c r="J48" i="1"/>
  <c r="G47" i="1"/>
  <c r="E47" i="1"/>
  <c r="J47" i="1"/>
  <c r="K51" i="1"/>
  <c r="E42" i="1"/>
  <c r="I42" i="1"/>
  <c r="H49" i="1"/>
  <c r="I49" i="1"/>
  <c r="M4" i="1"/>
  <c r="G40" i="1"/>
  <c r="E40" i="1"/>
  <c r="J40" i="1"/>
  <c r="G41" i="1"/>
  <c r="E41" i="1"/>
  <c r="J41" i="1"/>
  <c r="G42" i="1"/>
  <c r="J42" i="1"/>
  <c r="G43" i="1"/>
  <c r="E43" i="1"/>
  <c r="J43" i="1"/>
  <c r="G44" i="1"/>
  <c r="E44" i="1"/>
  <c r="I44" i="1"/>
  <c r="J44" i="1"/>
  <c r="I45" i="1"/>
  <c r="G45" i="1"/>
  <c r="E45" i="1"/>
  <c r="J45" i="1"/>
  <c r="I46" i="1"/>
  <c r="G46" i="1"/>
  <c r="E46" i="1"/>
  <c r="J46" i="1"/>
  <c r="E49" i="1"/>
  <c r="G49" i="1"/>
  <c r="J49" i="1"/>
  <c r="I50" i="1"/>
  <c r="G50" i="1"/>
  <c r="E50" i="1"/>
  <c r="J50" i="1"/>
  <c r="J53" i="1"/>
  <c r="K53" i="1"/>
  <c r="I22" i="1"/>
  <c r="E22" i="1"/>
  <c r="J22" i="1"/>
  <c r="E23" i="1"/>
  <c r="E25" i="1"/>
  <c r="J25" i="1"/>
  <c r="I26" i="1"/>
  <c r="E26" i="1"/>
  <c r="J26" i="1"/>
  <c r="I28" i="1"/>
  <c r="E28" i="1"/>
  <c r="J28" i="1"/>
  <c r="E29" i="1"/>
  <c r="J29" i="1"/>
  <c r="E30" i="1"/>
  <c r="J30" i="1"/>
  <c r="E32" i="1"/>
  <c r="M16" i="1"/>
  <c r="L16" i="1"/>
  <c r="I4" i="1"/>
  <c r="E4" i="1"/>
  <c r="J4" i="1"/>
  <c r="E5" i="1"/>
  <c r="I6" i="1"/>
  <c r="E6" i="1"/>
  <c r="J6" i="1"/>
  <c r="E7" i="1"/>
  <c r="J7" i="1"/>
  <c r="I8" i="1"/>
  <c r="E8" i="1"/>
  <c r="J8" i="1"/>
  <c r="I9" i="1"/>
  <c r="E9" i="1"/>
  <c r="J9" i="1"/>
  <c r="I10" i="1"/>
  <c r="E10" i="1"/>
  <c r="J10" i="1"/>
  <c r="I11" i="1"/>
  <c r="E11" i="1"/>
  <c r="J11" i="1"/>
  <c r="I12" i="1"/>
  <c r="E12" i="1"/>
  <c r="J12" i="1"/>
  <c r="I13" i="1"/>
  <c r="E13" i="1"/>
  <c r="J13" i="1"/>
  <c r="I14" i="1"/>
  <c r="E14" i="1"/>
  <c r="J14" i="1"/>
  <c r="I15" i="1"/>
  <c r="E15" i="1"/>
  <c r="J15" i="1"/>
  <c r="K15" i="1"/>
  <c r="J54" i="1"/>
  <c r="I54" i="1"/>
  <c r="H42" i="1"/>
  <c r="H41" i="1"/>
  <c r="H54" i="1"/>
  <c r="G54" i="1"/>
  <c r="F54" i="1"/>
  <c r="E54" i="1"/>
  <c r="D54" i="1"/>
  <c r="C54" i="1"/>
  <c r="B54" i="1"/>
  <c r="I35" i="1"/>
  <c r="J36" i="1"/>
  <c r="I36" i="1"/>
  <c r="H36" i="1"/>
  <c r="G36" i="1"/>
  <c r="F36" i="1"/>
  <c r="E36" i="1"/>
  <c r="D36" i="1"/>
  <c r="C36" i="1"/>
  <c r="B36" i="1"/>
  <c r="M6" i="1"/>
  <c r="M8" i="1"/>
  <c r="G18" i="1"/>
  <c r="F18" i="1"/>
  <c r="E18" i="1"/>
  <c r="D18" i="1"/>
  <c r="C18" i="1"/>
  <c r="B18" i="1"/>
  <c r="I53" i="1"/>
  <c r="H53" i="1"/>
  <c r="G53" i="1"/>
  <c r="F53" i="1"/>
  <c r="E53" i="1"/>
  <c r="D53" i="1"/>
  <c r="C53" i="1"/>
  <c r="B53" i="1"/>
  <c r="H35" i="1"/>
  <c r="G35" i="1"/>
  <c r="F35" i="1"/>
  <c r="E35" i="1"/>
  <c r="D35" i="1"/>
  <c r="C35" i="1"/>
  <c r="B35" i="1"/>
  <c r="G17" i="1"/>
  <c r="F17" i="1"/>
  <c r="E17" i="1"/>
  <c r="D17" i="1"/>
  <c r="C17" i="1"/>
  <c r="B17" i="1"/>
  <c r="J5" i="1"/>
  <c r="J17" i="1"/>
  <c r="K17" i="1"/>
  <c r="J18" i="1"/>
  <c r="I18" i="1"/>
  <c r="H18" i="1"/>
  <c r="I17" i="1"/>
  <c r="H17" i="1"/>
</calcChain>
</file>

<file path=xl/sharedStrings.xml><?xml version="1.0" encoding="utf-8"?>
<sst xmlns="http://schemas.openxmlformats.org/spreadsheetml/2006/main" count="75" uniqueCount="67">
  <si>
    <t>Character Name</t>
  </si>
  <si>
    <t xml:space="preserve">House Stark </t>
  </si>
  <si>
    <t>Ned Stark</t>
  </si>
  <si>
    <t>Jon Snow</t>
  </si>
  <si>
    <t>Robb Stark</t>
  </si>
  <si>
    <t>Ramsay Bolton</t>
  </si>
  <si>
    <t>BlackFish</t>
  </si>
  <si>
    <t>Arya Stark</t>
  </si>
  <si>
    <t>Ghost</t>
  </si>
  <si>
    <t>Bran Stark</t>
  </si>
  <si>
    <t>House Lannister</t>
  </si>
  <si>
    <t>Tywin Lannister</t>
  </si>
  <si>
    <t>Ser Gregor Clegane</t>
  </si>
  <si>
    <t xml:space="preserve">The Hound </t>
  </si>
  <si>
    <t>Joffrey Baratheon</t>
  </si>
  <si>
    <t>Qyburn</t>
  </si>
  <si>
    <t>Cersei Lannister</t>
  </si>
  <si>
    <t>Tyrion Lannister</t>
  </si>
  <si>
    <t>Tommen Baratheon</t>
  </si>
  <si>
    <t>House Baratheon</t>
  </si>
  <si>
    <t>Stannis Baratheon</t>
  </si>
  <si>
    <t>Robert Baratheon</t>
  </si>
  <si>
    <t xml:space="preserve">Beric Dondarrion </t>
  </si>
  <si>
    <t>Brienne of Tarth</t>
  </si>
  <si>
    <t>Ser Davos Seaworth</t>
  </si>
  <si>
    <t>Renly Baratheon</t>
  </si>
  <si>
    <t>LittleFinger</t>
  </si>
  <si>
    <t>Melisandre</t>
  </si>
  <si>
    <t>Combat Strength</t>
  </si>
  <si>
    <t>Adjusted Combat Strength</t>
  </si>
  <si>
    <t>Sword</t>
  </si>
  <si>
    <t>Sword Adjusted</t>
  </si>
  <si>
    <t>Effect Value</t>
  </si>
  <si>
    <t>Effect Value Adjusted</t>
  </si>
  <si>
    <t>Total Value</t>
  </si>
  <si>
    <t>House Totals</t>
  </si>
  <si>
    <t>Gendry</t>
  </si>
  <si>
    <t>Tower Value</t>
  </si>
  <si>
    <t>Sword Value</t>
  </si>
  <si>
    <t>Salladhor Saan XXX</t>
  </si>
  <si>
    <t>PatchFace XXX</t>
  </si>
  <si>
    <t>Ser Ilyn Payne XXX</t>
  </si>
  <si>
    <t>Ser Rodrik XXX</t>
  </si>
  <si>
    <t>Lord Karstark XXX</t>
  </si>
  <si>
    <t>Jaime Lannister</t>
  </si>
  <si>
    <t xml:space="preserve">House Averages </t>
  </si>
  <si>
    <t>House Averages</t>
  </si>
  <si>
    <t>Sam Tarly XXX</t>
  </si>
  <si>
    <t>Tower</t>
  </si>
  <si>
    <t xml:space="preserve">Tower Adjusted </t>
  </si>
  <si>
    <t>Value 9 Cards</t>
  </si>
  <si>
    <t>Range Value 1</t>
  </si>
  <si>
    <t>Range Value 2</t>
  </si>
  <si>
    <t>Catelyn Stark</t>
  </si>
  <si>
    <t>Myrcella Baratheon</t>
  </si>
  <si>
    <t>Shireen Baratheon</t>
  </si>
  <si>
    <t xml:space="preserve">Kevan Lannister </t>
  </si>
  <si>
    <t>House Greyjoy</t>
  </si>
  <si>
    <t>Balon Greyjoy</t>
  </si>
  <si>
    <t>Victarion Greyjoy</t>
  </si>
  <si>
    <t>Euron Crow's Eye</t>
  </si>
  <si>
    <t>Theon Greyjoy</t>
  </si>
  <si>
    <t>Asha Greyjoy</t>
  </si>
  <si>
    <t>Aeron "Damphair" Greyjoy</t>
  </si>
  <si>
    <t>Dagmar Cleftjaw</t>
  </si>
  <si>
    <t>Moqorro</t>
  </si>
  <si>
    <t>The Reader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</si>
</sst>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workbookViewId="0">
      <pane ySplit="1" topLeftCell="A16" activePane="bottomLeft" state="frozen"/>
      <selection pane="bottomLeft" activeCell="J32" sqref="J32"/>
    </sheetView>
  </sheetViews>
  <sheetFormatPr baseColWidth="10" defaultRowHeight="15" x14ac:dyDescent="0"/>
  <cols>
    <col min="1" max="1" width="23" style="2" bestFit="1" customWidth="1"/>
    <col min="2" max="2" width="17.5" style="2" customWidth="1"/>
    <col min="3" max="3" width="23.6640625" style="2" customWidth="1"/>
    <col min="4" max="4" width="10.83203125" style="2"/>
    <col min="5" max="5" width="14.1640625" style="2" bestFit="1" customWidth="1"/>
    <col min="6" max="6" width="10.83203125" style="2"/>
    <col min="7" max="8" width="14.6640625" style="2" customWidth="1"/>
    <col min="9" max="9" width="20.33203125" style="2" customWidth="1"/>
    <col min="10" max="10" width="17.1640625" style="2" customWidth="1"/>
    <col min="11" max="11" width="12.33203125" style="2" bestFit="1" customWidth="1"/>
    <col min="12" max="12" width="23" style="2" customWidth="1"/>
    <col min="13" max="13" width="14" style="2" customWidth="1"/>
    <col min="14" max="14" width="10.83203125" style="2"/>
    <col min="15" max="15" width="11.5" style="2" bestFit="1" customWidth="1"/>
    <col min="16" max="16384" width="10.83203125" style="2"/>
  </cols>
  <sheetData>
    <row r="1" spans="1:14" s="1" customFormat="1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48</v>
      </c>
      <c r="G1" s="1" t="s">
        <v>49</v>
      </c>
      <c r="H1" s="1" t="s">
        <v>32</v>
      </c>
      <c r="I1" s="1" t="s">
        <v>33</v>
      </c>
      <c r="J1" s="1" t="s">
        <v>34</v>
      </c>
    </row>
    <row r="2" spans="1:14">
      <c r="L2" s="5" t="s">
        <v>29</v>
      </c>
      <c r="M2" s="5" t="s">
        <v>37</v>
      </c>
      <c r="N2" s="5" t="s">
        <v>38</v>
      </c>
    </row>
    <row r="3" spans="1:14">
      <c r="A3" s="1" t="s">
        <v>1</v>
      </c>
      <c r="L3" s="5">
        <v>0</v>
      </c>
      <c r="M3" s="5">
        <f t="shared" ref="M3:M13" si="0">1-N3</f>
        <v>0.95</v>
      </c>
      <c r="N3" s="5">
        <v>0.05</v>
      </c>
    </row>
    <row r="4" spans="1:14">
      <c r="A4" s="2" t="s">
        <v>2</v>
      </c>
      <c r="B4" s="2">
        <v>5</v>
      </c>
      <c r="C4" s="2">
        <v>5</v>
      </c>
      <c r="D4" s="2">
        <v>2</v>
      </c>
      <c r="E4" s="2">
        <f>VLOOKUP(C4,$L$3:$N$13,3,FALSE)*D4</f>
        <v>1.9</v>
      </c>
      <c r="F4" s="2">
        <v>0</v>
      </c>
      <c r="G4" s="2">
        <f>VLOOKUP(C4,$L$2:$N$13,2,FALSE)*F4</f>
        <v>0</v>
      </c>
      <c r="H4" s="2">
        <v>-4</v>
      </c>
      <c r="I4" s="2">
        <f>VLOOKUP(C4,$L$3:$N$13,2,FALSE)*H4</f>
        <v>-0.20000000000000018</v>
      </c>
      <c r="J4" s="2">
        <f t="shared" ref="J4:J15" si="1">SUM(I4+G4+E4+C4)</f>
        <v>6.6999999999999993</v>
      </c>
      <c r="L4" s="5">
        <v>0.5</v>
      </c>
      <c r="M4" s="5">
        <f t="shared" si="0"/>
        <v>0.875</v>
      </c>
      <c r="N4" s="5">
        <v>0.125</v>
      </c>
    </row>
    <row r="5" spans="1:14">
      <c r="A5" s="2" t="s">
        <v>3</v>
      </c>
      <c r="B5" s="2">
        <v>3</v>
      </c>
      <c r="C5" s="2">
        <v>4.5</v>
      </c>
      <c r="D5" s="2">
        <v>0.5</v>
      </c>
      <c r="E5" s="2">
        <f t="shared" ref="E5:E15" si="2">VLOOKUP(C5,$L$3:$N$13,3,FALSE)*D5</f>
        <v>0.46250000000000002</v>
      </c>
      <c r="F5" s="2">
        <v>0.5</v>
      </c>
      <c r="G5" s="2">
        <f t="shared" ref="G5:G15" si="3">VLOOKUP(C5,$L$2:$N$13,2,FALSE)*F5</f>
        <v>3.7499999999999978E-2</v>
      </c>
      <c r="H5" s="2">
        <v>2</v>
      </c>
      <c r="I5" s="2">
        <f>VLOOKUP(C5,$L$3:$N$13,3,FALSE)+VLOOKUP(C5,$L$3:$N$13,2,FALSE)</f>
        <v>1</v>
      </c>
      <c r="J5" s="2">
        <f t="shared" si="1"/>
        <v>6</v>
      </c>
      <c r="L5" s="5">
        <v>1</v>
      </c>
      <c r="M5" s="5">
        <f t="shared" si="0"/>
        <v>0.75</v>
      </c>
      <c r="N5" s="5">
        <v>0.25</v>
      </c>
    </row>
    <row r="6" spans="1:14">
      <c r="A6" s="2" t="s">
        <v>4</v>
      </c>
      <c r="B6" s="2">
        <v>3</v>
      </c>
      <c r="C6" s="2">
        <v>3</v>
      </c>
      <c r="D6" s="2">
        <v>1</v>
      </c>
      <c r="E6" s="2">
        <f t="shared" si="2"/>
        <v>0.75</v>
      </c>
      <c r="F6" s="2">
        <v>0</v>
      </c>
      <c r="G6" s="2">
        <f t="shared" si="3"/>
        <v>0</v>
      </c>
      <c r="H6" s="2">
        <v>0</v>
      </c>
      <c r="I6" s="2">
        <f t="shared" ref="I6:I14" si="4">VLOOKUP(C6,$L$3:$N$13,3,FALSE)*H6</f>
        <v>0</v>
      </c>
      <c r="J6" s="2">
        <f t="shared" si="1"/>
        <v>3.75</v>
      </c>
      <c r="L6" s="5">
        <v>1.5</v>
      </c>
      <c r="M6" s="5">
        <f t="shared" si="0"/>
        <v>0.625</v>
      </c>
      <c r="N6" s="5">
        <v>0.375</v>
      </c>
    </row>
    <row r="7" spans="1:14">
      <c r="A7" s="4" t="s">
        <v>5</v>
      </c>
      <c r="B7" s="4">
        <v>2</v>
      </c>
      <c r="C7" s="4">
        <v>2</v>
      </c>
      <c r="D7" s="4">
        <v>0</v>
      </c>
      <c r="E7" s="4">
        <f t="shared" si="2"/>
        <v>0</v>
      </c>
      <c r="F7" s="4">
        <v>0</v>
      </c>
      <c r="G7" s="2">
        <f t="shared" si="3"/>
        <v>0</v>
      </c>
      <c r="H7" s="4">
        <f>2-2</f>
        <v>0</v>
      </c>
      <c r="I7" s="4">
        <v>0</v>
      </c>
      <c r="J7" s="4">
        <f t="shared" si="1"/>
        <v>2</v>
      </c>
      <c r="L7" s="5">
        <v>2</v>
      </c>
      <c r="M7" s="5">
        <f t="shared" si="0"/>
        <v>0.5</v>
      </c>
      <c r="N7" s="5">
        <v>0.5</v>
      </c>
    </row>
    <row r="8" spans="1:14">
      <c r="A8" s="4" t="s">
        <v>6</v>
      </c>
      <c r="B8" s="4">
        <v>2</v>
      </c>
      <c r="C8" s="4">
        <v>3.5</v>
      </c>
      <c r="D8" s="4">
        <v>0</v>
      </c>
      <c r="E8" s="4">
        <f t="shared" si="2"/>
        <v>0</v>
      </c>
      <c r="F8" s="4">
        <v>0</v>
      </c>
      <c r="G8" s="2">
        <f t="shared" si="3"/>
        <v>0</v>
      </c>
      <c r="H8" s="4">
        <v>0</v>
      </c>
      <c r="I8" s="4">
        <f t="shared" si="4"/>
        <v>0</v>
      </c>
      <c r="J8" s="4">
        <f t="shared" si="1"/>
        <v>3.5</v>
      </c>
      <c r="L8" s="5">
        <v>2.5</v>
      </c>
      <c r="M8" s="5">
        <f t="shared" si="0"/>
        <v>0.375</v>
      </c>
      <c r="N8" s="5">
        <v>0.625</v>
      </c>
    </row>
    <row r="9" spans="1:14" s="3" customFormat="1">
      <c r="A9" s="3" t="s">
        <v>43</v>
      </c>
      <c r="B9" s="3">
        <v>2</v>
      </c>
      <c r="C9" s="3">
        <v>2</v>
      </c>
      <c r="D9" s="3">
        <v>1</v>
      </c>
      <c r="E9" s="3">
        <f t="shared" si="2"/>
        <v>0.5</v>
      </c>
      <c r="F9" s="3">
        <v>0</v>
      </c>
      <c r="G9" s="2">
        <f t="shared" si="3"/>
        <v>0</v>
      </c>
      <c r="H9" s="3">
        <v>-0.9</v>
      </c>
      <c r="I9" s="3">
        <f t="shared" si="4"/>
        <v>-0.45</v>
      </c>
      <c r="J9" s="3">
        <f t="shared" si="1"/>
        <v>2.0499999999999998</v>
      </c>
      <c r="L9" s="6">
        <v>3</v>
      </c>
      <c r="M9" s="6">
        <f t="shared" si="0"/>
        <v>0.25</v>
      </c>
      <c r="N9" s="6">
        <v>0.75</v>
      </c>
    </row>
    <row r="10" spans="1:14" s="3" customFormat="1">
      <c r="A10" s="3" t="s">
        <v>42</v>
      </c>
      <c r="B10" s="3">
        <v>2</v>
      </c>
      <c r="C10" s="3">
        <v>2</v>
      </c>
      <c r="D10" s="3">
        <v>0</v>
      </c>
      <c r="E10" s="3">
        <f t="shared" si="2"/>
        <v>0</v>
      </c>
      <c r="F10" s="3">
        <v>1.5</v>
      </c>
      <c r="G10" s="2">
        <f t="shared" si="3"/>
        <v>0.75</v>
      </c>
      <c r="H10" s="3">
        <v>0</v>
      </c>
      <c r="I10" s="3">
        <f t="shared" si="4"/>
        <v>0</v>
      </c>
      <c r="J10" s="3">
        <f t="shared" si="1"/>
        <v>2.75</v>
      </c>
      <c r="L10" s="6">
        <v>3.5</v>
      </c>
      <c r="M10" s="6">
        <f t="shared" si="0"/>
        <v>0.125</v>
      </c>
      <c r="N10" s="6">
        <v>0.875</v>
      </c>
    </row>
    <row r="11" spans="1:14">
      <c r="A11" s="2" t="s">
        <v>7</v>
      </c>
      <c r="B11" s="2">
        <v>1</v>
      </c>
      <c r="C11" s="2">
        <v>1</v>
      </c>
      <c r="D11" s="2">
        <v>1</v>
      </c>
      <c r="E11" s="2">
        <f t="shared" si="2"/>
        <v>0.25</v>
      </c>
      <c r="F11" s="2">
        <v>0</v>
      </c>
      <c r="G11" s="2">
        <f t="shared" si="3"/>
        <v>0</v>
      </c>
      <c r="H11" s="2">
        <v>0.5</v>
      </c>
      <c r="I11" s="2">
        <f t="shared" si="4"/>
        <v>0.125</v>
      </c>
      <c r="J11" s="2">
        <f t="shared" si="1"/>
        <v>1.375</v>
      </c>
      <c r="L11" s="6">
        <v>4</v>
      </c>
      <c r="M11" s="6">
        <f t="shared" si="0"/>
        <v>9.9999999999999978E-2</v>
      </c>
      <c r="N11" s="6">
        <v>0.9</v>
      </c>
    </row>
    <row r="12" spans="1:14">
      <c r="A12" s="2" t="s">
        <v>8</v>
      </c>
      <c r="B12" s="2">
        <v>1</v>
      </c>
      <c r="C12" s="2">
        <v>1</v>
      </c>
      <c r="D12" s="2">
        <v>0</v>
      </c>
      <c r="E12" s="2">
        <f t="shared" si="2"/>
        <v>0</v>
      </c>
      <c r="F12" s="2">
        <v>1</v>
      </c>
      <c r="G12" s="2">
        <f t="shared" si="3"/>
        <v>0.75</v>
      </c>
      <c r="H12" s="2">
        <v>4.5</v>
      </c>
      <c r="I12" s="2">
        <f>VLOOKUP(C12,$L$3:$N$13,2,FALSE)*H12</f>
        <v>3.375</v>
      </c>
      <c r="J12" s="2">
        <f t="shared" si="1"/>
        <v>5.125</v>
      </c>
      <c r="L12" s="6">
        <v>4.5</v>
      </c>
      <c r="M12" s="6">
        <f t="shared" si="0"/>
        <v>7.4999999999999956E-2</v>
      </c>
      <c r="N12" s="6">
        <v>0.92500000000000004</v>
      </c>
    </row>
    <row r="13" spans="1:14" s="3" customFormat="1">
      <c r="A13" s="3" t="s">
        <v>47</v>
      </c>
      <c r="B13" s="3">
        <v>0</v>
      </c>
      <c r="C13" s="3">
        <v>0</v>
      </c>
      <c r="D13" s="3">
        <v>0</v>
      </c>
      <c r="E13" s="3">
        <f t="shared" si="2"/>
        <v>0</v>
      </c>
      <c r="F13" s="3">
        <v>0</v>
      </c>
      <c r="G13" s="2">
        <f t="shared" si="3"/>
        <v>0</v>
      </c>
      <c r="H13" s="3">
        <v>4</v>
      </c>
      <c r="I13" s="3">
        <f>VLOOKUP(C13,$L$3:$N$13,3,FALSE)*(H13)+VLOOKUP(C13,$L$3:$N$13,2,FALSE)*2</f>
        <v>2.1</v>
      </c>
      <c r="J13" s="3">
        <f t="shared" si="1"/>
        <v>2.1</v>
      </c>
      <c r="L13" s="6">
        <v>5</v>
      </c>
      <c r="M13" s="6">
        <f t="shared" si="0"/>
        <v>5.0000000000000044E-2</v>
      </c>
      <c r="N13" s="6">
        <v>0.95</v>
      </c>
    </row>
    <row r="14" spans="1:14">
      <c r="A14" s="2" t="s">
        <v>53</v>
      </c>
      <c r="B14" s="2">
        <v>0</v>
      </c>
      <c r="C14" s="2">
        <v>2</v>
      </c>
      <c r="D14" s="2">
        <v>0</v>
      </c>
      <c r="E14" s="2">
        <f t="shared" si="2"/>
        <v>0</v>
      </c>
      <c r="F14" s="2">
        <v>0</v>
      </c>
      <c r="G14" s="2">
        <f t="shared" si="3"/>
        <v>0</v>
      </c>
      <c r="H14" s="2">
        <v>0</v>
      </c>
      <c r="I14" s="2">
        <f t="shared" si="4"/>
        <v>0</v>
      </c>
      <c r="J14" s="2">
        <f t="shared" si="1"/>
        <v>2</v>
      </c>
      <c r="K14" s="2" t="s">
        <v>50</v>
      </c>
    </row>
    <row r="15" spans="1:14">
      <c r="A15" s="2" t="s">
        <v>9</v>
      </c>
      <c r="B15" s="2">
        <v>0</v>
      </c>
      <c r="C15" s="2">
        <v>0</v>
      </c>
      <c r="D15" s="2">
        <v>0</v>
      </c>
      <c r="E15" s="2">
        <f t="shared" si="2"/>
        <v>0</v>
      </c>
      <c r="F15" s="2">
        <v>0</v>
      </c>
      <c r="G15" s="2">
        <f t="shared" si="3"/>
        <v>0</v>
      </c>
      <c r="H15" s="2">
        <v>4</v>
      </c>
      <c r="I15" s="2">
        <f>VLOOKUP(C15,$L$3:$N$13,3,FALSE)*(H15)+2</f>
        <v>2.2000000000000002</v>
      </c>
      <c r="J15" s="2">
        <f t="shared" si="1"/>
        <v>2.2000000000000002</v>
      </c>
      <c r="K15" s="2">
        <f>J13+J10+J9</f>
        <v>6.8999999999999995</v>
      </c>
      <c r="L15" s="2" t="s">
        <v>51</v>
      </c>
      <c r="M15" s="2" t="s">
        <v>52</v>
      </c>
    </row>
    <row r="16" spans="1:14">
      <c r="L16" s="7">
        <f>(J53-J35)/J53</f>
        <v>9.2607051148587499E-2</v>
      </c>
      <c r="M16" s="7">
        <f>(K53-K35)/K53</f>
        <v>4.8912548912523823E-4</v>
      </c>
    </row>
    <row r="17" spans="1:11">
      <c r="A17" s="1" t="s">
        <v>35</v>
      </c>
      <c r="B17" s="1">
        <f>SUM((B4:B15))</f>
        <v>21</v>
      </c>
      <c r="C17" s="1">
        <f t="shared" ref="C17:J17" si="5">SUM(C4:C15)</f>
        <v>26</v>
      </c>
      <c r="D17" s="1">
        <f t="shared" si="5"/>
        <v>5.5</v>
      </c>
      <c r="E17" s="1">
        <f t="shared" si="5"/>
        <v>3.8624999999999998</v>
      </c>
      <c r="F17" s="1">
        <f t="shared" si="5"/>
        <v>3</v>
      </c>
      <c r="G17" s="1">
        <f t="shared" si="5"/>
        <v>1.5375000000000001</v>
      </c>
      <c r="H17" s="1">
        <f t="shared" si="5"/>
        <v>10.1</v>
      </c>
      <c r="I17" s="1">
        <f t="shared" si="5"/>
        <v>8.1499999999999986</v>
      </c>
      <c r="J17" s="1">
        <f t="shared" si="5"/>
        <v>39.550000000000004</v>
      </c>
      <c r="K17" s="2">
        <f>J17-K15</f>
        <v>32.650000000000006</v>
      </c>
    </row>
    <row r="18" spans="1:11">
      <c r="A18" s="2" t="s">
        <v>45</v>
      </c>
      <c r="B18" s="2">
        <f t="shared" ref="B18:J18" si="6">AVERAGE(B4:B15)</f>
        <v>1.75</v>
      </c>
      <c r="C18" s="2">
        <f t="shared" si="6"/>
        <v>2.1666666666666665</v>
      </c>
      <c r="D18" s="2">
        <f t="shared" si="6"/>
        <v>0.45833333333333331</v>
      </c>
      <c r="E18" s="2">
        <f t="shared" si="6"/>
        <v>0.32187499999999997</v>
      </c>
      <c r="F18" s="2">
        <f t="shared" si="6"/>
        <v>0.25</v>
      </c>
      <c r="G18" s="2">
        <f t="shared" si="6"/>
        <v>0.12812500000000002</v>
      </c>
      <c r="H18" s="2">
        <f t="shared" si="6"/>
        <v>0.84166666666666667</v>
      </c>
      <c r="I18" s="2">
        <f t="shared" si="6"/>
        <v>0.67916666666666659</v>
      </c>
      <c r="J18" s="2">
        <f t="shared" si="6"/>
        <v>3.2958333333333338</v>
      </c>
      <c r="K18" s="2">
        <f>K17/9</f>
        <v>3.6277777777777782</v>
      </c>
    </row>
    <row r="21" spans="1:11">
      <c r="A21" s="1" t="s">
        <v>10</v>
      </c>
    </row>
    <row r="22" spans="1:11">
      <c r="A22" s="2" t="s">
        <v>11</v>
      </c>
      <c r="B22" s="2">
        <v>4</v>
      </c>
      <c r="C22" s="2">
        <v>4</v>
      </c>
      <c r="D22" s="2">
        <v>0</v>
      </c>
      <c r="E22" s="2">
        <f>VLOOKUP(C22,$L$3:$N$13,3,FALSE)*D22</f>
        <v>0</v>
      </c>
      <c r="F22" s="2">
        <v>0</v>
      </c>
      <c r="G22" s="2">
        <f>VLOOKUP(C22,$L$2:$N$13,2,FALSE)*F22</f>
        <v>0</v>
      </c>
      <c r="H22" s="2">
        <v>2</v>
      </c>
      <c r="I22" s="2">
        <f>VLOOKUP(C22,$L$3:$N$13,3,FALSE)*H22</f>
        <v>1.8</v>
      </c>
      <c r="J22" s="2">
        <f t="shared" ref="J22:J33" si="7">SUM(I22+G22+E22+C22)</f>
        <v>5.8</v>
      </c>
    </row>
    <row r="23" spans="1:11">
      <c r="A23" s="2" t="s">
        <v>12</v>
      </c>
      <c r="B23" s="2">
        <v>3</v>
      </c>
      <c r="C23" s="2">
        <v>3</v>
      </c>
      <c r="D23" s="2">
        <v>2</v>
      </c>
      <c r="E23" s="2">
        <f t="shared" ref="E23:E33" si="8">VLOOKUP(C23,$L$3:$N$13,3,FALSE)*D23</f>
        <v>1.5</v>
      </c>
      <c r="F23" s="2">
        <v>0</v>
      </c>
      <c r="G23" s="2">
        <f t="shared" ref="G23:G33" si="9">VLOOKUP(C23,$L$2:$N$13,2,FALSE)*F23</f>
        <v>0</v>
      </c>
      <c r="H23" s="2">
        <f>0.75*0.25</f>
        <v>0.1875</v>
      </c>
      <c r="I23" s="2">
        <f t="shared" ref="I23:I28" si="10">VLOOKUP(C23,$L$3:$N$13,3,FALSE)*H23</f>
        <v>0.140625</v>
      </c>
      <c r="J23" s="2">
        <f t="shared" si="7"/>
        <v>4.640625</v>
      </c>
    </row>
    <row r="24" spans="1:11">
      <c r="A24" s="3" t="s">
        <v>13</v>
      </c>
      <c r="B24" s="3">
        <v>3</v>
      </c>
      <c r="C24" s="3">
        <f>B24*(6/9)</f>
        <v>2</v>
      </c>
      <c r="D24" s="3">
        <v>0</v>
      </c>
      <c r="E24" s="3">
        <v>0</v>
      </c>
      <c r="F24" s="3">
        <v>2</v>
      </c>
      <c r="G24" s="2">
        <f t="shared" si="9"/>
        <v>1</v>
      </c>
      <c r="H24" s="3">
        <v>-3</v>
      </c>
      <c r="I24" s="3">
        <f>(2/9)*H24</f>
        <v>-0.66666666666666663</v>
      </c>
      <c r="J24" s="3">
        <f t="shared" si="7"/>
        <v>2.3333333333333335</v>
      </c>
    </row>
    <row r="25" spans="1:11">
      <c r="A25" s="2" t="s">
        <v>44</v>
      </c>
      <c r="B25" s="2">
        <v>3</v>
      </c>
      <c r="C25" s="2">
        <v>3</v>
      </c>
      <c r="D25" s="2">
        <v>1</v>
      </c>
      <c r="E25" s="2">
        <f t="shared" si="8"/>
        <v>0.75</v>
      </c>
      <c r="F25" s="2">
        <v>0</v>
      </c>
      <c r="G25" s="2">
        <f t="shared" si="9"/>
        <v>0</v>
      </c>
      <c r="H25" s="2">
        <f>4-3</f>
        <v>1</v>
      </c>
      <c r="I25" s="2">
        <f>(4*(1/9))-(C25*VLOOKUP(C25,$L$3:$N$13,2,FALSE))</f>
        <v>-0.30555555555555558</v>
      </c>
      <c r="J25" s="2">
        <f t="shared" si="7"/>
        <v>3.4444444444444446</v>
      </c>
    </row>
    <row r="26" spans="1:11" s="3" customFormat="1">
      <c r="A26" s="4" t="s">
        <v>56</v>
      </c>
      <c r="B26" s="4">
        <v>2</v>
      </c>
      <c r="C26" s="4">
        <v>3.5</v>
      </c>
      <c r="D26" s="4">
        <v>0</v>
      </c>
      <c r="E26" s="4">
        <f t="shared" si="8"/>
        <v>0</v>
      </c>
      <c r="F26" s="4">
        <v>1</v>
      </c>
      <c r="G26" s="2">
        <f t="shared" si="9"/>
        <v>0.125</v>
      </c>
      <c r="H26" s="4">
        <v>0</v>
      </c>
      <c r="I26" s="4">
        <f t="shared" si="10"/>
        <v>0</v>
      </c>
      <c r="J26" s="4">
        <f t="shared" si="7"/>
        <v>3.625</v>
      </c>
    </row>
    <row r="27" spans="1:11" s="3" customFormat="1">
      <c r="A27" s="3" t="s">
        <v>41</v>
      </c>
      <c r="B27" s="3">
        <v>2</v>
      </c>
      <c r="C27" s="3">
        <v>2</v>
      </c>
      <c r="D27" s="3">
        <v>1</v>
      </c>
      <c r="E27" s="3">
        <f t="shared" si="8"/>
        <v>0.5</v>
      </c>
      <c r="F27" s="3">
        <v>0</v>
      </c>
      <c r="G27" s="2">
        <f t="shared" si="9"/>
        <v>0</v>
      </c>
      <c r="H27" s="3">
        <v>0.5</v>
      </c>
      <c r="I27" s="3">
        <v>0.5</v>
      </c>
      <c r="J27" s="3">
        <f t="shared" si="7"/>
        <v>3</v>
      </c>
    </row>
    <row r="28" spans="1:11">
      <c r="A28" s="2" t="s">
        <v>14</v>
      </c>
      <c r="B28" s="2">
        <v>1</v>
      </c>
      <c r="C28" s="2">
        <v>1</v>
      </c>
      <c r="D28" s="2">
        <v>1</v>
      </c>
      <c r="E28" s="2">
        <f t="shared" si="8"/>
        <v>0.25</v>
      </c>
      <c r="F28" s="2">
        <v>0</v>
      </c>
      <c r="G28" s="2">
        <f t="shared" si="9"/>
        <v>0</v>
      </c>
      <c r="H28" s="2">
        <v>3</v>
      </c>
      <c r="I28" s="2">
        <f t="shared" si="10"/>
        <v>0.75</v>
      </c>
      <c r="J28" s="2">
        <f t="shared" si="7"/>
        <v>2</v>
      </c>
    </row>
    <row r="29" spans="1:11" s="4" customFormat="1">
      <c r="A29" s="4" t="s">
        <v>15</v>
      </c>
      <c r="B29" s="4">
        <v>1</v>
      </c>
      <c r="C29" s="4">
        <v>1</v>
      </c>
      <c r="D29" s="4">
        <v>0</v>
      </c>
      <c r="E29" s="4">
        <f t="shared" si="8"/>
        <v>0</v>
      </c>
      <c r="F29" s="4">
        <v>0</v>
      </c>
      <c r="G29" s="2">
        <f t="shared" si="9"/>
        <v>0</v>
      </c>
      <c r="H29" s="4">
        <f>3-1</f>
        <v>2</v>
      </c>
      <c r="I29" s="4">
        <f>(VLOOKUP(C29,$L$3:$N$13,3,FALSE)*(C23))-VLOOKUP(C29,$L$3:$N$13,2,FALSE)</f>
        <v>0</v>
      </c>
      <c r="J29" s="4">
        <f t="shared" si="7"/>
        <v>1</v>
      </c>
    </row>
    <row r="30" spans="1:11">
      <c r="A30" s="2" t="s">
        <v>16</v>
      </c>
      <c r="B30" s="2">
        <v>0</v>
      </c>
      <c r="C30" s="2">
        <v>0</v>
      </c>
      <c r="D30" s="2">
        <v>0</v>
      </c>
      <c r="E30" s="2">
        <f t="shared" si="8"/>
        <v>0</v>
      </c>
      <c r="F30" s="2">
        <v>0</v>
      </c>
      <c r="G30" s="2">
        <f t="shared" si="9"/>
        <v>0</v>
      </c>
      <c r="H30" s="2">
        <v>4</v>
      </c>
      <c r="I30" s="2">
        <v>4</v>
      </c>
      <c r="J30" s="2">
        <f t="shared" si="7"/>
        <v>4</v>
      </c>
    </row>
    <row r="31" spans="1:11">
      <c r="A31" s="2" t="s">
        <v>17</v>
      </c>
      <c r="B31" s="2">
        <v>0</v>
      </c>
      <c r="C31" s="2">
        <v>2</v>
      </c>
      <c r="D31" s="2">
        <v>0</v>
      </c>
      <c r="E31" s="2">
        <f t="shared" si="8"/>
        <v>0</v>
      </c>
      <c r="F31" s="2">
        <v>0</v>
      </c>
      <c r="G31" s="2">
        <f t="shared" si="9"/>
        <v>0</v>
      </c>
      <c r="H31" s="2">
        <v>0</v>
      </c>
      <c r="I31" s="2">
        <f>VLOOKUP(C31,$L$3:$N$13,2,FALSE)*H31</f>
        <v>0</v>
      </c>
      <c r="J31" s="2">
        <f t="shared" si="7"/>
        <v>2</v>
      </c>
    </row>
    <row r="32" spans="1:11">
      <c r="A32" s="2" t="s">
        <v>18</v>
      </c>
      <c r="B32" s="2">
        <v>0</v>
      </c>
      <c r="C32" s="2">
        <v>0</v>
      </c>
      <c r="D32" s="2">
        <v>0</v>
      </c>
      <c r="E32" s="2">
        <f t="shared" si="8"/>
        <v>0</v>
      </c>
      <c r="F32" s="2">
        <v>0</v>
      </c>
      <c r="G32" s="2">
        <f t="shared" si="9"/>
        <v>0</v>
      </c>
      <c r="H32" s="2">
        <v>4</v>
      </c>
      <c r="I32" s="2">
        <v>4</v>
      </c>
      <c r="J32" s="2">
        <f t="shared" si="7"/>
        <v>4</v>
      </c>
      <c r="K32" s="2" t="s">
        <v>50</v>
      </c>
    </row>
    <row r="33" spans="1:11" s="4" customFormat="1">
      <c r="A33" s="3" t="s">
        <v>54</v>
      </c>
      <c r="B33" s="3">
        <v>0</v>
      </c>
      <c r="C33" s="3">
        <v>0</v>
      </c>
      <c r="D33" s="3">
        <v>0</v>
      </c>
      <c r="E33" s="3">
        <f t="shared" si="8"/>
        <v>0</v>
      </c>
      <c r="F33" s="3">
        <v>0</v>
      </c>
      <c r="G33" s="2">
        <f t="shared" si="9"/>
        <v>0</v>
      </c>
      <c r="H33" s="3">
        <v>0.5</v>
      </c>
      <c r="I33" s="3">
        <f>VLOOKUP(C33,$L$3:$N$13,2,FALSE)*H33</f>
        <v>0.47499999999999998</v>
      </c>
      <c r="J33" s="3">
        <f t="shared" si="7"/>
        <v>0.47499999999999998</v>
      </c>
      <c r="K33" s="4">
        <f>J33+J27+J24</f>
        <v>5.8083333333333336</v>
      </c>
    </row>
    <row r="35" spans="1:11">
      <c r="A35" s="1" t="s">
        <v>35</v>
      </c>
      <c r="B35" s="1">
        <f>SUM((B22:B33))</f>
        <v>19</v>
      </c>
      <c r="C35" s="1">
        <f t="shared" ref="C35:H35" si="11">SUM(C22:C33)</f>
        <v>21.5</v>
      </c>
      <c r="D35" s="1">
        <f t="shared" si="11"/>
        <v>5</v>
      </c>
      <c r="E35" s="1">
        <f t="shared" si="11"/>
        <v>3</v>
      </c>
      <c r="F35" s="1">
        <f t="shared" si="11"/>
        <v>3</v>
      </c>
      <c r="G35" s="1">
        <f t="shared" si="11"/>
        <v>1.125</v>
      </c>
      <c r="H35" s="1">
        <f t="shared" si="11"/>
        <v>14.1875</v>
      </c>
      <c r="I35" s="1">
        <f>SUM(I22:I33)</f>
        <v>10.693402777777777</v>
      </c>
      <c r="J35" s="1">
        <f>SUM(J22:J33)</f>
        <v>36.318402777777784</v>
      </c>
      <c r="K35" s="2">
        <f>J35-K33</f>
        <v>30.510069444444451</v>
      </c>
    </row>
    <row r="36" spans="1:11">
      <c r="A36" s="2" t="s">
        <v>46</v>
      </c>
      <c r="B36" s="2">
        <f t="shared" ref="B36:J36" si="12">AVERAGE(B22:B33)</f>
        <v>1.5833333333333333</v>
      </c>
      <c r="C36" s="2">
        <f t="shared" si="12"/>
        <v>1.7916666666666667</v>
      </c>
      <c r="D36" s="2">
        <f t="shared" si="12"/>
        <v>0.41666666666666669</v>
      </c>
      <c r="E36" s="2">
        <f t="shared" si="12"/>
        <v>0.25</v>
      </c>
      <c r="F36" s="2">
        <f t="shared" si="12"/>
        <v>0.25</v>
      </c>
      <c r="G36" s="2">
        <f t="shared" si="12"/>
        <v>9.375E-2</v>
      </c>
      <c r="H36" s="2">
        <f t="shared" si="12"/>
        <v>1.1822916666666667</v>
      </c>
      <c r="I36" s="2">
        <f t="shared" si="12"/>
        <v>0.8911168981481481</v>
      </c>
      <c r="J36" s="2">
        <f t="shared" si="12"/>
        <v>3.0265335648148155</v>
      </c>
      <c r="K36" s="2">
        <f>K35/9</f>
        <v>3.3900077160493836</v>
      </c>
    </row>
    <row r="39" spans="1:11">
      <c r="A39" s="1" t="s">
        <v>19</v>
      </c>
    </row>
    <row r="40" spans="1:11">
      <c r="A40" s="2" t="s">
        <v>20</v>
      </c>
      <c r="B40" s="2">
        <v>4</v>
      </c>
      <c r="C40" s="2">
        <v>4.5</v>
      </c>
      <c r="D40" s="2">
        <v>1</v>
      </c>
      <c r="E40" s="2">
        <f t="shared" ref="E40:E51" si="13">VLOOKUP(C40,$L$3:$N$13,3,FALSE)*D40</f>
        <v>0.92500000000000004</v>
      </c>
      <c r="F40" s="2">
        <v>0</v>
      </c>
      <c r="G40" s="4">
        <f t="shared" ref="G40:G42" si="14">VLOOKUP(C40,$L$2:$N$13,2,FALSE)*F40</f>
        <v>0</v>
      </c>
      <c r="H40" s="2">
        <v>0</v>
      </c>
      <c r="I40" s="2">
        <v>0</v>
      </c>
      <c r="J40" s="2">
        <f t="shared" ref="J40:J51" si="15">SUM(I40+G40+E40+C40)</f>
        <v>5.4249999999999998</v>
      </c>
    </row>
    <row r="41" spans="1:11">
      <c r="A41" s="2" t="s">
        <v>21</v>
      </c>
      <c r="B41" s="2">
        <v>4</v>
      </c>
      <c r="C41" s="2">
        <v>4</v>
      </c>
      <c r="D41" s="2">
        <v>1</v>
      </c>
      <c r="E41" s="2">
        <f t="shared" si="13"/>
        <v>0.9</v>
      </c>
      <c r="F41" s="2">
        <v>0</v>
      </c>
      <c r="G41" s="4">
        <f t="shared" si="14"/>
        <v>0</v>
      </c>
      <c r="H41" s="2">
        <f>4-2</f>
        <v>2</v>
      </c>
      <c r="I41" s="2">
        <v>2</v>
      </c>
      <c r="J41" s="2">
        <f t="shared" si="15"/>
        <v>6.9</v>
      </c>
    </row>
    <row r="42" spans="1:11">
      <c r="A42" s="2" t="s">
        <v>22</v>
      </c>
      <c r="B42" s="2">
        <v>3</v>
      </c>
      <c r="C42" s="2">
        <v>3</v>
      </c>
      <c r="D42" s="2">
        <v>1</v>
      </c>
      <c r="E42" s="2">
        <f t="shared" si="13"/>
        <v>0.75</v>
      </c>
      <c r="F42" s="2">
        <v>0</v>
      </c>
      <c r="G42" s="4">
        <f t="shared" si="14"/>
        <v>0</v>
      </c>
      <c r="H42" s="2">
        <f>$C$42+$E$42</f>
        <v>3.75</v>
      </c>
      <c r="I42" s="2">
        <f>($C$42+$E$42)*0.25</f>
        <v>0.9375</v>
      </c>
      <c r="J42" s="2">
        <f t="shared" si="15"/>
        <v>4.6875</v>
      </c>
    </row>
    <row r="43" spans="1:11">
      <c r="A43" s="2" t="s">
        <v>23</v>
      </c>
      <c r="B43" s="2">
        <v>2</v>
      </c>
      <c r="C43" s="2">
        <v>2</v>
      </c>
      <c r="D43" s="2">
        <v>0</v>
      </c>
      <c r="E43" s="2">
        <f t="shared" si="13"/>
        <v>0</v>
      </c>
      <c r="F43" s="2">
        <v>2</v>
      </c>
      <c r="G43" s="4">
        <f>VLOOKUP(C43,$L$2:$N$13,2,FALSE)*F43</f>
        <v>1</v>
      </c>
      <c r="H43" s="2">
        <v>0</v>
      </c>
      <c r="I43" s="2">
        <v>0</v>
      </c>
      <c r="J43" s="2">
        <f t="shared" si="15"/>
        <v>3</v>
      </c>
    </row>
    <row r="44" spans="1:11">
      <c r="A44" s="2" t="s">
        <v>24</v>
      </c>
      <c r="B44" s="2">
        <v>2</v>
      </c>
      <c r="C44" s="2">
        <v>2</v>
      </c>
      <c r="D44" s="2">
        <v>0</v>
      </c>
      <c r="E44" s="2">
        <f t="shared" si="13"/>
        <v>0</v>
      </c>
      <c r="F44" s="2">
        <v>0</v>
      </c>
      <c r="G44" s="4">
        <f t="shared" ref="G44:G51" si="16">VLOOKUP(C44,$L$2:$N$13,2,FALSE)*F44</f>
        <v>0</v>
      </c>
      <c r="H44" s="2">
        <v>4</v>
      </c>
      <c r="I44" s="2">
        <f>4*0.25</f>
        <v>1</v>
      </c>
      <c r="J44" s="2">
        <f t="shared" si="15"/>
        <v>3</v>
      </c>
    </row>
    <row r="45" spans="1:11">
      <c r="A45" s="2" t="s">
        <v>25</v>
      </c>
      <c r="B45" s="2">
        <v>2</v>
      </c>
      <c r="C45" s="2">
        <v>2</v>
      </c>
      <c r="D45" s="2">
        <v>0</v>
      </c>
      <c r="E45" s="2">
        <f t="shared" si="13"/>
        <v>0</v>
      </c>
      <c r="F45" s="2">
        <v>0</v>
      </c>
      <c r="G45" s="4">
        <f t="shared" si="16"/>
        <v>0</v>
      </c>
      <c r="H45" s="2">
        <v>2</v>
      </c>
      <c r="I45" s="2">
        <f t="shared" ref="I45:I48" si="17">VLOOKUP(C45,$L$3:$N$13,3,FALSE)*H45</f>
        <v>1</v>
      </c>
      <c r="J45" s="2">
        <f t="shared" si="15"/>
        <v>3</v>
      </c>
    </row>
    <row r="46" spans="1:11">
      <c r="A46" s="4" t="s">
        <v>36</v>
      </c>
      <c r="B46" s="4">
        <v>1</v>
      </c>
      <c r="C46" s="4">
        <v>1</v>
      </c>
      <c r="D46" s="4">
        <v>0</v>
      </c>
      <c r="E46" s="4">
        <f t="shared" si="13"/>
        <v>0</v>
      </c>
      <c r="F46" s="4">
        <v>1</v>
      </c>
      <c r="G46" s="4">
        <f t="shared" si="16"/>
        <v>0.75</v>
      </c>
      <c r="H46" s="4">
        <v>2</v>
      </c>
      <c r="I46" s="4">
        <f t="shared" si="17"/>
        <v>0.5</v>
      </c>
      <c r="J46" s="4">
        <f t="shared" si="15"/>
        <v>2.25</v>
      </c>
    </row>
    <row r="47" spans="1:11" s="3" customFormat="1">
      <c r="A47" s="3" t="s">
        <v>39</v>
      </c>
      <c r="B47" s="3">
        <v>1</v>
      </c>
      <c r="C47" s="3">
        <v>3.5</v>
      </c>
      <c r="D47" s="3">
        <v>0</v>
      </c>
      <c r="E47" s="3">
        <f t="shared" si="13"/>
        <v>0</v>
      </c>
      <c r="F47" s="3">
        <v>0</v>
      </c>
      <c r="G47" s="3">
        <f t="shared" si="16"/>
        <v>0</v>
      </c>
      <c r="H47" s="3">
        <v>0</v>
      </c>
      <c r="I47" s="3">
        <v>0</v>
      </c>
      <c r="J47" s="3">
        <f t="shared" si="15"/>
        <v>3.5</v>
      </c>
    </row>
    <row r="48" spans="1:11">
      <c r="A48" s="3" t="s">
        <v>26</v>
      </c>
      <c r="B48" s="3">
        <v>1</v>
      </c>
      <c r="C48" s="3">
        <v>1</v>
      </c>
      <c r="D48" s="3">
        <v>0</v>
      </c>
      <c r="E48" s="3">
        <f t="shared" si="13"/>
        <v>0</v>
      </c>
      <c r="F48" s="3">
        <v>0</v>
      </c>
      <c r="G48" s="3">
        <f t="shared" si="16"/>
        <v>0</v>
      </c>
      <c r="H48" s="3">
        <v>4</v>
      </c>
      <c r="I48" s="3">
        <f t="shared" si="17"/>
        <v>1</v>
      </c>
      <c r="J48" s="3">
        <f t="shared" si="15"/>
        <v>2</v>
      </c>
    </row>
    <row r="49" spans="1:11">
      <c r="A49" s="2" t="s">
        <v>27</v>
      </c>
      <c r="B49" s="2">
        <v>0</v>
      </c>
      <c r="C49" s="2">
        <v>1</v>
      </c>
      <c r="D49" s="2">
        <v>1</v>
      </c>
      <c r="E49" s="2">
        <f t="shared" si="13"/>
        <v>0.25</v>
      </c>
      <c r="F49" s="2">
        <v>0</v>
      </c>
      <c r="G49" s="4">
        <f t="shared" si="16"/>
        <v>0</v>
      </c>
      <c r="H49" s="2">
        <f>0.5-1</f>
        <v>-0.5</v>
      </c>
      <c r="I49" s="2">
        <f>H49*0.075</f>
        <v>-3.7499999999999999E-2</v>
      </c>
      <c r="J49" s="2">
        <f t="shared" si="15"/>
        <v>1.2124999999999999</v>
      </c>
    </row>
    <row r="50" spans="1:11" s="4" customFormat="1">
      <c r="A50" s="4" t="s">
        <v>55</v>
      </c>
      <c r="B50" s="4">
        <v>0</v>
      </c>
      <c r="C50" s="4">
        <v>0</v>
      </c>
      <c r="D50" s="4">
        <v>0</v>
      </c>
      <c r="E50" s="4">
        <f t="shared" si="13"/>
        <v>0</v>
      </c>
      <c r="F50" s="4">
        <v>0</v>
      </c>
      <c r="G50" s="4">
        <f t="shared" si="16"/>
        <v>0</v>
      </c>
      <c r="H50" s="4">
        <v>2</v>
      </c>
      <c r="I50" s="4">
        <f>(VLOOKUP(0,$L$3:$N$13,3,FALSE)*(2))+(VLOOKUP(C50,L3:N13,2,FALSE)*1)</f>
        <v>1.05</v>
      </c>
      <c r="J50" s="4">
        <f t="shared" si="15"/>
        <v>1.05</v>
      </c>
      <c r="K50" s="4" t="s">
        <v>50</v>
      </c>
    </row>
    <row r="51" spans="1:11" s="3" customFormat="1">
      <c r="A51" s="3" t="s">
        <v>40</v>
      </c>
      <c r="B51" s="3">
        <v>0</v>
      </c>
      <c r="C51" s="3">
        <v>0</v>
      </c>
      <c r="D51" s="3">
        <v>0</v>
      </c>
      <c r="E51" s="3">
        <f t="shared" si="13"/>
        <v>0</v>
      </c>
      <c r="F51" s="3">
        <v>0</v>
      </c>
      <c r="G51" s="3">
        <f t="shared" si="16"/>
        <v>0</v>
      </c>
      <c r="H51" s="3">
        <v>4</v>
      </c>
      <c r="I51" s="3">
        <v>4</v>
      </c>
      <c r="J51" s="3">
        <f t="shared" si="15"/>
        <v>4</v>
      </c>
      <c r="K51" s="4">
        <f>J51+J48+J47</f>
        <v>9.5</v>
      </c>
    </row>
    <row r="53" spans="1:11">
      <c r="A53" s="1" t="s">
        <v>35</v>
      </c>
      <c r="B53" s="1">
        <f>SUM((B39:B51))</f>
        <v>20</v>
      </c>
      <c r="C53" s="1">
        <f t="shared" ref="C53:J53" si="18">SUM(C39:C51)</f>
        <v>24</v>
      </c>
      <c r="D53" s="1">
        <f t="shared" si="18"/>
        <v>4</v>
      </c>
      <c r="E53" s="1">
        <f t="shared" si="18"/>
        <v>2.8250000000000002</v>
      </c>
      <c r="F53" s="1">
        <f t="shared" si="18"/>
        <v>3</v>
      </c>
      <c r="G53" s="1">
        <f t="shared" si="18"/>
        <v>1.75</v>
      </c>
      <c r="H53" s="1">
        <f t="shared" si="18"/>
        <v>23.25</v>
      </c>
      <c r="I53" s="1">
        <f t="shared" si="18"/>
        <v>11.45</v>
      </c>
      <c r="J53" s="1">
        <f t="shared" si="18"/>
        <v>40.024999999999999</v>
      </c>
      <c r="K53" s="2">
        <f>J53-K51</f>
        <v>30.524999999999999</v>
      </c>
    </row>
    <row r="54" spans="1:11">
      <c r="A54" s="2" t="s">
        <v>46</v>
      </c>
      <c r="B54" s="2">
        <f t="shared" ref="B54:J54" si="19">AVERAGE(B40:B51)</f>
        <v>1.6666666666666667</v>
      </c>
      <c r="C54" s="2">
        <f t="shared" si="19"/>
        <v>2</v>
      </c>
      <c r="D54" s="2">
        <f t="shared" si="19"/>
        <v>0.33333333333333331</v>
      </c>
      <c r="E54" s="2">
        <f t="shared" si="19"/>
        <v>0.23541666666666669</v>
      </c>
      <c r="F54" s="2">
        <f t="shared" si="19"/>
        <v>0.25</v>
      </c>
      <c r="G54" s="2">
        <f t="shared" si="19"/>
        <v>0.14583333333333334</v>
      </c>
      <c r="H54" s="2">
        <f t="shared" si="19"/>
        <v>1.9375</v>
      </c>
      <c r="I54" s="2">
        <f t="shared" si="19"/>
        <v>0.95416666666666661</v>
      </c>
      <c r="J54" s="2">
        <f t="shared" si="19"/>
        <v>3.3354166666666667</v>
      </c>
      <c r="K54" s="2">
        <f>K53/9</f>
        <v>3.3916666666666666</v>
      </c>
    </row>
    <row r="56" spans="1:11">
      <c r="A56" s="1" t="s">
        <v>57</v>
      </c>
    </row>
    <row r="57" spans="1:11">
      <c r="A57" s="2" t="s">
        <v>58</v>
      </c>
      <c r="B57" s="2">
        <v>4</v>
      </c>
      <c r="C57" s="2">
        <v>4.5</v>
      </c>
      <c r="D57" s="2">
        <v>0</v>
      </c>
      <c r="E57" s="2">
        <f>VLOOKUP(C57,$L$3:$N$13,3,FALSE)*D57</f>
        <v>0</v>
      </c>
      <c r="F57" s="2">
        <v>0</v>
      </c>
      <c r="G57" s="8">
        <f>VLOOKUP(C57,$L$3:$N$13,2,FALSE)*F57</f>
        <v>0</v>
      </c>
      <c r="H57" s="2">
        <v>-2</v>
      </c>
      <c r="I57" s="2">
        <f>-2*0.075</f>
        <v>-0.15</v>
      </c>
      <c r="J57" s="2">
        <f>SUM(C57+E57+G57+I57)</f>
        <v>4.3499999999999996</v>
      </c>
    </row>
    <row r="58" spans="1:11">
      <c r="A58" s="2" t="s">
        <v>59</v>
      </c>
      <c r="B58" s="2">
        <v>3</v>
      </c>
      <c r="C58" s="2">
        <v>5</v>
      </c>
      <c r="D58" s="2">
        <v>0</v>
      </c>
      <c r="E58" s="2">
        <f t="shared" ref="E58:E65" si="20">VLOOKUP(C58,$L$3:$N$13,3,FALSE)*D58</f>
        <v>0</v>
      </c>
      <c r="F58" s="2">
        <v>0</v>
      </c>
      <c r="G58" s="8">
        <f t="shared" ref="G58:G65" si="21">VLOOKUP(C58,$L$3:$N$13,2,FALSE)*F58</f>
        <v>0</v>
      </c>
      <c r="H58" s="2">
        <v>-4</v>
      </c>
      <c r="I58" s="2">
        <f>-4*0.05</f>
        <v>-0.2</v>
      </c>
      <c r="J58" s="2">
        <f t="shared" ref="J58:J65" si="22">SUM(C58+E58+G58+I58)</f>
        <v>4.8</v>
      </c>
    </row>
    <row r="59" spans="1:11">
      <c r="A59" s="2" t="s">
        <v>60</v>
      </c>
      <c r="B59" s="2">
        <v>3</v>
      </c>
      <c r="C59" s="2">
        <v>3</v>
      </c>
      <c r="D59" s="2">
        <v>1</v>
      </c>
      <c r="E59" s="2">
        <f t="shared" si="20"/>
        <v>0.75</v>
      </c>
      <c r="F59" s="2">
        <v>0</v>
      </c>
      <c r="G59" s="8">
        <f t="shared" si="21"/>
        <v>0</v>
      </c>
      <c r="H59" s="2">
        <v>2</v>
      </c>
      <c r="I59" s="2">
        <f>2*0.75</f>
        <v>1.5</v>
      </c>
      <c r="J59" s="2">
        <f t="shared" si="22"/>
        <v>5.25</v>
      </c>
    </row>
    <row r="60" spans="1:11">
      <c r="A60" s="2" t="s">
        <v>61</v>
      </c>
      <c r="B60" s="2">
        <v>2</v>
      </c>
      <c r="C60" s="2">
        <v>3</v>
      </c>
      <c r="D60" s="2">
        <v>1</v>
      </c>
      <c r="E60" s="2">
        <f t="shared" si="20"/>
        <v>0.75</v>
      </c>
      <c r="F60" s="2">
        <v>0</v>
      </c>
      <c r="G60" s="8">
        <f t="shared" si="21"/>
        <v>0</v>
      </c>
      <c r="H60" s="2">
        <v>0</v>
      </c>
      <c r="I60" s="2">
        <v>0</v>
      </c>
      <c r="J60" s="2">
        <f t="shared" si="22"/>
        <v>3.75</v>
      </c>
    </row>
    <row r="61" spans="1:11">
      <c r="A61" s="2" t="s">
        <v>62</v>
      </c>
      <c r="B61" s="2">
        <v>2</v>
      </c>
      <c r="C61" s="2">
        <v>3</v>
      </c>
      <c r="D61" s="2">
        <v>0</v>
      </c>
      <c r="E61" s="2">
        <f t="shared" si="20"/>
        <v>0</v>
      </c>
      <c r="F61" s="2">
        <v>1</v>
      </c>
      <c r="G61" s="8">
        <f t="shared" si="21"/>
        <v>0.25</v>
      </c>
      <c r="H61" s="2">
        <v>0</v>
      </c>
      <c r="I61" s="2">
        <v>0</v>
      </c>
      <c r="J61" s="2">
        <f t="shared" si="22"/>
        <v>3.25</v>
      </c>
    </row>
    <row r="62" spans="1:11">
      <c r="A62" s="2" t="s">
        <v>63</v>
      </c>
      <c r="B62" s="2">
        <v>1</v>
      </c>
      <c r="C62" s="2">
        <v>1</v>
      </c>
      <c r="D62" s="2">
        <v>0</v>
      </c>
      <c r="E62" s="2">
        <f t="shared" si="20"/>
        <v>0</v>
      </c>
      <c r="F62" s="2">
        <v>0</v>
      </c>
      <c r="G62" s="8">
        <f t="shared" si="21"/>
        <v>0</v>
      </c>
      <c r="H62" s="2">
        <v>3</v>
      </c>
      <c r="I62" s="2">
        <f>3*0.25</f>
        <v>0.75</v>
      </c>
      <c r="J62" s="2">
        <f t="shared" si="22"/>
        <v>1.75</v>
      </c>
    </row>
    <row r="63" spans="1:11">
      <c r="A63" s="2" t="s">
        <v>64</v>
      </c>
      <c r="B63" s="2">
        <v>1</v>
      </c>
      <c r="C63" s="2">
        <v>1</v>
      </c>
      <c r="D63" s="2">
        <v>0</v>
      </c>
      <c r="E63" s="2">
        <f t="shared" si="20"/>
        <v>0</v>
      </c>
      <c r="F63" s="2">
        <v>1</v>
      </c>
      <c r="G63" s="8">
        <f t="shared" si="21"/>
        <v>0.75</v>
      </c>
      <c r="H63" s="2">
        <v>2</v>
      </c>
      <c r="I63" s="2">
        <f>2*0.75</f>
        <v>1.5</v>
      </c>
      <c r="J63" s="2">
        <f t="shared" si="22"/>
        <v>3.25</v>
      </c>
    </row>
    <row r="64" spans="1:11">
      <c r="A64" s="2" t="s">
        <v>65</v>
      </c>
      <c r="B64" s="2">
        <v>1</v>
      </c>
      <c r="C64" s="2">
        <v>1</v>
      </c>
      <c r="D64" s="2">
        <v>2</v>
      </c>
      <c r="E64" s="2">
        <f t="shared" si="20"/>
        <v>0.5</v>
      </c>
      <c r="F64" s="2">
        <v>0</v>
      </c>
      <c r="G64" s="8">
        <f t="shared" si="21"/>
        <v>0</v>
      </c>
      <c r="H64" s="2">
        <v>2</v>
      </c>
      <c r="I64" s="2">
        <v>2</v>
      </c>
      <c r="J64" s="2">
        <f t="shared" si="22"/>
        <v>3.5</v>
      </c>
    </row>
    <row r="65" spans="1:11">
      <c r="A65" s="2" t="s">
        <v>66</v>
      </c>
      <c r="B65" s="2">
        <v>0</v>
      </c>
      <c r="C65" s="2">
        <v>0</v>
      </c>
      <c r="D65" s="2">
        <v>0</v>
      </c>
      <c r="E65" s="2">
        <f t="shared" si="20"/>
        <v>0</v>
      </c>
      <c r="F65" s="2">
        <v>0</v>
      </c>
      <c r="G65" s="8">
        <f t="shared" si="21"/>
        <v>0</v>
      </c>
      <c r="H65" s="2">
        <v>1</v>
      </c>
      <c r="I65" s="2">
        <v>1</v>
      </c>
      <c r="J65" s="2">
        <f t="shared" si="22"/>
        <v>1</v>
      </c>
    </row>
    <row r="67" spans="1:11">
      <c r="A67" s="1" t="s">
        <v>35</v>
      </c>
      <c r="B67" s="2">
        <f>SUM(B57:B65)</f>
        <v>17</v>
      </c>
      <c r="C67" s="2">
        <f t="shared" ref="C67:J67" si="23">SUM(C57:C65)</f>
        <v>21.5</v>
      </c>
      <c r="D67" s="2">
        <f t="shared" si="23"/>
        <v>4</v>
      </c>
      <c r="E67" s="2">
        <f t="shared" si="23"/>
        <v>2</v>
      </c>
      <c r="F67" s="2">
        <f t="shared" si="23"/>
        <v>2</v>
      </c>
      <c r="G67" s="2">
        <f t="shared" si="23"/>
        <v>1</v>
      </c>
      <c r="H67" s="2">
        <f t="shared" si="23"/>
        <v>4</v>
      </c>
      <c r="I67" s="2">
        <f t="shared" si="23"/>
        <v>6.4</v>
      </c>
      <c r="J67" s="2">
        <f t="shared" si="23"/>
        <v>30.9</v>
      </c>
      <c r="K67" s="2">
        <v>30.4</v>
      </c>
    </row>
    <row r="68" spans="1:11">
      <c r="A68" s="2" t="s">
        <v>46</v>
      </c>
      <c r="B68" s="2">
        <f>AVERAGE(B57:B65)</f>
        <v>1.8888888888888888</v>
      </c>
      <c r="C68" s="2">
        <f t="shared" ref="C68:J68" si="24">AVERAGE(C57:C65)</f>
        <v>2.3888888888888888</v>
      </c>
      <c r="D68" s="2">
        <f t="shared" si="24"/>
        <v>0.44444444444444442</v>
      </c>
      <c r="E68" s="2">
        <f t="shared" si="24"/>
        <v>0.22222222222222221</v>
      </c>
      <c r="F68" s="2">
        <f t="shared" si="24"/>
        <v>0.22222222222222221</v>
      </c>
      <c r="G68" s="2">
        <f t="shared" si="24"/>
        <v>0.1111111111111111</v>
      </c>
      <c r="H68" s="2">
        <f t="shared" si="24"/>
        <v>0.44444444444444442</v>
      </c>
      <c r="I68" s="2">
        <f t="shared" si="24"/>
        <v>0.71111111111111114</v>
      </c>
      <c r="J68" s="2">
        <f t="shared" si="24"/>
        <v>3.4333333333333331</v>
      </c>
      <c r="K68" s="2">
        <f>K67/9</f>
        <v>3.3777777777777778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Berger</dc:creator>
  <cp:lastModifiedBy>Jake Berger</cp:lastModifiedBy>
  <dcterms:created xsi:type="dcterms:W3CDTF">2017-02-11T01:50:34Z</dcterms:created>
  <dcterms:modified xsi:type="dcterms:W3CDTF">2017-07-12T22:26:18Z</dcterms:modified>
</cp:coreProperties>
</file>