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oshiba\Desktop\"/>
    </mc:Choice>
  </mc:AlternateContent>
  <xr:revisionPtr revIDLastSave="0" documentId="13_ncr:1_{09B9BFBF-B3E1-4A60-9197-9E213F8CBF51}" xr6:coauthVersionLast="47" xr6:coauthVersionMax="47" xr10:uidLastSave="{00000000-0000-0000-0000-000000000000}"/>
  <bookViews>
    <workbookView xWindow="-110" yWindow="-110" windowWidth="19420" windowHeight="10420" tabRatio="891" xr2:uid="{00000000-000D-0000-FFFF-FFFF00000000}"/>
  </bookViews>
  <sheets>
    <sheet name="Capa" sheetId="71" r:id="rId1"/>
    <sheet name="DR" sheetId="4" r:id="rId2"/>
    <sheet name="Balanço" sheetId="13" r:id="rId3"/>
    <sheet name="DR por Região" sheetId="20" r:id="rId4"/>
    <sheet name="OV Receitas" sheetId="60" r:id="rId5"/>
    <sheet name="OV Custos" sheetId="62" r:id="rId6"/>
    <sheet name="OV Balanço" sheetId="15" r:id="rId7"/>
    <sheet name="Rácios" sheetId="67" r:id="rId8"/>
    <sheet name="Custo de Capital" sheetId="68" r:id="rId9"/>
    <sheet name="FCF" sheetId="63" r:id="rId10"/>
    <sheet name="Modelo de Análise Relativa" sheetId="69" r:id="rId11"/>
    <sheet name="Modelo de Desconto de Dividendo" sheetId="61" r:id="rId12"/>
    <sheet name="Concorrentes ---&gt;" sheetId="70" r:id="rId13"/>
    <sheet name="Endesa" sheetId="64" r:id="rId14"/>
    <sheet name="Iberdrola" sheetId="66" r:id="rId15"/>
    <sheet name="Galp" sheetId="65" r:id="rId16"/>
  </sheets>
  <externalReferences>
    <externalReference r:id="rId17"/>
  </externalReferences>
  <definedNames>
    <definedName name="COMP">'[1]date input'!$C$5</definedName>
    <definedName name="CURP">'[1]date input'!$C$4</definedName>
    <definedName name="_xlnm.Print_Area" localSheetId="2">Balanço!$B$2:$V$50</definedName>
    <definedName name="_xlnm.Print_Area" localSheetId="1">DR!$B$2:$V$59</definedName>
    <definedName name="_xlnm.Print_Area" localSheetId="3">'DR por Região'!$B$2:$AI$165</definedName>
    <definedName name="_xlnm.Print_Area" localSheetId="9">FCF!$B$2:$U$30</definedName>
    <definedName name="_xlnm.Print_Area" localSheetId="6">'OV Balanço'!$B$2:$U$33</definedName>
    <definedName name="_xlnm.Print_Area" localSheetId="5">'OV Custos'!$B$2:$W$46</definedName>
    <definedName name="_xlnm.Print_Area" localSheetId="4">'OV Receitas'!$B$2:$AE$63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" i="15" l="1"/>
  <c r="B9" i="61"/>
  <c r="Q18" i="13" l="1"/>
  <c r="Q17" i="13" s="1"/>
  <c r="Q55" i="4"/>
  <c r="AA23" i="60"/>
  <c r="AA25" i="60"/>
  <c r="J49" i="67"/>
  <c r="J50" i="67"/>
  <c r="J54" i="67"/>
  <c r="J55" i="67"/>
  <c r="I49" i="67"/>
  <c r="I50" i="67"/>
  <c r="I54" i="67"/>
  <c r="I55" i="67"/>
  <c r="H49" i="67"/>
  <c r="H50" i="67"/>
  <c r="H54" i="67"/>
  <c r="H55" i="67"/>
  <c r="G49" i="67"/>
  <c r="G50" i="67"/>
  <c r="G54" i="67"/>
  <c r="G55" i="67"/>
  <c r="J41" i="67"/>
  <c r="J42" i="67"/>
  <c r="J43" i="67"/>
  <c r="J44" i="67"/>
  <c r="J45" i="67"/>
  <c r="I41" i="67"/>
  <c r="I42" i="67"/>
  <c r="I43" i="67"/>
  <c r="I44" i="67"/>
  <c r="I45" i="67"/>
  <c r="H41" i="67"/>
  <c r="H42" i="67"/>
  <c r="H43" i="67"/>
  <c r="H44" i="67"/>
  <c r="H45" i="67"/>
  <c r="G41" i="67"/>
  <c r="G42" i="67"/>
  <c r="G43" i="67"/>
  <c r="G44" i="67"/>
  <c r="G45" i="67"/>
  <c r="J35" i="67"/>
  <c r="J36" i="67"/>
  <c r="J37" i="67"/>
  <c r="I35" i="67"/>
  <c r="I36" i="67"/>
  <c r="I37" i="67"/>
  <c r="H35" i="67"/>
  <c r="H36" i="67"/>
  <c r="H37" i="67"/>
  <c r="G35" i="67"/>
  <c r="G36" i="67"/>
  <c r="G37" i="67"/>
  <c r="P43" i="13"/>
  <c r="E54" i="67"/>
  <c r="D54" i="67"/>
  <c r="C54" i="67"/>
  <c r="B54" i="67"/>
  <c r="O26" i="67"/>
  <c r="B26" i="67"/>
  <c r="C26" i="67"/>
  <c r="D26" i="67"/>
  <c r="E26" i="67"/>
  <c r="F26" i="67"/>
  <c r="G26" i="67"/>
  <c r="H26" i="67"/>
  <c r="I26" i="67"/>
  <c r="J26" i="67"/>
  <c r="K26" i="67"/>
  <c r="L26" i="67"/>
  <c r="M26" i="67"/>
  <c r="N26" i="67"/>
  <c r="O7" i="67"/>
  <c r="O8" i="67"/>
  <c r="O9" i="67"/>
  <c r="O13" i="67"/>
  <c r="O14" i="67"/>
  <c r="O15" i="67"/>
  <c r="O16" i="67"/>
  <c r="O17" i="67"/>
  <c r="O21" i="67"/>
  <c r="O22" i="67"/>
  <c r="O27" i="67"/>
  <c r="B7" i="67"/>
  <c r="C7" i="67"/>
  <c r="D7" i="67"/>
  <c r="E7" i="67"/>
  <c r="F7" i="67"/>
  <c r="G7" i="67"/>
  <c r="H7" i="67"/>
  <c r="I7" i="67"/>
  <c r="J7" i="67"/>
  <c r="K7" i="67"/>
  <c r="L7" i="67"/>
  <c r="M7" i="67"/>
  <c r="B8" i="67"/>
  <c r="C8" i="67"/>
  <c r="D8" i="67"/>
  <c r="E8" i="67"/>
  <c r="F8" i="67"/>
  <c r="G8" i="67"/>
  <c r="H8" i="67"/>
  <c r="I8" i="67"/>
  <c r="J8" i="67"/>
  <c r="K8" i="67"/>
  <c r="L8" i="67"/>
  <c r="M8" i="67"/>
  <c r="B9" i="67"/>
  <c r="C9" i="67"/>
  <c r="D9" i="67"/>
  <c r="E9" i="67"/>
  <c r="F9" i="67"/>
  <c r="G9" i="67"/>
  <c r="H9" i="67"/>
  <c r="I9" i="67"/>
  <c r="J9" i="67"/>
  <c r="K9" i="67"/>
  <c r="L9" i="67"/>
  <c r="M9" i="67"/>
  <c r="B13" i="67"/>
  <c r="C13" i="67"/>
  <c r="D13" i="67"/>
  <c r="E13" i="67"/>
  <c r="F13" i="67"/>
  <c r="G13" i="67"/>
  <c r="H13" i="67"/>
  <c r="I13" i="67"/>
  <c r="J13" i="67"/>
  <c r="K13" i="67"/>
  <c r="L13" i="67"/>
  <c r="M13" i="67"/>
  <c r="B14" i="67"/>
  <c r="C14" i="67"/>
  <c r="D14" i="67"/>
  <c r="E14" i="67"/>
  <c r="F14" i="67"/>
  <c r="G14" i="67"/>
  <c r="H14" i="67"/>
  <c r="I14" i="67"/>
  <c r="J14" i="67"/>
  <c r="K14" i="67"/>
  <c r="L14" i="67"/>
  <c r="M14" i="67"/>
  <c r="B15" i="67"/>
  <c r="C15" i="67"/>
  <c r="D15" i="67"/>
  <c r="E15" i="67"/>
  <c r="F15" i="67"/>
  <c r="G15" i="67"/>
  <c r="H15" i="67"/>
  <c r="I15" i="67"/>
  <c r="J15" i="67"/>
  <c r="K15" i="67"/>
  <c r="L15" i="67"/>
  <c r="M15" i="67"/>
  <c r="B16" i="67"/>
  <c r="C16" i="67"/>
  <c r="D16" i="67"/>
  <c r="E16" i="67"/>
  <c r="F16" i="67"/>
  <c r="G16" i="67"/>
  <c r="H16" i="67"/>
  <c r="I16" i="67"/>
  <c r="J16" i="67"/>
  <c r="K16" i="67"/>
  <c r="L16" i="67"/>
  <c r="M16" i="67"/>
  <c r="B17" i="67"/>
  <c r="C17" i="67"/>
  <c r="D17" i="67"/>
  <c r="E17" i="67"/>
  <c r="F17" i="67"/>
  <c r="G17" i="67"/>
  <c r="H17" i="67"/>
  <c r="I17" i="67"/>
  <c r="J17" i="67"/>
  <c r="K17" i="67"/>
  <c r="L17" i="67"/>
  <c r="M17" i="67"/>
  <c r="B21" i="67"/>
  <c r="C21" i="67"/>
  <c r="D21" i="67"/>
  <c r="E21" i="67"/>
  <c r="F21" i="67"/>
  <c r="G21" i="67"/>
  <c r="H21" i="67"/>
  <c r="I21" i="67"/>
  <c r="J21" i="67"/>
  <c r="K21" i="67"/>
  <c r="L21" i="67"/>
  <c r="M21" i="67"/>
  <c r="B22" i="67"/>
  <c r="C22" i="67"/>
  <c r="D22" i="67"/>
  <c r="E22" i="67"/>
  <c r="F22" i="67"/>
  <c r="G22" i="67"/>
  <c r="H22" i="67"/>
  <c r="I22" i="67"/>
  <c r="J22" i="67"/>
  <c r="K22" i="67"/>
  <c r="L22" i="67"/>
  <c r="M22" i="67"/>
  <c r="B27" i="67"/>
  <c r="C27" i="67"/>
  <c r="D27" i="67"/>
  <c r="E27" i="67"/>
  <c r="F27" i="67"/>
  <c r="G27" i="67"/>
  <c r="H27" i="67"/>
  <c r="I27" i="67"/>
  <c r="J27" i="67"/>
  <c r="K27" i="67"/>
  <c r="L27" i="67"/>
  <c r="M27" i="67"/>
  <c r="N27" i="67"/>
  <c r="N22" i="67"/>
  <c r="N21" i="67"/>
  <c r="N17" i="67"/>
  <c r="N16" i="67"/>
  <c r="N15" i="67"/>
  <c r="N14" i="67"/>
  <c r="N13" i="67"/>
  <c r="N9" i="67"/>
  <c r="N8" i="67"/>
  <c r="N7" i="67"/>
  <c r="Q40" i="4"/>
  <c r="E40" i="4"/>
  <c r="F40" i="4"/>
  <c r="G40" i="4"/>
  <c r="H40" i="4"/>
  <c r="I40" i="4"/>
  <c r="J40" i="4"/>
  <c r="K40" i="4"/>
  <c r="L40" i="4"/>
  <c r="M40" i="4"/>
  <c r="N40" i="4"/>
  <c r="O40" i="4"/>
  <c r="P40" i="4"/>
  <c r="D40" i="4"/>
  <c r="R15" i="13"/>
  <c r="S15" i="13"/>
  <c r="T15" i="13"/>
  <c r="U15" i="13"/>
  <c r="Q15" i="13"/>
  <c r="R44" i="13"/>
  <c r="S46" i="13"/>
  <c r="T46" i="13"/>
  <c r="U46" i="13"/>
  <c r="R46" i="13"/>
  <c r="Q20" i="13"/>
  <c r="Q46" i="13"/>
  <c r="S44" i="13"/>
  <c r="U11" i="63"/>
  <c r="S17" i="15"/>
  <c r="T17" i="15"/>
  <c r="U17" i="15"/>
  <c r="Q17" i="15"/>
  <c r="C24" i="63"/>
  <c r="C23" i="63"/>
  <c r="C22" i="63"/>
  <c r="P2" i="61"/>
  <c r="B5" i="61"/>
  <c r="L2" i="61" s="1"/>
  <c r="M2" i="61" s="1"/>
  <c r="N2" i="61" s="1"/>
  <c r="O2" i="61" s="1"/>
  <c r="B7" i="61"/>
  <c r="J28" i="68"/>
  <c r="J25" i="68"/>
  <c r="J32" i="68"/>
  <c r="J31" i="68" s="1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C32" i="13"/>
  <c r="B15" i="69"/>
  <c r="B60" i="67"/>
  <c r="C59" i="67"/>
  <c r="C6" i="69" s="1"/>
  <c r="B14" i="69"/>
  <c r="B59" i="67"/>
  <c r="C62" i="67"/>
  <c r="C9" i="69" s="1"/>
  <c r="E62" i="67"/>
  <c r="E9" i="69" s="1"/>
  <c r="D62" i="67"/>
  <c r="D9" i="69" s="1"/>
  <c r="F9" i="69" l="1"/>
  <c r="E4" i="68"/>
  <c r="E5" i="68"/>
  <c r="E6" i="68"/>
  <c r="E7" i="68"/>
  <c r="E8" i="68"/>
  <c r="E9" i="68"/>
  <c r="E10" i="68"/>
  <c r="E11" i="68"/>
  <c r="E12" i="68"/>
  <c r="E13" i="68"/>
  <c r="E14" i="68"/>
  <c r="E15" i="68"/>
  <c r="E16" i="68"/>
  <c r="E17" i="68"/>
  <c r="E18" i="68"/>
  <c r="E19" i="68"/>
  <c r="E20" i="68"/>
  <c r="E21" i="68"/>
  <c r="E22" i="68"/>
  <c r="E23" i="68"/>
  <c r="E24" i="68"/>
  <c r="E25" i="68"/>
  <c r="E26" i="68"/>
  <c r="E27" i="68"/>
  <c r="E28" i="68"/>
  <c r="E29" i="68"/>
  <c r="E30" i="68"/>
  <c r="E31" i="68"/>
  <c r="E32" i="68"/>
  <c r="E33" i="68"/>
  <c r="E34" i="68"/>
  <c r="E35" i="68"/>
  <c r="E36" i="68"/>
  <c r="E37" i="68"/>
  <c r="E38" i="68"/>
  <c r="E39" i="68"/>
  <c r="E40" i="68"/>
  <c r="E41" i="68"/>
  <c r="E42" i="68"/>
  <c r="E43" i="68"/>
  <c r="E44" i="68"/>
  <c r="E45" i="68"/>
  <c r="E46" i="68"/>
  <c r="E47" i="68"/>
  <c r="E48" i="68"/>
  <c r="E49" i="68"/>
  <c r="E50" i="68"/>
  <c r="E51" i="68"/>
  <c r="E52" i="68"/>
  <c r="E53" i="68"/>
  <c r="E54" i="68"/>
  <c r="E55" i="68"/>
  <c r="E56" i="68"/>
  <c r="E57" i="68"/>
  <c r="E58" i="68"/>
  <c r="E59" i="68"/>
  <c r="E60" i="68"/>
  <c r="E61" i="68"/>
  <c r="E62" i="68"/>
  <c r="E63" i="68"/>
  <c r="E64" i="68"/>
  <c r="E65" i="68"/>
  <c r="E66" i="68"/>
  <c r="E67" i="68"/>
  <c r="E68" i="68"/>
  <c r="E69" i="68"/>
  <c r="E70" i="68"/>
  <c r="E71" i="68"/>
  <c r="E72" i="68"/>
  <c r="E73" i="68"/>
  <c r="E74" i="68"/>
  <c r="E75" i="68"/>
  <c r="E76" i="68"/>
  <c r="E77" i="68"/>
  <c r="E78" i="68"/>
  <c r="E79" i="68"/>
  <c r="E80" i="68"/>
  <c r="E81" i="68"/>
  <c r="E82" i="68"/>
  <c r="E83" i="68"/>
  <c r="E84" i="68"/>
  <c r="E85" i="68"/>
  <c r="E86" i="68"/>
  <c r="E87" i="68"/>
  <c r="E88" i="68"/>
  <c r="E89" i="68"/>
  <c r="E90" i="68"/>
  <c r="E91" i="68"/>
  <c r="E92" i="68"/>
  <c r="E93" i="68"/>
  <c r="E94" i="68"/>
  <c r="E95" i="68"/>
  <c r="E96" i="68"/>
  <c r="E97" i="68"/>
  <c r="E98" i="68"/>
  <c r="E99" i="68"/>
  <c r="E100" i="68"/>
  <c r="E101" i="68"/>
  <c r="E102" i="68"/>
  <c r="E103" i="68"/>
  <c r="E104" i="68"/>
  <c r="E105" i="68"/>
  <c r="E106" i="68"/>
  <c r="E107" i="68"/>
  <c r="E108" i="68"/>
  <c r="E109" i="68"/>
  <c r="E110" i="68"/>
  <c r="E111" i="68"/>
  <c r="E112" i="68"/>
  <c r="E113" i="68"/>
  <c r="E114" i="68"/>
  <c r="E115" i="68"/>
  <c r="E116" i="68"/>
  <c r="E117" i="68"/>
  <c r="E118" i="68"/>
  <c r="E119" i="68"/>
  <c r="E120" i="68"/>
  <c r="E121" i="68"/>
  <c r="E122" i="68"/>
  <c r="E123" i="68"/>
  <c r="E124" i="68"/>
  <c r="E125" i="68"/>
  <c r="E126" i="68"/>
  <c r="E127" i="68"/>
  <c r="E128" i="68"/>
  <c r="E129" i="68"/>
  <c r="E130" i="68"/>
  <c r="E131" i="68"/>
  <c r="E132" i="68"/>
  <c r="E133" i="68"/>
  <c r="E134" i="68"/>
  <c r="E135" i="68"/>
  <c r="E136" i="68"/>
  <c r="E137" i="68"/>
  <c r="E138" i="68"/>
  <c r="E139" i="68"/>
  <c r="E140" i="68"/>
  <c r="E141" i="68"/>
  <c r="E142" i="68"/>
  <c r="E143" i="68"/>
  <c r="E144" i="68"/>
  <c r="E145" i="68"/>
  <c r="E146" i="68"/>
  <c r="E147" i="68"/>
  <c r="E148" i="68"/>
  <c r="E149" i="68"/>
  <c r="E150" i="68"/>
  <c r="E151" i="68"/>
  <c r="E152" i="68"/>
  <c r="E153" i="68"/>
  <c r="E154" i="68"/>
  <c r="E155" i="68"/>
  <c r="E156" i="68"/>
  <c r="E157" i="68"/>
  <c r="E158" i="68"/>
  <c r="E159" i="68"/>
  <c r="E160" i="68"/>
  <c r="E161" i="68"/>
  <c r="E162" i="68"/>
  <c r="E163" i="68"/>
  <c r="E164" i="68"/>
  <c r="E165" i="68"/>
  <c r="E166" i="68"/>
  <c r="E167" i="68"/>
  <c r="E168" i="68"/>
  <c r="E169" i="68"/>
  <c r="E170" i="68"/>
  <c r="E171" i="68"/>
  <c r="E172" i="68"/>
  <c r="E173" i="68"/>
  <c r="E174" i="68"/>
  <c r="E175" i="68"/>
  <c r="E176" i="68"/>
  <c r="E177" i="68"/>
  <c r="E178" i="68"/>
  <c r="E179" i="68"/>
  <c r="E180" i="68"/>
  <c r="E181" i="68"/>
  <c r="E182" i="68"/>
  <c r="E183" i="68"/>
  <c r="E184" i="68"/>
  <c r="E185" i="68"/>
  <c r="E186" i="68"/>
  <c r="E187" i="68"/>
  <c r="E188" i="68"/>
  <c r="E189" i="68"/>
  <c r="E190" i="68"/>
  <c r="E191" i="68"/>
  <c r="E192" i="68"/>
  <c r="E193" i="68"/>
  <c r="E194" i="68"/>
  <c r="E195" i="68"/>
  <c r="E196" i="68"/>
  <c r="E197" i="68"/>
  <c r="E198" i="68"/>
  <c r="E199" i="68"/>
  <c r="E200" i="68"/>
  <c r="E201" i="68"/>
  <c r="E202" i="68"/>
  <c r="E203" i="68"/>
  <c r="E204" i="68"/>
  <c r="E205" i="68"/>
  <c r="E206" i="68"/>
  <c r="E207" i="68"/>
  <c r="E208" i="68"/>
  <c r="E209" i="68"/>
  <c r="E210" i="68"/>
  <c r="E211" i="68"/>
  <c r="E212" i="68"/>
  <c r="E213" i="68"/>
  <c r="E214" i="68"/>
  <c r="E215" i="68"/>
  <c r="E216" i="68"/>
  <c r="E217" i="68"/>
  <c r="E218" i="68"/>
  <c r="E219" i="68"/>
  <c r="E220" i="68"/>
  <c r="E221" i="68"/>
  <c r="E222" i="68"/>
  <c r="E223" i="68"/>
  <c r="E224" i="68"/>
  <c r="E225" i="68"/>
  <c r="E226" i="68"/>
  <c r="E227" i="68"/>
  <c r="E228" i="68"/>
  <c r="E229" i="68"/>
  <c r="E230" i="68"/>
  <c r="E231" i="68"/>
  <c r="E232" i="68"/>
  <c r="E233" i="68"/>
  <c r="E234" i="68"/>
  <c r="E235" i="68"/>
  <c r="E236" i="68"/>
  <c r="E237" i="68"/>
  <c r="E238" i="68"/>
  <c r="E239" i="68"/>
  <c r="E240" i="68"/>
  <c r="E241" i="68"/>
  <c r="E242" i="68"/>
  <c r="E243" i="68"/>
  <c r="E244" i="68"/>
  <c r="E245" i="68"/>
  <c r="E246" i="68"/>
  <c r="E247" i="68"/>
  <c r="E248" i="68"/>
  <c r="E249" i="68"/>
  <c r="E250" i="68"/>
  <c r="E251" i="68"/>
  <c r="E252" i="68"/>
  <c r="E253" i="68"/>
  <c r="E254" i="68"/>
  <c r="E255" i="68"/>
  <c r="E256" i="68"/>
  <c r="E257" i="68"/>
  <c r="E258" i="68"/>
  <c r="E3" i="68"/>
  <c r="C4" i="68"/>
  <c r="C5" i="68"/>
  <c r="C6" i="68"/>
  <c r="C7" i="68"/>
  <c r="C8" i="68"/>
  <c r="C9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22" i="68"/>
  <c r="C23" i="68"/>
  <c r="C24" i="68"/>
  <c r="C25" i="68"/>
  <c r="C26" i="68"/>
  <c r="C27" i="68"/>
  <c r="C28" i="68"/>
  <c r="C29" i="68"/>
  <c r="C30" i="68"/>
  <c r="C31" i="68"/>
  <c r="C32" i="68"/>
  <c r="C33" i="68"/>
  <c r="C34" i="68"/>
  <c r="C35" i="68"/>
  <c r="C36" i="68"/>
  <c r="C37" i="68"/>
  <c r="C38" i="68"/>
  <c r="C39" i="68"/>
  <c r="C40" i="68"/>
  <c r="C41" i="68"/>
  <c r="C42" i="68"/>
  <c r="C43" i="68"/>
  <c r="C44" i="68"/>
  <c r="C45" i="68"/>
  <c r="C46" i="68"/>
  <c r="C47" i="68"/>
  <c r="C48" i="68"/>
  <c r="C49" i="68"/>
  <c r="C50" i="68"/>
  <c r="C51" i="68"/>
  <c r="C52" i="68"/>
  <c r="C53" i="68"/>
  <c r="C54" i="68"/>
  <c r="C55" i="68"/>
  <c r="C56" i="68"/>
  <c r="C57" i="68"/>
  <c r="C58" i="68"/>
  <c r="C59" i="68"/>
  <c r="C60" i="68"/>
  <c r="C61" i="68"/>
  <c r="C62" i="68"/>
  <c r="C63" i="68"/>
  <c r="C64" i="68"/>
  <c r="C65" i="68"/>
  <c r="C66" i="68"/>
  <c r="C67" i="68"/>
  <c r="C68" i="68"/>
  <c r="C69" i="68"/>
  <c r="C70" i="68"/>
  <c r="C71" i="68"/>
  <c r="C72" i="68"/>
  <c r="C73" i="68"/>
  <c r="C74" i="68"/>
  <c r="C75" i="68"/>
  <c r="C76" i="68"/>
  <c r="C77" i="68"/>
  <c r="C78" i="68"/>
  <c r="C79" i="68"/>
  <c r="C80" i="68"/>
  <c r="C81" i="68"/>
  <c r="C82" i="68"/>
  <c r="C83" i="68"/>
  <c r="C84" i="68"/>
  <c r="C85" i="68"/>
  <c r="C86" i="68"/>
  <c r="C87" i="68"/>
  <c r="C88" i="68"/>
  <c r="C89" i="68"/>
  <c r="C90" i="68"/>
  <c r="C91" i="68"/>
  <c r="C92" i="68"/>
  <c r="C93" i="68"/>
  <c r="C94" i="68"/>
  <c r="C95" i="68"/>
  <c r="C96" i="68"/>
  <c r="C97" i="68"/>
  <c r="C98" i="68"/>
  <c r="C99" i="68"/>
  <c r="C100" i="68"/>
  <c r="C101" i="68"/>
  <c r="C102" i="68"/>
  <c r="C103" i="68"/>
  <c r="C104" i="68"/>
  <c r="C105" i="68"/>
  <c r="C106" i="68"/>
  <c r="C107" i="68"/>
  <c r="C108" i="68"/>
  <c r="C109" i="68"/>
  <c r="C110" i="68"/>
  <c r="C111" i="68"/>
  <c r="C112" i="68"/>
  <c r="C113" i="68"/>
  <c r="C114" i="68"/>
  <c r="C115" i="68"/>
  <c r="C116" i="68"/>
  <c r="C117" i="68"/>
  <c r="C118" i="68"/>
  <c r="C119" i="68"/>
  <c r="C120" i="68"/>
  <c r="C121" i="68"/>
  <c r="C122" i="68"/>
  <c r="C123" i="68"/>
  <c r="C124" i="68"/>
  <c r="C125" i="68"/>
  <c r="C126" i="68"/>
  <c r="C127" i="68"/>
  <c r="C128" i="68"/>
  <c r="C129" i="68"/>
  <c r="C130" i="68"/>
  <c r="C131" i="68"/>
  <c r="C132" i="68"/>
  <c r="C133" i="68"/>
  <c r="C134" i="68"/>
  <c r="C135" i="68"/>
  <c r="C136" i="68"/>
  <c r="C137" i="68"/>
  <c r="C138" i="68"/>
  <c r="C139" i="68"/>
  <c r="C140" i="68"/>
  <c r="C141" i="68"/>
  <c r="C142" i="68"/>
  <c r="C143" i="68"/>
  <c r="C144" i="68"/>
  <c r="C145" i="68"/>
  <c r="C146" i="68"/>
  <c r="C147" i="68"/>
  <c r="C148" i="68"/>
  <c r="C149" i="68"/>
  <c r="C150" i="68"/>
  <c r="C151" i="68"/>
  <c r="C152" i="68"/>
  <c r="C153" i="68"/>
  <c r="C154" i="68"/>
  <c r="C155" i="68"/>
  <c r="C156" i="68"/>
  <c r="C157" i="68"/>
  <c r="C158" i="68"/>
  <c r="C159" i="68"/>
  <c r="C160" i="68"/>
  <c r="C161" i="68"/>
  <c r="C162" i="68"/>
  <c r="C163" i="68"/>
  <c r="C164" i="68"/>
  <c r="C165" i="68"/>
  <c r="C166" i="68"/>
  <c r="C167" i="68"/>
  <c r="C168" i="68"/>
  <c r="C169" i="68"/>
  <c r="C170" i="68"/>
  <c r="C171" i="68"/>
  <c r="C172" i="68"/>
  <c r="C173" i="68"/>
  <c r="C174" i="68"/>
  <c r="C175" i="68"/>
  <c r="C176" i="68"/>
  <c r="C177" i="68"/>
  <c r="C178" i="68"/>
  <c r="C179" i="68"/>
  <c r="C180" i="68"/>
  <c r="C181" i="68"/>
  <c r="C182" i="68"/>
  <c r="C183" i="68"/>
  <c r="C184" i="68"/>
  <c r="C185" i="68"/>
  <c r="C186" i="68"/>
  <c r="C187" i="68"/>
  <c r="C188" i="68"/>
  <c r="C189" i="68"/>
  <c r="C190" i="68"/>
  <c r="C191" i="68"/>
  <c r="C192" i="68"/>
  <c r="C193" i="68"/>
  <c r="C194" i="68"/>
  <c r="C195" i="68"/>
  <c r="C196" i="68"/>
  <c r="C197" i="68"/>
  <c r="C198" i="68"/>
  <c r="C199" i="68"/>
  <c r="C200" i="68"/>
  <c r="C201" i="68"/>
  <c r="C202" i="68"/>
  <c r="C203" i="68"/>
  <c r="C204" i="68"/>
  <c r="C205" i="68"/>
  <c r="C206" i="68"/>
  <c r="C207" i="68"/>
  <c r="C208" i="68"/>
  <c r="C209" i="68"/>
  <c r="C210" i="68"/>
  <c r="C211" i="68"/>
  <c r="C212" i="68"/>
  <c r="C213" i="68"/>
  <c r="C214" i="68"/>
  <c r="C215" i="68"/>
  <c r="C216" i="68"/>
  <c r="C217" i="68"/>
  <c r="C218" i="68"/>
  <c r="C219" i="68"/>
  <c r="C220" i="68"/>
  <c r="C221" i="68"/>
  <c r="C222" i="68"/>
  <c r="C223" i="68"/>
  <c r="C224" i="68"/>
  <c r="C225" i="68"/>
  <c r="C226" i="68"/>
  <c r="C227" i="68"/>
  <c r="C228" i="68"/>
  <c r="C229" i="68"/>
  <c r="C230" i="68"/>
  <c r="C231" i="68"/>
  <c r="C232" i="68"/>
  <c r="C233" i="68"/>
  <c r="C234" i="68"/>
  <c r="C235" i="68"/>
  <c r="C236" i="68"/>
  <c r="C237" i="68"/>
  <c r="C238" i="68"/>
  <c r="C239" i="68"/>
  <c r="C240" i="68"/>
  <c r="C241" i="68"/>
  <c r="C242" i="68"/>
  <c r="C243" i="68"/>
  <c r="C244" i="68"/>
  <c r="C245" i="68"/>
  <c r="C246" i="68"/>
  <c r="C247" i="68"/>
  <c r="C248" i="68"/>
  <c r="C249" i="68"/>
  <c r="C250" i="68"/>
  <c r="C251" i="68"/>
  <c r="C252" i="68"/>
  <c r="C253" i="68"/>
  <c r="C254" i="68"/>
  <c r="C255" i="68"/>
  <c r="C256" i="68"/>
  <c r="C257" i="68"/>
  <c r="C258" i="68"/>
  <c r="C3" i="68"/>
  <c r="C61" i="67"/>
  <c r="C8" i="69" s="1"/>
  <c r="D61" i="67"/>
  <c r="D8" i="69" s="1"/>
  <c r="E61" i="67"/>
  <c r="E8" i="69" s="1"/>
  <c r="B61" i="67"/>
  <c r="E60" i="67"/>
  <c r="E7" i="69" s="1"/>
  <c r="D60" i="67"/>
  <c r="D7" i="69" s="1"/>
  <c r="C60" i="67"/>
  <c r="C7" i="69" s="1"/>
  <c r="E59" i="67"/>
  <c r="E6" i="69" s="1"/>
  <c r="F6" i="69" s="1"/>
  <c r="I6" i="69" s="1"/>
  <c r="D59" i="67"/>
  <c r="E55" i="67"/>
  <c r="D55" i="67"/>
  <c r="C55" i="67"/>
  <c r="E50" i="67"/>
  <c r="E49" i="67"/>
  <c r="D50" i="67"/>
  <c r="D49" i="67"/>
  <c r="C50" i="67"/>
  <c r="C49" i="67"/>
  <c r="B49" i="67"/>
  <c r="B50" i="67"/>
  <c r="E45" i="67"/>
  <c r="E44" i="67"/>
  <c r="E43" i="67"/>
  <c r="E42" i="67"/>
  <c r="E41" i="67"/>
  <c r="D45" i="67"/>
  <c r="D44" i="67"/>
  <c r="D41" i="67"/>
  <c r="D42" i="67"/>
  <c r="D43" i="67"/>
  <c r="D35" i="67"/>
  <c r="D36" i="67"/>
  <c r="D37" i="67"/>
  <c r="C45" i="67"/>
  <c r="C44" i="67"/>
  <c r="C43" i="67"/>
  <c r="C42" i="67"/>
  <c r="C41" i="67"/>
  <c r="B45" i="67"/>
  <c r="B44" i="67"/>
  <c r="E37" i="67"/>
  <c r="E36" i="67"/>
  <c r="E35" i="67"/>
  <c r="C37" i="67"/>
  <c r="C36" i="67"/>
  <c r="C35" i="67"/>
  <c r="F8" i="69" l="1"/>
  <c r="I8" i="69" s="1"/>
  <c r="F7" i="69"/>
  <c r="I7" i="69" s="1"/>
  <c r="B6" i="61"/>
  <c r="Q11" i="63" l="1"/>
  <c r="R11" i="63"/>
  <c r="S11" i="63"/>
  <c r="T11" i="63"/>
  <c r="E16" i="63"/>
  <c r="F16" i="63"/>
  <c r="G16" i="63"/>
  <c r="H16" i="63"/>
  <c r="I16" i="63"/>
  <c r="J16" i="63"/>
  <c r="K16" i="63"/>
  <c r="L16" i="63"/>
  <c r="M16" i="63"/>
  <c r="N16" i="63"/>
  <c r="O16" i="63"/>
  <c r="P16" i="63"/>
  <c r="D16" i="63"/>
  <c r="P17" i="13"/>
  <c r="D11" i="63"/>
  <c r="E11" i="63"/>
  <c r="F11" i="63"/>
  <c r="G11" i="63"/>
  <c r="H11" i="63"/>
  <c r="I11" i="63"/>
  <c r="J11" i="63"/>
  <c r="K11" i="63"/>
  <c r="L11" i="63"/>
  <c r="M11" i="63"/>
  <c r="N11" i="63"/>
  <c r="O11" i="63"/>
  <c r="P11" i="63"/>
  <c r="C11" i="63"/>
  <c r="D9" i="63"/>
  <c r="E9" i="63"/>
  <c r="F9" i="63"/>
  <c r="G9" i="63"/>
  <c r="H9" i="63"/>
  <c r="I9" i="63"/>
  <c r="J9" i="63"/>
  <c r="K9" i="63"/>
  <c r="L9" i="63"/>
  <c r="M9" i="63"/>
  <c r="N9" i="63"/>
  <c r="O9" i="63"/>
  <c r="P9" i="63"/>
  <c r="C9" i="63"/>
  <c r="D6" i="63"/>
  <c r="E6" i="63"/>
  <c r="F6" i="63"/>
  <c r="G6" i="63"/>
  <c r="H6" i="63"/>
  <c r="I6" i="63"/>
  <c r="J6" i="63"/>
  <c r="K6" i="63"/>
  <c r="L6" i="63"/>
  <c r="M6" i="63"/>
  <c r="N6" i="63"/>
  <c r="O6" i="63"/>
  <c r="P6" i="63"/>
  <c r="C6" i="63"/>
  <c r="S13" i="4"/>
  <c r="T13" i="4"/>
  <c r="U13" i="4"/>
  <c r="V13" i="4"/>
  <c r="R13" i="4"/>
  <c r="S12" i="4"/>
  <c r="T12" i="4"/>
  <c r="U12" i="4"/>
  <c r="V12" i="4"/>
  <c r="R12" i="4"/>
  <c r="S11" i="4"/>
  <c r="T11" i="4"/>
  <c r="U11" i="4"/>
  <c r="V11" i="4"/>
  <c r="R11" i="4"/>
  <c r="S4" i="4"/>
  <c r="T4" i="4"/>
  <c r="U4" i="4"/>
  <c r="V4" i="4"/>
  <c r="R4" i="4"/>
  <c r="S9" i="4"/>
  <c r="T9" i="4"/>
  <c r="U9" i="4"/>
  <c r="V9" i="4"/>
  <c r="R9" i="4"/>
  <c r="S8" i="4"/>
  <c r="S35" i="4" s="1"/>
  <c r="T8" i="4"/>
  <c r="T35" i="4" s="1"/>
  <c r="U8" i="4"/>
  <c r="U35" i="4" s="1"/>
  <c r="V8" i="4"/>
  <c r="V35" i="4" s="1"/>
  <c r="R8" i="4"/>
  <c r="R35" i="4" s="1"/>
  <c r="S7" i="4"/>
  <c r="S34" i="4" s="1"/>
  <c r="T7" i="4"/>
  <c r="T34" i="4" s="1"/>
  <c r="U7" i="4"/>
  <c r="U34" i="4" s="1"/>
  <c r="V7" i="4"/>
  <c r="V34" i="4" s="1"/>
  <c r="R7" i="4"/>
  <c r="R34" i="4" s="1"/>
  <c r="S6" i="4"/>
  <c r="S33" i="4" s="1"/>
  <c r="T6" i="4"/>
  <c r="T33" i="4" s="1"/>
  <c r="U6" i="4"/>
  <c r="U33" i="4" s="1"/>
  <c r="V6" i="4"/>
  <c r="V33" i="4" s="1"/>
  <c r="R6" i="4"/>
  <c r="R33" i="4" s="1"/>
  <c r="S5" i="4"/>
  <c r="S32" i="4" s="1"/>
  <c r="T5" i="4"/>
  <c r="T32" i="4" s="1"/>
  <c r="U5" i="4"/>
  <c r="U32" i="4" s="1"/>
  <c r="V5" i="4"/>
  <c r="V32" i="4" s="1"/>
  <c r="R5" i="4"/>
  <c r="R32" i="4" s="1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C49" i="4"/>
  <c r="E5" i="15"/>
  <c r="F5" i="15"/>
  <c r="G5" i="15"/>
  <c r="H5" i="15"/>
  <c r="I5" i="15"/>
  <c r="J5" i="15"/>
  <c r="K5" i="15"/>
  <c r="L5" i="15"/>
  <c r="M5" i="15"/>
  <c r="N5" i="15"/>
  <c r="O5" i="15"/>
  <c r="P5" i="15"/>
  <c r="D5" i="15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50" i="4"/>
  <c r="Q42" i="4"/>
  <c r="Q44" i="4"/>
  <c r="T44" i="4" s="1"/>
  <c r="D55" i="4"/>
  <c r="D8" i="63" s="1"/>
  <c r="D15" i="63" s="1"/>
  <c r="E55" i="4"/>
  <c r="E8" i="63" s="1"/>
  <c r="F55" i="4"/>
  <c r="F8" i="63" s="1"/>
  <c r="F15" i="63" s="1"/>
  <c r="G55" i="4"/>
  <c r="G8" i="63" s="1"/>
  <c r="G15" i="63" s="1"/>
  <c r="H55" i="4"/>
  <c r="H8" i="63" s="1"/>
  <c r="H15" i="63" s="1"/>
  <c r="I55" i="4"/>
  <c r="I8" i="63" s="1"/>
  <c r="I15" i="63" s="1"/>
  <c r="J55" i="4"/>
  <c r="J8" i="63" s="1"/>
  <c r="J15" i="63" s="1"/>
  <c r="K55" i="4"/>
  <c r="K8" i="63" s="1"/>
  <c r="K15" i="63" s="1"/>
  <c r="L55" i="4"/>
  <c r="L8" i="63" s="1"/>
  <c r="L15" i="63" s="1"/>
  <c r="M55" i="4"/>
  <c r="M8" i="63" s="1"/>
  <c r="M15" i="63" s="1"/>
  <c r="N55" i="4"/>
  <c r="N8" i="63" s="1"/>
  <c r="N15" i="63" s="1"/>
  <c r="O55" i="4"/>
  <c r="O8" i="63" s="1"/>
  <c r="O15" i="63" s="1"/>
  <c r="P55" i="4"/>
  <c r="P8" i="63" s="1"/>
  <c r="P15" i="63" s="1"/>
  <c r="C55" i="4"/>
  <c r="C8" i="63" s="1"/>
  <c r="C15" i="63" s="1"/>
  <c r="R24" i="15"/>
  <c r="S24" i="15"/>
  <c r="T24" i="15"/>
  <c r="U24" i="15"/>
  <c r="Q24" i="15"/>
  <c r="E29" i="15"/>
  <c r="E30" i="15" s="1"/>
  <c r="F29" i="15"/>
  <c r="G29" i="15"/>
  <c r="G30" i="15" s="1"/>
  <c r="H29" i="15"/>
  <c r="H30" i="15" s="1"/>
  <c r="I29" i="15"/>
  <c r="I30" i="15" s="1"/>
  <c r="J29" i="15"/>
  <c r="J30" i="15" s="1"/>
  <c r="K29" i="15"/>
  <c r="K30" i="15" s="1"/>
  <c r="L29" i="15"/>
  <c r="L30" i="15" s="1"/>
  <c r="M29" i="15"/>
  <c r="M30" i="15" s="1"/>
  <c r="N29" i="15"/>
  <c r="N30" i="15" s="1"/>
  <c r="O29" i="15"/>
  <c r="O30" i="15" s="1"/>
  <c r="P29" i="15"/>
  <c r="P30" i="15" s="1"/>
  <c r="D29" i="15"/>
  <c r="D30" i="15" s="1"/>
  <c r="F30" i="15"/>
  <c r="T28" i="62"/>
  <c r="U28" i="62"/>
  <c r="V28" i="62"/>
  <c r="W28" i="62"/>
  <c r="S28" i="62"/>
  <c r="W31" i="62"/>
  <c r="U31" i="62"/>
  <c r="V31" i="62"/>
  <c r="T31" i="62"/>
  <c r="S31" i="62"/>
  <c r="T37" i="62"/>
  <c r="U37" i="62"/>
  <c r="V37" i="62"/>
  <c r="W37" i="62"/>
  <c r="S37" i="62"/>
  <c r="T34" i="62"/>
  <c r="U34" i="62"/>
  <c r="V34" i="62"/>
  <c r="W34" i="62"/>
  <c r="S34" i="62"/>
  <c r="E29" i="62"/>
  <c r="I29" i="62"/>
  <c r="M29" i="62"/>
  <c r="D27" i="62"/>
  <c r="D28" i="62" s="1"/>
  <c r="Q28" i="62" s="1"/>
  <c r="E27" i="62"/>
  <c r="E28" i="62" s="1"/>
  <c r="F27" i="62"/>
  <c r="F28" i="62" s="1"/>
  <c r="F29" i="62" s="1"/>
  <c r="G27" i="62"/>
  <c r="G28" i="62" s="1"/>
  <c r="G29" i="62" s="1"/>
  <c r="H27" i="62"/>
  <c r="H28" i="62" s="1"/>
  <c r="H29" i="62" s="1"/>
  <c r="I27" i="62"/>
  <c r="I28" i="62" s="1"/>
  <c r="J27" i="62"/>
  <c r="J28" i="62" s="1"/>
  <c r="J29" i="62" s="1"/>
  <c r="K27" i="62"/>
  <c r="K28" i="62" s="1"/>
  <c r="K29" i="62" s="1"/>
  <c r="L27" i="62"/>
  <c r="L28" i="62" s="1"/>
  <c r="L29" i="62" s="1"/>
  <c r="M27" i="62"/>
  <c r="M28" i="62" s="1"/>
  <c r="N27" i="62"/>
  <c r="N28" i="62" s="1"/>
  <c r="N29" i="62" s="1"/>
  <c r="O27" i="62"/>
  <c r="O28" i="62" s="1"/>
  <c r="O29" i="62" s="1"/>
  <c r="P27" i="62"/>
  <c r="P28" i="62" s="1"/>
  <c r="P29" i="62" s="1"/>
  <c r="D30" i="62"/>
  <c r="D31" i="62" s="1"/>
  <c r="Q31" i="62" s="1"/>
  <c r="E30" i="62"/>
  <c r="E31" i="62" s="1"/>
  <c r="E32" i="62" s="1"/>
  <c r="F30" i="62"/>
  <c r="F31" i="62" s="1"/>
  <c r="F32" i="62" s="1"/>
  <c r="G30" i="62"/>
  <c r="G31" i="62" s="1"/>
  <c r="H30" i="62"/>
  <c r="H31" i="62" s="1"/>
  <c r="H32" i="62" s="1"/>
  <c r="I30" i="62"/>
  <c r="I31" i="62" s="1"/>
  <c r="I32" i="62" s="1"/>
  <c r="J30" i="62"/>
  <c r="J31" i="62" s="1"/>
  <c r="J32" i="62" s="1"/>
  <c r="K30" i="62"/>
  <c r="K31" i="62" s="1"/>
  <c r="L30" i="62"/>
  <c r="L31" i="62" s="1"/>
  <c r="L32" i="62" s="1"/>
  <c r="M30" i="62"/>
  <c r="M31" i="62" s="1"/>
  <c r="M32" i="62" s="1"/>
  <c r="N30" i="62"/>
  <c r="N31" i="62" s="1"/>
  <c r="N32" i="62" s="1"/>
  <c r="O30" i="62"/>
  <c r="O31" i="62" s="1"/>
  <c r="P30" i="62"/>
  <c r="P31" i="62" s="1"/>
  <c r="P32" i="62" s="1"/>
  <c r="D33" i="62"/>
  <c r="D34" i="62" s="1"/>
  <c r="Q34" i="62" s="1"/>
  <c r="E33" i="62"/>
  <c r="E34" i="62" s="1"/>
  <c r="E35" i="62" s="1"/>
  <c r="Q35" i="62" s="1"/>
  <c r="F33" i="62"/>
  <c r="F34" i="62" s="1"/>
  <c r="F35" i="62" s="1"/>
  <c r="G33" i="62"/>
  <c r="G34" i="62" s="1"/>
  <c r="G35" i="62" s="1"/>
  <c r="H33" i="62"/>
  <c r="H34" i="62" s="1"/>
  <c r="H35" i="62" s="1"/>
  <c r="I33" i="62"/>
  <c r="I34" i="62" s="1"/>
  <c r="I35" i="62" s="1"/>
  <c r="J33" i="62"/>
  <c r="J34" i="62" s="1"/>
  <c r="J35" i="62" s="1"/>
  <c r="K33" i="62"/>
  <c r="K34" i="62" s="1"/>
  <c r="K35" i="62" s="1"/>
  <c r="L33" i="62"/>
  <c r="L34" i="62" s="1"/>
  <c r="L35" i="62" s="1"/>
  <c r="M33" i="62"/>
  <c r="M34" i="62" s="1"/>
  <c r="M35" i="62" s="1"/>
  <c r="N33" i="62"/>
  <c r="N34" i="62" s="1"/>
  <c r="N35" i="62" s="1"/>
  <c r="O33" i="62"/>
  <c r="O34" i="62" s="1"/>
  <c r="O35" i="62" s="1"/>
  <c r="P33" i="62"/>
  <c r="P34" i="62" s="1"/>
  <c r="P35" i="62" s="1"/>
  <c r="D36" i="62"/>
  <c r="E36" i="62"/>
  <c r="F36" i="62"/>
  <c r="G36" i="62"/>
  <c r="H36" i="62"/>
  <c r="I36" i="62"/>
  <c r="J36" i="62"/>
  <c r="K36" i="62"/>
  <c r="L36" i="62"/>
  <c r="M36" i="62"/>
  <c r="N36" i="62"/>
  <c r="O36" i="62"/>
  <c r="P36" i="62"/>
  <c r="C30" i="62"/>
  <c r="C31" i="62" s="1"/>
  <c r="C33" i="62"/>
  <c r="C36" i="62"/>
  <c r="C27" i="62"/>
  <c r="C28" i="62" s="1"/>
  <c r="D29" i="62" s="1"/>
  <c r="Q29" i="62" s="1"/>
  <c r="AB30" i="60"/>
  <c r="AC30" i="60"/>
  <c r="AD30" i="60"/>
  <c r="AE30" i="60"/>
  <c r="AA30" i="60"/>
  <c r="AB29" i="60"/>
  <c r="AC29" i="60"/>
  <c r="AD29" i="60"/>
  <c r="AE29" i="60"/>
  <c r="AA29" i="60"/>
  <c r="AB28" i="60"/>
  <c r="AC28" i="60"/>
  <c r="AD28" i="60"/>
  <c r="AE28" i="60"/>
  <c r="AA28" i="60"/>
  <c r="AB27" i="60"/>
  <c r="AC27" i="60"/>
  <c r="AD27" i="60"/>
  <c r="AE27" i="60"/>
  <c r="AA27" i="60"/>
  <c r="AA26" i="60"/>
  <c r="AA15" i="60"/>
  <c r="AB22" i="60"/>
  <c r="AC22" i="60"/>
  <c r="AD22" i="60"/>
  <c r="AE22" i="60"/>
  <c r="AA22" i="60"/>
  <c r="AA20" i="60"/>
  <c r="AB16" i="60"/>
  <c r="AC16" i="60"/>
  <c r="AD16" i="60"/>
  <c r="AE16" i="60"/>
  <c r="AA16" i="60"/>
  <c r="AA14" i="60"/>
  <c r="AA10" i="60" s="1"/>
  <c r="AA8" i="60"/>
  <c r="D3" i="61"/>
  <c r="E3" i="61"/>
  <c r="F3" i="61"/>
  <c r="G3" i="61"/>
  <c r="H3" i="61"/>
  <c r="I3" i="61"/>
  <c r="J3" i="61"/>
  <c r="K3" i="61"/>
  <c r="C3" i="61"/>
  <c r="Q8" i="60"/>
  <c r="AD8" i="60" s="1"/>
  <c r="P19" i="60"/>
  <c r="O19" i="60"/>
  <c r="N19" i="60"/>
  <c r="M19" i="60"/>
  <c r="L19" i="60"/>
  <c r="K19" i="60"/>
  <c r="J19" i="60"/>
  <c r="I19" i="60"/>
  <c r="H19" i="60"/>
  <c r="G19" i="60"/>
  <c r="F19" i="60"/>
  <c r="E19" i="60"/>
  <c r="D7" i="60"/>
  <c r="E7" i="60"/>
  <c r="F7" i="60"/>
  <c r="G7" i="60"/>
  <c r="H7" i="60"/>
  <c r="I7" i="60"/>
  <c r="J7" i="60"/>
  <c r="K7" i="60"/>
  <c r="D13" i="60"/>
  <c r="Q19" i="60" s="1"/>
  <c r="E13" i="60"/>
  <c r="F13" i="60"/>
  <c r="G13" i="60"/>
  <c r="H13" i="60"/>
  <c r="I13" i="60"/>
  <c r="J13" i="60"/>
  <c r="K13" i="60"/>
  <c r="P13" i="60"/>
  <c r="O13" i="60"/>
  <c r="N13" i="60"/>
  <c r="M13" i="60"/>
  <c r="L13" i="60"/>
  <c r="Q13" i="60" s="1"/>
  <c r="L7" i="60"/>
  <c r="N7" i="60"/>
  <c r="O7" i="60"/>
  <c r="P7" i="60"/>
  <c r="M7" i="60"/>
  <c r="AA21" i="60"/>
  <c r="AB15" i="60"/>
  <c r="AA9" i="60"/>
  <c r="AE9" i="60" s="1"/>
  <c r="AE26" i="60" s="1"/>
  <c r="U30" i="60"/>
  <c r="V30" i="60"/>
  <c r="W30" i="60"/>
  <c r="X30" i="60"/>
  <c r="Y30" i="60"/>
  <c r="Z30" i="60"/>
  <c r="T30" i="60"/>
  <c r="P28" i="60"/>
  <c r="P30" i="60" s="1"/>
  <c r="O28" i="60"/>
  <c r="O30" i="60" s="1"/>
  <c r="N28" i="60"/>
  <c r="N30" i="60" s="1"/>
  <c r="M28" i="60"/>
  <c r="M30" i="60" s="1"/>
  <c r="L28" i="60"/>
  <c r="L30" i="60" s="1"/>
  <c r="K28" i="60"/>
  <c r="K30" i="60" s="1"/>
  <c r="J28" i="60"/>
  <c r="J30" i="60" s="1"/>
  <c r="I28" i="60"/>
  <c r="I30" i="60" s="1"/>
  <c r="H28" i="60"/>
  <c r="H30" i="60" s="1"/>
  <c r="G28" i="60"/>
  <c r="F28" i="60"/>
  <c r="F30" i="60" s="1"/>
  <c r="E28" i="60"/>
  <c r="E30" i="60" s="1"/>
  <c r="D28" i="60"/>
  <c r="D30" i="60" s="1"/>
  <c r="C28" i="60"/>
  <c r="C30" i="60" s="1"/>
  <c r="D43" i="13"/>
  <c r="E43" i="13"/>
  <c r="E44" i="13" s="1"/>
  <c r="F43" i="13"/>
  <c r="F44" i="13" s="1"/>
  <c r="G43" i="13"/>
  <c r="H43" i="13"/>
  <c r="H44" i="13" s="1"/>
  <c r="I43" i="13"/>
  <c r="I44" i="13" s="1"/>
  <c r="J43" i="13"/>
  <c r="J44" i="13" s="1"/>
  <c r="K43" i="13"/>
  <c r="L43" i="13"/>
  <c r="L44" i="13" s="1"/>
  <c r="M43" i="13"/>
  <c r="N43" i="13"/>
  <c r="N44" i="13" s="1"/>
  <c r="O43" i="13"/>
  <c r="D45" i="13"/>
  <c r="E45" i="13"/>
  <c r="E46" i="13" s="1"/>
  <c r="F45" i="13"/>
  <c r="G45" i="13"/>
  <c r="G46" i="13" s="1"/>
  <c r="H45" i="13"/>
  <c r="H46" i="13" s="1"/>
  <c r="I45" i="13"/>
  <c r="I46" i="13" s="1"/>
  <c r="J45" i="13"/>
  <c r="K45" i="13"/>
  <c r="K46" i="13" s="1"/>
  <c r="L45" i="13"/>
  <c r="L46" i="13" s="1"/>
  <c r="M45" i="13"/>
  <c r="M46" i="13" s="1"/>
  <c r="N45" i="13"/>
  <c r="O45" i="13"/>
  <c r="O46" i="13" s="1"/>
  <c r="P45" i="13"/>
  <c r="P46" i="13" s="1"/>
  <c r="C45" i="13"/>
  <c r="C43" i="13"/>
  <c r="D17" i="13"/>
  <c r="E17" i="13"/>
  <c r="E10" i="63" s="1"/>
  <c r="F17" i="13"/>
  <c r="F10" i="63" s="1"/>
  <c r="G17" i="13"/>
  <c r="H17" i="13"/>
  <c r="H10" i="63" s="1"/>
  <c r="I17" i="13"/>
  <c r="I10" i="63" s="1"/>
  <c r="J17" i="13"/>
  <c r="K10" i="63" s="1"/>
  <c r="K17" i="13"/>
  <c r="L17" i="13"/>
  <c r="L10" i="63" s="1"/>
  <c r="M17" i="13"/>
  <c r="M10" i="63" s="1"/>
  <c r="N17" i="13"/>
  <c r="O10" i="63" s="1"/>
  <c r="O17" i="13"/>
  <c r="C19" i="13"/>
  <c r="C17" i="13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P57" i="4" s="1"/>
  <c r="M38" i="4" l="1"/>
  <c r="M39" i="4" s="1"/>
  <c r="M57" i="4"/>
  <c r="I38" i="4"/>
  <c r="I39" i="4" s="1"/>
  <c r="I57" i="4"/>
  <c r="E38" i="4"/>
  <c r="E39" i="4" s="1"/>
  <c r="E57" i="4"/>
  <c r="L38" i="4"/>
  <c r="L39" i="4" s="1"/>
  <c r="L57" i="4"/>
  <c r="D38" i="4"/>
  <c r="D39" i="4" s="1"/>
  <c r="D57" i="4"/>
  <c r="O38" i="4"/>
  <c r="O39" i="4" s="1"/>
  <c r="O57" i="4"/>
  <c r="K38" i="4"/>
  <c r="K39" i="4" s="1"/>
  <c r="K57" i="4"/>
  <c r="G38" i="4"/>
  <c r="G39" i="4" s="1"/>
  <c r="G57" i="4"/>
  <c r="C38" i="4"/>
  <c r="C39" i="4" s="1"/>
  <c r="C57" i="4"/>
  <c r="H38" i="4"/>
  <c r="H39" i="4" s="1"/>
  <c r="H57" i="4"/>
  <c r="N38" i="4"/>
  <c r="N39" i="4" s="1"/>
  <c r="N57" i="4"/>
  <c r="J38" i="4"/>
  <c r="J39" i="4" s="1"/>
  <c r="J57" i="4"/>
  <c r="F38" i="4"/>
  <c r="F39" i="4" s="1"/>
  <c r="F57" i="4"/>
  <c r="P38" i="4"/>
  <c r="B62" i="67"/>
  <c r="B17" i="69"/>
  <c r="I9" i="69" s="1"/>
  <c r="B19" i="69" s="1"/>
  <c r="B43" i="67"/>
  <c r="B41" i="67"/>
  <c r="R44" i="4"/>
  <c r="D10" i="63"/>
  <c r="D13" i="63" s="1"/>
  <c r="D18" i="63" s="1"/>
  <c r="P10" i="63"/>
  <c r="P13" i="63" s="1"/>
  <c r="P18" i="63" s="1"/>
  <c r="B37" i="67"/>
  <c r="B35" i="67"/>
  <c r="B55" i="67"/>
  <c r="B36" i="67"/>
  <c r="G10" i="63"/>
  <c r="G13" i="63" s="1"/>
  <c r="G18" i="63" s="1"/>
  <c r="D46" i="13"/>
  <c r="M44" i="13"/>
  <c r="N10" i="63"/>
  <c r="J10" i="63"/>
  <c r="J13" i="63" s="1"/>
  <c r="J18" i="63" s="1"/>
  <c r="D44" i="13"/>
  <c r="N46" i="13"/>
  <c r="J46" i="13"/>
  <c r="F46" i="13"/>
  <c r="O44" i="13"/>
  <c r="K44" i="13"/>
  <c r="G44" i="13"/>
  <c r="C13" i="63"/>
  <c r="C18" i="63" s="1"/>
  <c r="E13" i="63"/>
  <c r="V31" i="4"/>
  <c r="V38" i="4" s="1"/>
  <c r="U31" i="4"/>
  <c r="U38" i="4" s="1"/>
  <c r="S44" i="4"/>
  <c r="T31" i="4"/>
  <c r="T38" i="4" s="1"/>
  <c r="S31" i="4"/>
  <c r="S38" i="4" s="1"/>
  <c r="V44" i="4"/>
  <c r="U44" i="4"/>
  <c r="O13" i="63"/>
  <c r="O18" i="63" s="1"/>
  <c r="K13" i="63"/>
  <c r="K18" i="63" s="1"/>
  <c r="E15" i="63"/>
  <c r="N13" i="63"/>
  <c r="N18" i="63" s="1"/>
  <c r="F13" i="63"/>
  <c r="F18" i="63" s="1"/>
  <c r="M13" i="63"/>
  <c r="M18" i="63" s="1"/>
  <c r="I13" i="63"/>
  <c r="I18" i="63" s="1"/>
  <c r="H13" i="63"/>
  <c r="H18" i="63" s="1"/>
  <c r="L13" i="63"/>
  <c r="L18" i="63" s="1"/>
  <c r="R31" i="4"/>
  <c r="R38" i="4" s="1"/>
  <c r="Q49" i="4"/>
  <c r="J29" i="68" s="1"/>
  <c r="N13" i="4"/>
  <c r="J35" i="68"/>
  <c r="M13" i="4"/>
  <c r="G13" i="4"/>
  <c r="I13" i="4"/>
  <c r="K13" i="4"/>
  <c r="F13" i="4"/>
  <c r="O13" i="4"/>
  <c r="J13" i="4"/>
  <c r="E13" i="4"/>
  <c r="Q5" i="15"/>
  <c r="R30" i="15"/>
  <c r="P44" i="13"/>
  <c r="O18" i="13"/>
  <c r="U30" i="15"/>
  <c r="T30" i="15"/>
  <c r="S30" i="15"/>
  <c r="Q30" i="15"/>
  <c r="Q29" i="15" s="1"/>
  <c r="P18" i="13"/>
  <c r="L18" i="13"/>
  <c r="H18" i="13"/>
  <c r="N20" i="13"/>
  <c r="J20" i="13"/>
  <c r="F20" i="13"/>
  <c r="K18" i="13"/>
  <c r="G18" i="13"/>
  <c r="E18" i="13"/>
  <c r="O20" i="13"/>
  <c r="K20" i="13"/>
  <c r="G20" i="13"/>
  <c r="N18" i="13"/>
  <c r="J18" i="13"/>
  <c r="F18" i="13"/>
  <c r="P20" i="13"/>
  <c r="L20" i="13"/>
  <c r="H20" i="13"/>
  <c r="D20" i="13"/>
  <c r="M18" i="13"/>
  <c r="I18" i="13"/>
  <c r="D18" i="13"/>
  <c r="M20" i="13"/>
  <c r="I20" i="13"/>
  <c r="E20" i="13"/>
  <c r="G32" i="62"/>
  <c r="D32" i="62"/>
  <c r="O32" i="62"/>
  <c r="K32" i="62"/>
  <c r="AA17" i="60"/>
  <c r="AB21" i="60"/>
  <c r="AE21" i="60"/>
  <c r="AD21" i="60"/>
  <c r="AC21" i="60"/>
  <c r="AB20" i="60"/>
  <c r="AC8" i="60"/>
  <c r="AB14" i="60"/>
  <c r="AD9" i="60"/>
  <c r="AA11" i="60"/>
  <c r="AB8" i="60"/>
  <c r="AA5" i="60"/>
  <c r="AC9" i="60"/>
  <c r="AC26" i="60" s="1"/>
  <c r="AD15" i="60"/>
  <c r="Q7" i="60"/>
  <c r="AE8" i="60"/>
  <c r="AE5" i="60" s="1"/>
  <c r="AB9" i="60"/>
  <c r="AB26" i="60" s="1"/>
  <c r="AC15" i="60"/>
  <c r="AE15" i="60"/>
  <c r="C13" i="4"/>
  <c r="P13" i="4"/>
  <c r="L13" i="4"/>
  <c r="H13" i="4"/>
  <c r="D13" i="4"/>
  <c r="G30" i="60"/>
  <c r="P39" i="4" l="1"/>
  <c r="B42" i="67"/>
  <c r="R16" i="13"/>
  <c r="S16" i="13"/>
  <c r="T16" i="13"/>
  <c r="Q16" i="13"/>
  <c r="U16" i="13"/>
  <c r="E18" i="63"/>
  <c r="Q44" i="13"/>
  <c r="S49" i="4"/>
  <c r="R49" i="4"/>
  <c r="V48" i="4"/>
  <c r="T49" i="4"/>
  <c r="S48" i="4"/>
  <c r="R48" i="4"/>
  <c r="U48" i="4"/>
  <c r="U49" i="4"/>
  <c r="T48" i="4"/>
  <c r="V49" i="4"/>
  <c r="Q28" i="15"/>
  <c r="R43" i="4"/>
  <c r="V55" i="4"/>
  <c r="U55" i="4"/>
  <c r="S55" i="4"/>
  <c r="T55" i="4"/>
  <c r="R55" i="4"/>
  <c r="T5" i="15"/>
  <c r="R5" i="15"/>
  <c r="S5" i="15"/>
  <c r="U5" i="15"/>
  <c r="Q4" i="15"/>
  <c r="Q22" i="15"/>
  <c r="Q43" i="13"/>
  <c r="R43" i="13" s="1"/>
  <c r="S43" i="13" s="1"/>
  <c r="T44" i="13"/>
  <c r="U44" i="13"/>
  <c r="R20" i="13"/>
  <c r="U20" i="13"/>
  <c r="S20" i="13"/>
  <c r="T20" i="13"/>
  <c r="S18" i="13"/>
  <c r="R18" i="13"/>
  <c r="T18" i="13"/>
  <c r="U18" i="13"/>
  <c r="Q32" i="62"/>
  <c r="AD5" i="60"/>
  <c r="AD26" i="60"/>
  <c r="AB10" i="60"/>
  <c r="AB11" i="60" s="1"/>
  <c r="AC20" i="60"/>
  <c r="AD20" i="60" s="1"/>
  <c r="AE20" i="60" s="1"/>
  <c r="AB17" i="60"/>
  <c r="AC5" i="60"/>
  <c r="AC14" i="60"/>
  <c r="AB5" i="60"/>
  <c r="R17" i="13" l="1"/>
  <c r="S17" i="13" s="1"/>
  <c r="T17" i="13" s="1"/>
  <c r="U17" i="13" s="1"/>
  <c r="R46" i="4"/>
  <c r="R52" i="4" s="1"/>
  <c r="R54" i="4" s="1"/>
  <c r="Q9" i="63"/>
  <c r="Q10" i="63"/>
  <c r="R4" i="15"/>
  <c r="S4" i="15" s="1"/>
  <c r="Q36" i="13"/>
  <c r="Q4" i="13"/>
  <c r="Q19" i="13" s="1"/>
  <c r="R29" i="15"/>
  <c r="R36" i="13"/>
  <c r="R16" i="63" s="1"/>
  <c r="T43" i="13"/>
  <c r="U43" i="13" s="1"/>
  <c r="AC10" i="60"/>
  <c r="AC11" i="60" s="1"/>
  <c r="AC17" i="60"/>
  <c r="AE17" i="60"/>
  <c r="AE25" i="60"/>
  <c r="AD17" i="60"/>
  <c r="AD14" i="60"/>
  <c r="AE14" i="60"/>
  <c r="R10" i="63" l="1"/>
  <c r="S10" i="63"/>
  <c r="R56" i="4"/>
  <c r="Q6" i="63" s="1"/>
  <c r="Q8" i="63"/>
  <c r="Q15" i="63" s="1"/>
  <c r="Q45" i="13"/>
  <c r="Q48" i="13" s="1"/>
  <c r="Q16" i="63"/>
  <c r="R28" i="15"/>
  <c r="S43" i="4"/>
  <c r="Q22" i="13"/>
  <c r="T4" i="15"/>
  <c r="S36" i="13"/>
  <c r="R22" i="15"/>
  <c r="AE23" i="60"/>
  <c r="AA4" i="60"/>
  <c r="AE10" i="60"/>
  <c r="AE11" i="60" s="1"/>
  <c r="AE4" i="60" s="1"/>
  <c r="AD10" i="60"/>
  <c r="AD11" i="60" s="1"/>
  <c r="Q31" i="13" l="1"/>
  <c r="T10" i="63"/>
  <c r="S46" i="4"/>
  <c r="S52" i="4" s="1"/>
  <c r="S54" i="4" s="1"/>
  <c r="R9" i="63"/>
  <c r="R45" i="13"/>
  <c r="R48" i="13" s="1"/>
  <c r="Q13" i="63"/>
  <c r="Q18" i="63" s="1"/>
  <c r="Q19" i="63" s="1"/>
  <c r="S16" i="63"/>
  <c r="U4" i="15"/>
  <c r="U36" i="13" s="1"/>
  <c r="T36" i="13"/>
  <c r="R4" i="13"/>
  <c r="R19" i="13" s="1"/>
  <c r="S29" i="15"/>
  <c r="T43" i="4" s="1"/>
  <c r="U10" i="63"/>
  <c r="AB25" i="60"/>
  <c r="S45" i="13" l="1"/>
  <c r="S48" i="13" s="1"/>
  <c r="T46" i="4"/>
  <c r="T52" i="4" s="1"/>
  <c r="T54" i="4" s="1"/>
  <c r="S9" i="63"/>
  <c r="U16" i="63"/>
  <c r="S56" i="4"/>
  <c r="R6" i="63" s="1"/>
  <c r="R8" i="63"/>
  <c r="R15" i="63" s="1"/>
  <c r="T16" i="63"/>
  <c r="S22" i="15"/>
  <c r="S28" i="15"/>
  <c r="R22" i="13"/>
  <c r="R31" i="13" s="1"/>
  <c r="AC25" i="60"/>
  <c r="AB23" i="60"/>
  <c r="AB4" i="60" s="1"/>
  <c r="T45" i="13" l="1"/>
  <c r="T56" i="4"/>
  <c r="S6" i="63" s="1"/>
  <c r="S8" i="63"/>
  <c r="S15" i="63" s="1"/>
  <c r="R13" i="63"/>
  <c r="R18" i="63" s="1"/>
  <c r="R19" i="63" s="1"/>
  <c r="T29" i="15"/>
  <c r="S4" i="13"/>
  <c r="S19" i="13" s="1"/>
  <c r="AD25" i="60"/>
  <c r="AD23" i="60" s="1"/>
  <c r="AD4" i="60" s="1"/>
  <c r="AC23" i="60"/>
  <c r="AC4" i="60" s="1"/>
  <c r="T48" i="13" l="1"/>
  <c r="U45" i="13"/>
  <c r="U48" i="13" s="1"/>
  <c r="S13" i="63"/>
  <c r="S18" i="63" s="1"/>
  <c r="S19" i="63" s="1"/>
  <c r="T22" i="15"/>
  <c r="U29" i="15" s="1"/>
  <c r="U43" i="4"/>
  <c r="S22" i="13"/>
  <c r="S31" i="13" s="1"/>
  <c r="T28" i="15"/>
  <c r="T4" i="13" l="1"/>
  <c r="T19" i="13" s="1"/>
  <c r="T22" i="13" s="1"/>
  <c r="T31" i="13" s="1"/>
  <c r="U46" i="4"/>
  <c r="U52" i="4" s="1"/>
  <c r="U54" i="4" s="1"/>
  <c r="T9" i="63"/>
  <c r="U22" i="15"/>
  <c r="U4" i="13" s="1"/>
  <c r="V43" i="4"/>
  <c r="U28" i="15"/>
  <c r="U19" i="13" l="1"/>
  <c r="U22" i="13" s="1"/>
  <c r="U31" i="13" s="1"/>
  <c r="V46" i="4"/>
  <c r="V52" i="4" s="1"/>
  <c r="U9" i="63"/>
  <c r="U56" i="4"/>
  <c r="T6" i="63" s="1"/>
  <c r="T8" i="63"/>
  <c r="T15" i="63" s="1"/>
  <c r="V54" i="4"/>
  <c r="V56" i="4" l="1"/>
  <c r="U6" i="63" s="1"/>
  <c r="U8" i="63"/>
  <c r="U15" i="63" s="1"/>
  <c r="T13" i="63"/>
  <c r="T18" i="63" s="1"/>
  <c r="T19" i="63" s="1"/>
  <c r="U13" i="63" l="1"/>
  <c r="U18" i="63" s="1"/>
  <c r="U19" i="63" s="1"/>
  <c r="C26" i="63" l="1"/>
  <c r="C27" i="63" s="1"/>
  <c r="C29" i="63" s="1"/>
</calcChain>
</file>

<file path=xl/sharedStrings.xml><?xml version="1.0" encoding="utf-8"?>
<sst xmlns="http://schemas.openxmlformats.org/spreadsheetml/2006/main" count="1057" uniqueCount="701">
  <si>
    <t>1Q21</t>
  </si>
  <si>
    <t>1H21</t>
  </si>
  <si>
    <t>9M21</t>
  </si>
  <si>
    <t>YE21</t>
  </si>
  <si>
    <t>1Q22</t>
  </si>
  <si>
    <t>1H22</t>
  </si>
  <si>
    <t>9M22</t>
  </si>
  <si>
    <t>YE22</t>
  </si>
  <si>
    <t>2Q21</t>
  </si>
  <si>
    <t>3Q21</t>
  </si>
  <si>
    <t>4Q21</t>
  </si>
  <si>
    <t>2Q22</t>
  </si>
  <si>
    <t>3Q22</t>
  </si>
  <si>
    <t>4Q22</t>
  </si>
  <si>
    <t>Revenues</t>
  </si>
  <si>
    <t>EBITDA</t>
  </si>
  <si>
    <t>EBITDA / Revenues</t>
  </si>
  <si>
    <t>EBIT</t>
  </si>
  <si>
    <t>Capex</t>
  </si>
  <si>
    <t>Equity</t>
  </si>
  <si>
    <t>Rents due from lease contracts</t>
  </si>
  <si>
    <t>Europe</t>
  </si>
  <si>
    <t>North America</t>
  </si>
  <si>
    <t>South America</t>
  </si>
  <si>
    <t>APAC</t>
  </si>
  <si>
    <t>Consolidated Income Statement (€m)</t>
  </si>
  <si>
    <t>Electricity sales and other</t>
  </si>
  <si>
    <t>Income from institutional partnerships</t>
  </si>
  <si>
    <t>Other operating income</t>
  </si>
  <si>
    <t>Operating costs</t>
  </si>
  <si>
    <t>Supplies and services</t>
  </si>
  <si>
    <t>Personnel costs</t>
  </si>
  <si>
    <t>Other operating costs</t>
  </si>
  <si>
    <t>Share of profit from associates</t>
  </si>
  <si>
    <t>EBITDA/Revenues</t>
  </si>
  <si>
    <t>Provisions</t>
  </si>
  <si>
    <t>Depreciation and amortisation</t>
  </si>
  <si>
    <t>Amortisation of deferred income (government grants)</t>
  </si>
  <si>
    <t>Financial income/(expense)</t>
  </si>
  <si>
    <t>Pre-tax profit</t>
  </si>
  <si>
    <t>Income taxes</t>
  </si>
  <si>
    <t>Profit of the period</t>
  </si>
  <si>
    <t>Non-controlling interests</t>
  </si>
  <si>
    <t>Assets (€m)</t>
  </si>
  <si>
    <t>Property, plant and equipment, net</t>
  </si>
  <si>
    <t>Right-of-use asset</t>
  </si>
  <si>
    <t>Intangible assets and goodwill, net</t>
  </si>
  <si>
    <t>Financial Investments, net</t>
  </si>
  <si>
    <t>Deferred tax asset</t>
  </si>
  <si>
    <t>Inventories</t>
  </si>
  <si>
    <t>Accounts receivable - trade, net</t>
  </si>
  <si>
    <t>Accounts receivable - other, net</t>
  </si>
  <si>
    <t>Financial assets at fair value through profit and loss</t>
  </si>
  <si>
    <t>Assets held for sale</t>
  </si>
  <si>
    <t>Collateral deposits</t>
  </si>
  <si>
    <t>Cash and cash equivalents</t>
  </si>
  <si>
    <t>Total Assets</t>
  </si>
  <si>
    <t>Equity (€m)</t>
  </si>
  <si>
    <t>Share capital + share premium</t>
  </si>
  <si>
    <t>Reserves and retained earnings</t>
  </si>
  <si>
    <t>Consolidated net profit attrib. to equity holders of the parent</t>
  </si>
  <si>
    <t>Total Equity</t>
  </si>
  <si>
    <t>Liabilities (€m)</t>
  </si>
  <si>
    <t>Financial Debt</t>
  </si>
  <si>
    <t>Institutional Partnership</t>
  </si>
  <si>
    <t>Deferred Tax liability</t>
  </si>
  <si>
    <t>Deferred revenues from institutional partnerships</t>
  </si>
  <si>
    <t>Other liabilities</t>
  </si>
  <si>
    <t>Total Liabilities</t>
  </si>
  <si>
    <t>Total Equity and Liabilities</t>
  </si>
  <si>
    <t>Property, Plant &amp; Equipment - PP&amp;E (€m)</t>
  </si>
  <si>
    <t>Property, Plant &amp; Equipment (net)</t>
  </si>
  <si>
    <t>(-) PP&amp;E assets under construction</t>
  </si>
  <si>
    <t>(=) PP&amp;E existing assets (net)</t>
  </si>
  <si>
    <t>(+) Accumulated Depreciation</t>
  </si>
  <si>
    <t>(-) Government Grants</t>
  </si>
  <si>
    <t>(=) Invested capital on existing assets</t>
  </si>
  <si>
    <t>Capex (€m)</t>
  </si>
  <si>
    <t>Other</t>
  </si>
  <si>
    <t>Total Capex</t>
  </si>
  <si>
    <t>Cash-Flow (€m)</t>
  </si>
  <si>
    <t>Change in working capital</t>
  </si>
  <si>
    <t>Income Statement (€m)</t>
  </si>
  <si>
    <t>Income Statement (US$m)</t>
  </si>
  <si>
    <t>Income from Institutional Partnerships</t>
  </si>
  <si>
    <t>USD/EUR exchange at the end of the period</t>
  </si>
  <si>
    <t>Avg. USD/EUR exchange rate for the period</t>
  </si>
  <si>
    <t>Income Statement (R$m)</t>
  </si>
  <si>
    <t>R$/EUR exchange end of period</t>
  </si>
  <si>
    <t>Avg. R$/EUR exchange rate for the period</t>
  </si>
  <si>
    <t>-</t>
  </si>
  <si>
    <t>Note: In Europe, EDPR hedges its exposure to pool prices in Spain, Poland and Romania. Such hedges are accounted at the European platform level under Other/Adj. until 2021. From 2022 onwards, hedges are allocated in the P&amp;L of the country. For analysis porpuses, 2021 figures were amended.</t>
  </si>
  <si>
    <t>Non-cash items adjustments3</t>
  </si>
  <si>
    <t>Investment Activity</t>
  </si>
  <si>
    <t>Note: South America - From 2022 onwards, Colombia and Chile will be included into the South America platform. For analysis porpuses, past reported figures were amended.</t>
  </si>
  <si>
    <t>Cash-Flow historic</t>
  </si>
  <si>
    <t>Operating Costs</t>
  </si>
  <si>
    <t>Operating Income</t>
  </si>
  <si>
    <t>EUROPE</t>
  </si>
  <si>
    <t>NORTH AMERICA</t>
  </si>
  <si>
    <t>SOUTH AMERICA</t>
  </si>
  <si>
    <t>Total Current Assets</t>
  </si>
  <si>
    <t>Total Non-Current Assets</t>
  </si>
  <si>
    <t>Total Current Liabilities</t>
  </si>
  <si>
    <t>Total Non-Current Liabilities</t>
  </si>
  <si>
    <t>Intsalled Capacity</t>
  </si>
  <si>
    <t>Intsalled Capacity (MW)</t>
  </si>
  <si>
    <t>Electricity Output (GW)</t>
  </si>
  <si>
    <t>Averaged Selling Price (€/MWh)</t>
  </si>
  <si>
    <t>Averaged Selling Price ($/MWh)</t>
  </si>
  <si>
    <t>Averaged Selling Price (R$/MWh)</t>
  </si>
  <si>
    <t>Taxa de Crescimento %</t>
  </si>
  <si>
    <t>Média</t>
  </si>
  <si>
    <t>Dividens per Share</t>
  </si>
  <si>
    <t>Taxa de Crescimento</t>
  </si>
  <si>
    <t>Custo de Capital Próprio</t>
  </si>
  <si>
    <t>North America in euros</t>
  </si>
  <si>
    <t>Margem Bruta %</t>
  </si>
  <si>
    <t>Depreciation</t>
  </si>
  <si>
    <t>Taxa de Depreciação</t>
  </si>
  <si>
    <t>Effective Tax Rate %</t>
  </si>
  <si>
    <t>Debt</t>
  </si>
  <si>
    <t>Custo da dívida %</t>
  </si>
  <si>
    <t>FCFF</t>
  </si>
  <si>
    <t>Increase in Financial Debt</t>
  </si>
  <si>
    <t>Cash and Cash Equivalents</t>
  </si>
  <si>
    <t>FCFE</t>
  </si>
  <si>
    <t>Millions of euros</t>
  </si>
  <si>
    <t xml:space="preserve">December 31, </t>
  </si>
  <si>
    <t>(1)</t>
  </si>
  <si>
    <t>ASSETS</t>
  </si>
  <si>
    <t>NON-CURRENT ASSETS</t>
  </si>
  <si>
    <t>Property, Plant and Equipment</t>
  </si>
  <si>
    <t>Investment Property</t>
  </si>
  <si>
    <t>Intangible Assets</t>
  </si>
  <si>
    <t>Goodwill</t>
  </si>
  <si>
    <t>Investments Accounted for using the Equity Method</t>
  </si>
  <si>
    <t>Non-Current Assets of Contracts with Customers</t>
  </si>
  <si>
    <t>Other Non-Current Financial Assets</t>
  </si>
  <si>
    <t>Non-Current Derivative Financial Instruments</t>
  </si>
  <si>
    <t>Other Non-current Assets</t>
  </si>
  <si>
    <t>Deferred Tax Assets</t>
  </si>
  <si>
    <t>CURRENT ASSETS</t>
  </si>
  <si>
    <t>Trade and other Receivables</t>
  </si>
  <si>
    <t>Trade Receivables for Sales and Services and other Receivables</t>
  </si>
  <si>
    <t>Current Income Tax Assets</t>
  </si>
  <si>
    <t>Other Tax Assets</t>
  </si>
  <si>
    <t>Current Assets of Contracts with Customers</t>
  </si>
  <si>
    <t>Other Current Financial Assets</t>
  </si>
  <si>
    <t>Current Derivative Financial Instruments</t>
  </si>
  <si>
    <t>Non-Current Assets Held for Sale and Discontinued Operations</t>
  </si>
  <si>
    <t>TOTAL ASSETS</t>
  </si>
  <si>
    <t>EQUITY AND LIABILITIES</t>
  </si>
  <si>
    <t>EQUITY</t>
  </si>
  <si>
    <t>Of the Parent</t>
  </si>
  <si>
    <t>Share Capital</t>
  </si>
  <si>
    <t>Share Pemium and Reserves</t>
  </si>
  <si>
    <t>(Own Shares and Own Equity Instruments)</t>
  </si>
  <si>
    <t>Profit for the Period attributed to the Parent</t>
  </si>
  <si>
    <t>Interim Dividend</t>
  </si>
  <si>
    <t>Other Equity Instruments</t>
  </si>
  <si>
    <t>Adjustments due to Changes in Value</t>
  </si>
  <si>
    <t>Of non-Controlling Interests</t>
  </si>
  <si>
    <t>NON-CURRENT LIABILITIES</t>
  </si>
  <si>
    <t>Grants</t>
  </si>
  <si>
    <t>Non-Current Liabilities of Contracts with Customers</t>
  </si>
  <si>
    <t>Non-Current Provisions</t>
  </si>
  <si>
    <t xml:space="preserve">Provisions for Employee Benefits </t>
  </si>
  <si>
    <t>Other non-Current provisions</t>
  </si>
  <si>
    <t>Non-Current Borrowings</t>
  </si>
  <si>
    <t>Non Current Derivative Financial Instruments</t>
  </si>
  <si>
    <t>Other Non Current Financial Liabilities</t>
  </si>
  <si>
    <t>Other non-Current Liabilities</t>
  </si>
  <si>
    <t>Deferred Tax Liabilities</t>
  </si>
  <si>
    <t>CURRENT LIABILITIES</t>
  </si>
  <si>
    <t xml:space="preserve">Current Liability Contracts with Customers </t>
  </si>
  <si>
    <t>Current Provisions</t>
  </si>
  <si>
    <t>Other Current provisions</t>
  </si>
  <si>
    <t>Current Borrowings</t>
  </si>
  <si>
    <t>Other Current Financial Liabilities</t>
  </si>
  <si>
    <t>Trade and other Payables</t>
  </si>
  <si>
    <t>Suppliers and other payables</t>
  </si>
  <si>
    <t>Current Income Tax Liabilities</t>
  </si>
  <si>
    <t>Other Taxes Liabilities</t>
  </si>
  <si>
    <t>Liabilities Associated with non-Current Assets classified as Held for Sale and Discontinued Operations</t>
  </si>
  <si>
    <t>TOTAL EQUITY AND LIABILITIES</t>
  </si>
  <si>
    <t>January - December</t>
  </si>
  <si>
    <t>REVENUE</t>
  </si>
  <si>
    <t>Revenue from Sales and Services Rendered</t>
  </si>
  <si>
    <t>Other Operating Income</t>
  </si>
  <si>
    <t>PROCUREMENTS AND SERVICES</t>
  </si>
  <si>
    <t>Power Purchases</t>
  </si>
  <si>
    <t>Fuel Consumption</t>
  </si>
  <si>
    <t>Transmission Expenses</t>
  </si>
  <si>
    <t>Other Variable Procurements and Services</t>
  </si>
  <si>
    <t>INCOME AND EXPENSES FROM ENERGY DERIVATIVES</t>
  </si>
  <si>
    <t>CONTRIBUTION MARGIN</t>
  </si>
  <si>
    <t>Self-Constructed Assets</t>
  </si>
  <si>
    <t>Personnel Expenses</t>
  </si>
  <si>
    <t>Other Fixed Operating Expenses</t>
  </si>
  <si>
    <t>Other Gains and Losses</t>
  </si>
  <si>
    <t>GROSS OPERATING INCOME (EBITDA)</t>
  </si>
  <si>
    <t xml:space="preserve">Depreciation and Amortisation, and Impairment Losses on non-Financial Assets </t>
  </si>
  <si>
    <t>Impairment Losses on Financial Assets</t>
  </si>
  <si>
    <t>PROFIT / (LOSS) FROM OPERATIONS (EBIT)</t>
  </si>
  <si>
    <t>FINANCIAL PROFIT / (LOSS)</t>
  </si>
  <si>
    <t>Financial Income</t>
  </si>
  <si>
    <t>Financial Expense</t>
  </si>
  <si>
    <t>Income and Expenses on Derivative Financial Instruments</t>
  </si>
  <si>
    <t>Net Exchange Differences</t>
  </si>
  <si>
    <t>Net Profit / (Loss) of Companies Accounted for using the Equity Method</t>
  </si>
  <si>
    <t>PROFIT BEFORE TAX</t>
  </si>
  <si>
    <t>Income Tax Expense</t>
  </si>
  <si>
    <t>PROFIT AFTER TAX FROM CONTINUING OPERATIONS</t>
  </si>
  <si>
    <t>PROFIT / (LOSS) AFTER TAX FROM DISCONTINUED OPERATIONS</t>
  </si>
  <si>
    <t xml:space="preserve">PROFIT FOR THE PERIOD </t>
  </si>
  <si>
    <t>Parent</t>
  </si>
  <si>
    <t>Non-Controlling Interests</t>
  </si>
  <si>
    <t xml:space="preserve"> ASSETS </t>
  </si>
  <si>
    <t>December</t>
  </si>
  <si>
    <t>Intangible assets</t>
  </si>
  <si>
    <t>Other intagible assets</t>
  </si>
  <si>
    <t>Real Estate properties</t>
  </si>
  <si>
    <t>Property, plant and equipment</t>
  </si>
  <si>
    <t>Property, plant and equipment in the course of construction</t>
  </si>
  <si>
    <t>Right of use</t>
  </si>
  <si>
    <t>Non current financial investments</t>
  </si>
  <si>
    <t>Investments accounted by equity method</t>
  </si>
  <si>
    <t>Non-current financial assets</t>
  </si>
  <si>
    <t>Other non-current financial assets</t>
  </si>
  <si>
    <t>Derivative financial instruments</t>
  </si>
  <si>
    <t>Non-current trade and other receivables</t>
  </si>
  <si>
    <t>Tax receivables</t>
  </si>
  <si>
    <t>Deferred tax assets</t>
  </si>
  <si>
    <t>Assets held for disposal</t>
  </si>
  <si>
    <t>Nuclear fuel</t>
  </si>
  <si>
    <t>Current trade and other receivables</t>
  </si>
  <si>
    <t>Other tax receivables</t>
  </si>
  <si>
    <t>Trade and other receivables</t>
  </si>
  <si>
    <t>Current financial assets</t>
  </si>
  <si>
    <t>Other current financial assets</t>
  </si>
  <si>
    <t xml:space="preserve"> TOTAL ASSETS </t>
  </si>
  <si>
    <t xml:space="preserve"> EQUITY AND LIABILITIES </t>
  </si>
  <si>
    <t>EQUITY:</t>
  </si>
  <si>
    <t>Of shareholders of the parent</t>
  </si>
  <si>
    <t>Share capital</t>
  </si>
  <si>
    <t>Adjustments for changes in value</t>
  </si>
  <si>
    <t>Other reserves</t>
  </si>
  <si>
    <t>Treasury stock</t>
  </si>
  <si>
    <t>Translation differences</t>
  </si>
  <si>
    <t>Net profit of the period</t>
  </si>
  <si>
    <t>Of minority interests</t>
  </si>
  <si>
    <t>Hybrids</t>
  </si>
  <si>
    <t>Deferred income</t>
  </si>
  <si>
    <t>Facilities transferred and financed by thrid parties</t>
  </si>
  <si>
    <t>Provisions for pensions and similar obligations</t>
  </si>
  <si>
    <t>Other provisions</t>
  </si>
  <si>
    <t>Non Current Financial payables</t>
  </si>
  <si>
    <t>Financial Debt- Loans and other</t>
  </si>
  <si>
    <t>Equity Instruments having the substance of a financial liability</t>
  </si>
  <si>
    <t>Leases</t>
  </si>
  <si>
    <t>Other financial liabilities</t>
  </si>
  <si>
    <t>Other non-current payables</t>
  </si>
  <si>
    <t>Tax payables</t>
  </si>
  <si>
    <t>Deferred tax liabilities</t>
  </si>
  <si>
    <t>Current financial payables</t>
  </si>
  <si>
    <t>Trade payables</t>
  </si>
  <si>
    <t>Other current payables</t>
  </si>
  <si>
    <t>Current tax liabilities and other tax payables</t>
  </si>
  <si>
    <t>Other tax payables</t>
  </si>
  <si>
    <t>Other current liabilities</t>
  </si>
  <si>
    <t xml:space="preserve"> TOTAL EQUITY AND LIABILITIES </t>
  </si>
  <si>
    <t>December
2021</t>
  </si>
  <si>
    <t>December
2020 (*)</t>
  </si>
  <si>
    <t xml:space="preserve"> REVENUES</t>
  </si>
  <si>
    <t xml:space="preserve"> PROCUREMENTS</t>
  </si>
  <si>
    <t>GROSS MARGIN</t>
  </si>
  <si>
    <t>NET OPERATING EXPENSES</t>
  </si>
  <si>
    <t xml:space="preserve">     Personnel</t>
  </si>
  <si>
    <t xml:space="preserve">     In house work on fixed assets</t>
  </si>
  <si>
    <t xml:space="preserve">     External services</t>
  </si>
  <si>
    <t xml:space="preserve">     Other operating results</t>
  </si>
  <si>
    <t>LEVIES</t>
  </si>
  <si>
    <t xml:space="preserve"> AMORTISATIONS &amp; PROVISIONS</t>
  </si>
  <si>
    <t>EBIT / OPERATING PROFIT</t>
  </si>
  <si>
    <t>Financial expenses</t>
  </si>
  <si>
    <t>Financial income</t>
  </si>
  <si>
    <t>FINANCIAL RESULT</t>
  </si>
  <si>
    <t>RESULTS FROM CO. CONSOLIDATED BY EQUITY METHOD</t>
  </si>
  <si>
    <t>PBT</t>
  </si>
  <si>
    <t>Corporate Tax</t>
  </si>
  <si>
    <t>Minorities</t>
  </si>
  <si>
    <t>NET PROFIT</t>
  </si>
  <si>
    <t>IFRS consolidated income statement</t>
  </si>
  <si>
    <t>€m</t>
  </si>
  <si>
    <t>Sales</t>
  </si>
  <si>
    <t>Services rendered</t>
  </si>
  <si>
    <t>Operating income</t>
  </si>
  <si>
    <t>Inventories consumed and sold</t>
  </si>
  <si>
    <t>Materials and services consumed</t>
  </si>
  <si>
    <t>Impairments on accounts receivable</t>
  </si>
  <si>
    <t>Ebitda</t>
  </si>
  <si>
    <t>Depreciation, Amortisation and Impairments</t>
  </si>
  <si>
    <t>Ebit</t>
  </si>
  <si>
    <t>Net income from associates</t>
  </si>
  <si>
    <t>Financial results</t>
  </si>
  <si>
    <t>Interest income</t>
  </si>
  <si>
    <t>Interest expenses</t>
  </si>
  <si>
    <t>Capitalised interest</t>
  </si>
  <si>
    <t>Interest on leases (IFRS 16)</t>
  </si>
  <si>
    <t>Exchange gain (loss)</t>
  </si>
  <si>
    <t>Mark-to-market of derivatives</t>
  </si>
  <si>
    <r>
      <t>Other financial costs/income</t>
    </r>
    <r>
      <rPr>
        <vertAlign val="superscript"/>
        <sz val="12"/>
        <color indexed="63"/>
        <rFont val="Tahoma"/>
        <family val="2"/>
      </rPr>
      <t>1</t>
    </r>
  </si>
  <si>
    <t>Income before taxes</t>
  </si>
  <si>
    <r>
      <t>Taxes</t>
    </r>
    <r>
      <rPr>
        <vertAlign val="superscript"/>
        <sz val="12"/>
        <color indexed="63"/>
        <rFont val="Tahoma"/>
        <family val="2"/>
      </rPr>
      <t>2</t>
    </r>
  </si>
  <si>
    <r>
      <t>Energy sector contribution taxes</t>
    </r>
    <r>
      <rPr>
        <vertAlign val="superscript"/>
        <sz val="12"/>
        <color indexed="63"/>
        <rFont val="Tahoma"/>
        <family val="2"/>
      </rPr>
      <t>3</t>
    </r>
  </si>
  <si>
    <t>Income before non-controlling interests</t>
  </si>
  <si>
    <t>Income attributable to non-controlling interests</t>
  </si>
  <si>
    <t>Net income</t>
  </si>
  <si>
    <r>
      <rPr>
        <vertAlign val="superscript"/>
        <sz val="8"/>
        <color indexed="23"/>
        <rFont val="Tahoma"/>
        <family val="2"/>
      </rPr>
      <t>1</t>
    </r>
    <r>
      <rPr>
        <sz val="8"/>
        <color indexed="23"/>
        <rFont val="Tahoma"/>
        <family val="2"/>
      </rPr>
      <t xml:space="preserve"> 1Q20 includes realised income from Brent interest and 2Q20 includes the antecipated closure of refining margin positions.
</t>
    </r>
    <r>
      <rPr>
        <vertAlign val="superscript"/>
        <sz val="8"/>
        <color indexed="23"/>
        <rFont val="Tahoma"/>
        <family val="2"/>
      </rPr>
      <t>2</t>
    </r>
    <r>
      <rPr>
        <sz val="8"/>
        <color indexed="23"/>
        <rFont val="Tahoma"/>
        <family val="2"/>
      </rPr>
      <t xml:space="preserve"> Includes SPT payable in  Brazil and IRP payable in Angola. 
</t>
    </r>
    <r>
      <rPr>
        <vertAlign val="superscript"/>
        <sz val="8"/>
        <color indexed="23"/>
        <rFont val="Tahoma"/>
        <family val="2"/>
      </rPr>
      <t>3</t>
    </r>
    <r>
      <rPr>
        <sz val="8"/>
        <color indexed="23"/>
        <rFont val="Tahoma"/>
        <family val="2"/>
      </rPr>
      <t xml:space="preserve"> Includes €12 m, €20 m and €9 m related to CESE I, CESE II and FNEE, respectively, during the Full Year 2021.</t>
    </r>
  </si>
  <si>
    <t>Consolidated financial position</t>
  </si>
  <si>
    <t>Assets</t>
  </si>
  <si>
    <t>Tangible fixed assets</t>
  </si>
  <si>
    <t>Other intangible fixed assets</t>
  </si>
  <si>
    <t>Rights of use (IFRS 16)</t>
  </si>
  <si>
    <t>Investments in associates</t>
  </si>
  <si>
    <t>Financial investments held for sale</t>
  </si>
  <si>
    <t>Receivables</t>
  </si>
  <si>
    <t>Financial investments</t>
  </si>
  <si>
    <t>Total non-current assets</t>
  </si>
  <si>
    <r>
      <t>Inventories</t>
    </r>
    <r>
      <rPr>
        <vertAlign val="superscript"/>
        <sz val="12"/>
        <color indexed="63"/>
        <rFont val="Tahoma"/>
        <family val="2"/>
      </rPr>
      <t>1</t>
    </r>
  </si>
  <si>
    <t>Trade receivables</t>
  </si>
  <si>
    <t>Other receivables</t>
  </si>
  <si>
    <t>Current Income tax recoverable</t>
  </si>
  <si>
    <t>Cash and equivalents</t>
  </si>
  <si>
    <t>Subtotal current assets</t>
  </si>
  <si>
    <t>Non-current assets held for sale</t>
  </si>
  <si>
    <t>Total current assets</t>
  </si>
  <si>
    <t>Total assets</t>
  </si>
  <si>
    <t>Equity and liabilities</t>
  </si>
  <si>
    <t>Share premium</t>
  </si>
  <si>
    <t>Reserves</t>
  </si>
  <si>
    <t>Retained earnings</t>
  </si>
  <si>
    <t xml:space="preserve">Net income </t>
  </si>
  <si>
    <t>Total equity attributable to equity holders of the parent</t>
  </si>
  <si>
    <t>Total equity</t>
  </si>
  <si>
    <t>Liabilities</t>
  </si>
  <si>
    <t>Non-current liabilities</t>
  </si>
  <si>
    <t>Bank loans and overdrafts</t>
  </si>
  <si>
    <t>Bonds</t>
  </si>
  <si>
    <t>Leases (IFRS 16)</t>
  </si>
  <si>
    <t>Other payables</t>
  </si>
  <si>
    <t>Retirement and other benefit obligations</t>
  </si>
  <si>
    <t>Other financial instruments</t>
  </si>
  <si>
    <t>Total non-current liabilities</t>
  </si>
  <si>
    <t>Income tax payable</t>
  </si>
  <si>
    <t>Total current liabilities</t>
  </si>
  <si>
    <t>Total liabilities</t>
  </si>
  <si>
    <t>Total equity and liabilities</t>
  </si>
  <si>
    <t>Rácios de Atividade</t>
  </si>
  <si>
    <t>EDP Renováveis</t>
  </si>
  <si>
    <t>Endesa</t>
  </si>
  <si>
    <t>Iberdrola</t>
  </si>
  <si>
    <t>Galp</t>
  </si>
  <si>
    <t>Rácios de Liquidez</t>
  </si>
  <si>
    <t>Rácio de Liquidez Geral</t>
  </si>
  <si>
    <t>Rácio de Liquidez Reduzida</t>
  </si>
  <si>
    <t>Rácio de Liquidez Imediata</t>
  </si>
  <si>
    <t>Rácios de Rendibilidade</t>
  </si>
  <si>
    <t>Margem Bruta</t>
  </si>
  <si>
    <t>Margem Operacional</t>
  </si>
  <si>
    <t>Margem Líquida</t>
  </si>
  <si>
    <t>Rendibilidade dos Ativos</t>
  </si>
  <si>
    <t>Rendibilidade do Capital Próprio</t>
  </si>
  <si>
    <t>Rácios de Estrutura Financeira</t>
  </si>
  <si>
    <t>Autonomia Financeira</t>
  </si>
  <si>
    <t>Debt-to-Equity</t>
  </si>
  <si>
    <t>Fundo de Maneio</t>
  </si>
  <si>
    <t>Rácios Bolsistas</t>
  </si>
  <si>
    <t>Price to Earnings</t>
  </si>
  <si>
    <t>Price to Book Value</t>
  </si>
  <si>
    <t>Dividend Yield</t>
  </si>
  <si>
    <t>Preço</t>
  </si>
  <si>
    <t>Dividendo</t>
  </si>
  <si>
    <t>Número de ações</t>
  </si>
  <si>
    <t>Data</t>
  </si>
  <si>
    <t>PSI 20</t>
  </si>
  <si>
    <t>30.12.2022</t>
  </si>
  <si>
    <t>29.12.2022</t>
  </si>
  <si>
    <t>28.12.2022</t>
  </si>
  <si>
    <t>27.12.2022</t>
  </si>
  <si>
    <t>23.12.2022</t>
  </si>
  <si>
    <t>22.12.2022</t>
  </si>
  <si>
    <t>21.12.2022</t>
  </si>
  <si>
    <t>20.12.2022</t>
  </si>
  <si>
    <t>19.12.2022</t>
  </si>
  <si>
    <t>16.12.2022</t>
  </si>
  <si>
    <t>15.12.2022</t>
  </si>
  <si>
    <t>14.12.2022</t>
  </si>
  <si>
    <t>13.12.2022</t>
  </si>
  <si>
    <t>12.12.2022</t>
  </si>
  <si>
    <t>09.12.2022</t>
  </si>
  <si>
    <t>08.12.2022</t>
  </si>
  <si>
    <t>07.12.2022</t>
  </si>
  <si>
    <t>06.12.2022</t>
  </si>
  <si>
    <t>05.12.2022</t>
  </si>
  <si>
    <t>02.12.2022</t>
  </si>
  <si>
    <t>01.12.2022</t>
  </si>
  <si>
    <t>30.11.2022</t>
  </si>
  <si>
    <t>29.11.2022</t>
  </si>
  <si>
    <t>28.11.2022</t>
  </si>
  <si>
    <t>25.11.2022</t>
  </si>
  <si>
    <t>24.11.2022</t>
  </si>
  <si>
    <t>23.11.2022</t>
  </si>
  <si>
    <t>22.11.2022</t>
  </si>
  <si>
    <t>21.11.2022</t>
  </si>
  <si>
    <t>18.11.2022</t>
  </si>
  <si>
    <t>17.11.2022</t>
  </si>
  <si>
    <t>16.11.2022</t>
  </si>
  <si>
    <t>15.11.2022</t>
  </si>
  <si>
    <t>14.11.2022</t>
  </si>
  <si>
    <t>11.11.2022</t>
  </si>
  <si>
    <t>10.11.2022</t>
  </si>
  <si>
    <t>09.11.2022</t>
  </si>
  <si>
    <t>08.11.2022</t>
  </si>
  <si>
    <t>07.11.2022</t>
  </si>
  <si>
    <t>04.11.2022</t>
  </si>
  <si>
    <t>03.11.2022</t>
  </si>
  <si>
    <t>02.11.2022</t>
  </si>
  <si>
    <t>01.11.2022</t>
  </si>
  <si>
    <t>31.10.2022</t>
  </si>
  <si>
    <t>28.10.2022</t>
  </si>
  <si>
    <t>27.10.2022</t>
  </si>
  <si>
    <t>26.10.2022</t>
  </si>
  <si>
    <t>25.10.2022</t>
  </si>
  <si>
    <t>24.10.2022</t>
  </si>
  <si>
    <t>21.10.2022</t>
  </si>
  <si>
    <t>20.10.2022</t>
  </si>
  <si>
    <t>19.10.2022</t>
  </si>
  <si>
    <t>18.10.2022</t>
  </si>
  <si>
    <t>17.10.2022</t>
  </si>
  <si>
    <t>14.10.2022</t>
  </si>
  <si>
    <t>13.10.2022</t>
  </si>
  <si>
    <t>12.10.2022</t>
  </si>
  <si>
    <t>11.10.2022</t>
  </si>
  <si>
    <t>10.10.2022</t>
  </si>
  <si>
    <t>07.10.2022</t>
  </si>
  <si>
    <t>06.10.2022</t>
  </si>
  <si>
    <t>05.10.2022</t>
  </si>
  <si>
    <t>04.10.2022</t>
  </si>
  <si>
    <t>03.10.2022</t>
  </si>
  <si>
    <t>30.09.2022</t>
  </si>
  <si>
    <t>29.09.2022</t>
  </si>
  <si>
    <t>28.09.2022</t>
  </si>
  <si>
    <t>27.09.2022</t>
  </si>
  <si>
    <t>26.09.2022</t>
  </si>
  <si>
    <t>23.09.2022</t>
  </si>
  <si>
    <t>22.09.2022</t>
  </si>
  <si>
    <t>21.09.2022</t>
  </si>
  <si>
    <t>20.09.2022</t>
  </si>
  <si>
    <t>19.09.2022</t>
  </si>
  <si>
    <t>16.09.2022</t>
  </si>
  <si>
    <t>15.09.2022</t>
  </si>
  <si>
    <t>14.09.2022</t>
  </si>
  <si>
    <t>13.09.2022</t>
  </si>
  <si>
    <t>12.09.2022</t>
  </si>
  <si>
    <t>09.09.2022</t>
  </si>
  <si>
    <t>08.09.2022</t>
  </si>
  <si>
    <t>07.09.2022</t>
  </si>
  <si>
    <t>06.09.2022</t>
  </si>
  <si>
    <t>05.09.2022</t>
  </si>
  <si>
    <t>02.09.2022</t>
  </si>
  <si>
    <t>01.09.2022</t>
  </si>
  <si>
    <t>31.08.2022</t>
  </si>
  <si>
    <t>30.08.2022</t>
  </si>
  <si>
    <t>29.08.2022</t>
  </si>
  <si>
    <t>26.08.2022</t>
  </si>
  <si>
    <t>25.08.2022</t>
  </si>
  <si>
    <t>24.08.2022</t>
  </si>
  <si>
    <t>23.08.2022</t>
  </si>
  <si>
    <t>22.08.2022</t>
  </si>
  <si>
    <t>19.08.2022</t>
  </si>
  <si>
    <t>18.08.2022</t>
  </si>
  <si>
    <t>17.08.2022</t>
  </si>
  <si>
    <t>16.08.2022</t>
  </si>
  <si>
    <t>15.08.2022</t>
  </si>
  <si>
    <t>12.08.2022</t>
  </si>
  <si>
    <t>11.08.2022</t>
  </si>
  <si>
    <t>10.08.2022</t>
  </si>
  <si>
    <t>09.08.2022</t>
  </si>
  <si>
    <t>08.08.2022</t>
  </si>
  <si>
    <t>05.08.2022</t>
  </si>
  <si>
    <t>04.08.2022</t>
  </si>
  <si>
    <t>03.08.2022</t>
  </si>
  <si>
    <t>02.08.2022</t>
  </si>
  <si>
    <t>01.08.2022</t>
  </si>
  <si>
    <t>29.07.2022</t>
  </si>
  <si>
    <t>28.07.2022</t>
  </si>
  <si>
    <t>27.07.2022</t>
  </si>
  <si>
    <t>26.07.2022</t>
  </si>
  <si>
    <t>25.07.2022</t>
  </si>
  <si>
    <t>22.07.2022</t>
  </si>
  <si>
    <t>21.07.2022</t>
  </si>
  <si>
    <t>20.07.2022</t>
  </si>
  <si>
    <t>19.07.2022</t>
  </si>
  <si>
    <t>18.07.2022</t>
  </si>
  <si>
    <t>15.07.2022</t>
  </si>
  <si>
    <t>14.07.2022</t>
  </si>
  <si>
    <t>13.07.2022</t>
  </si>
  <si>
    <t>12.07.2022</t>
  </si>
  <si>
    <t>11.07.2022</t>
  </si>
  <si>
    <t>08.07.2022</t>
  </si>
  <si>
    <t>07.07.2022</t>
  </si>
  <si>
    <t>06.07.2022</t>
  </si>
  <si>
    <t>05.07.2022</t>
  </si>
  <si>
    <t>04.07.2022</t>
  </si>
  <si>
    <t>01.07.2022</t>
  </si>
  <si>
    <t>30.06.2022</t>
  </si>
  <si>
    <t>29.06.2022</t>
  </si>
  <si>
    <t>28.06.2022</t>
  </si>
  <si>
    <t>27.06.2022</t>
  </si>
  <si>
    <t>24.06.2022</t>
  </si>
  <si>
    <t>23.06.2022</t>
  </si>
  <si>
    <t>22.06.2022</t>
  </si>
  <si>
    <t>21.06.2022</t>
  </si>
  <si>
    <t>20.06.2022</t>
  </si>
  <si>
    <t>17.06.2022</t>
  </si>
  <si>
    <t>16.06.2022</t>
  </si>
  <si>
    <t>15.06.2022</t>
  </si>
  <si>
    <t>14.06.2022</t>
  </si>
  <si>
    <t>13.06.2022</t>
  </si>
  <si>
    <t>10.06.2022</t>
  </si>
  <si>
    <t>09.06.2022</t>
  </si>
  <si>
    <t>08.06.2022</t>
  </si>
  <si>
    <t>07.06.2022</t>
  </si>
  <si>
    <t>06.06.2022</t>
  </si>
  <si>
    <t>03.06.2022</t>
  </si>
  <si>
    <t>02.06.2022</t>
  </si>
  <si>
    <t>01.06.2022</t>
  </si>
  <si>
    <t>31.05.2022</t>
  </si>
  <si>
    <t>30.05.2022</t>
  </si>
  <si>
    <t>27.05.2022</t>
  </si>
  <si>
    <t>26.05.2022</t>
  </si>
  <si>
    <t>25.05.2022</t>
  </si>
  <si>
    <t>24.05.2022</t>
  </si>
  <si>
    <t>23.05.2022</t>
  </si>
  <si>
    <t>20.05.2022</t>
  </si>
  <si>
    <t>19.05.2022</t>
  </si>
  <si>
    <t>18.05.2022</t>
  </si>
  <si>
    <t>17.05.2022</t>
  </si>
  <si>
    <t>16.05.2022</t>
  </si>
  <si>
    <t>13.05.2022</t>
  </si>
  <si>
    <t>12.05.2022</t>
  </si>
  <si>
    <t>11.05.2022</t>
  </si>
  <si>
    <t>10.05.2022</t>
  </si>
  <si>
    <t>09.05.2022</t>
  </si>
  <si>
    <t>06.05.2022</t>
  </si>
  <si>
    <t>05.05.2022</t>
  </si>
  <si>
    <t>04.05.2022</t>
  </si>
  <si>
    <t>03.05.2022</t>
  </si>
  <si>
    <t>02.05.2022</t>
  </si>
  <si>
    <t>29.04.2022</t>
  </si>
  <si>
    <t>28.04.2022</t>
  </si>
  <si>
    <t>27.04.2022</t>
  </si>
  <si>
    <t>26.04.2022</t>
  </si>
  <si>
    <t>25.04.2022</t>
  </si>
  <si>
    <t>22.04.2022</t>
  </si>
  <si>
    <t>21.04.2022</t>
  </si>
  <si>
    <t>20.04.2022</t>
  </si>
  <si>
    <t>19.04.2022</t>
  </si>
  <si>
    <t>14.04.2022</t>
  </si>
  <si>
    <t>13.04.2022</t>
  </si>
  <si>
    <t>12.04.2022</t>
  </si>
  <si>
    <t>11.04.2022</t>
  </si>
  <si>
    <t>08.04.2022</t>
  </si>
  <si>
    <t>07.04.2022</t>
  </si>
  <si>
    <t>06.04.2022</t>
  </si>
  <si>
    <t>05.04.2022</t>
  </si>
  <si>
    <t>04.04.2022</t>
  </si>
  <si>
    <t>01.04.2022</t>
  </si>
  <si>
    <t>31.03.2022</t>
  </si>
  <si>
    <t>30.03.2022</t>
  </si>
  <si>
    <t>29.03.2022</t>
  </si>
  <si>
    <t>28.03.2022</t>
  </si>
  <si>
    <t>25.03.2022</t>
  </si>
  <si>
    <t>24.03.2022</t>
  </si>
  <si>
    <t>23.03.2022</t>
  </si>
  <si>
    <t>22.03.2022</t>
  </si>
  <si>
    <t>21.03.2022</t>
  </si>
  <si>
    <t>18.03.2022</t>
  </si>
  <si>
    <t>17.03.2022</t>
  </si>
  <si>
    <t>16.03.2022</t>
  </si>
  <si>
    <t>15.03.2022</t>
  </si>
  <si>
    <t>14.03.2022</t>
  </si>
  <si>
    <t>11.03.2022</t>
  </si>
  <si>
    <t>10.03.2022</t>
  </si>
  <si>
    <t>09.03.2022</t>
  </si>
  <si>
    <t>08.03.2022</t>
  </si>
  <si>
    <t>07.03.2022</t>
  </si>
  <si>
    <t>04.03.2022</t>
  </si>
  <si>
    <t>03.03.2022</t>
  </si>
  <si>
    <t>02.03.2022</t>
  </si>
  <si>
    <t>01.03.2022</t>
  </si>
  <si>
    <t>28.02.2022</t>
  </si>
  <si>
    <t>25.02.2022</t>
  </si>
  <si>
    <t>24.02.2022</t>
  </si>
  <si>
    <t>23.02.2022</t>
  </si>
  <si>
    <t>22.02.2022</t>
  </si>
  <si>
    <t>21.02.2022</t>
  </si>
  <si>
    <t>18.02.2022</t>
  </si>
  <si>
    <t>17.02.2022</t>
  </si>
  <si>
    <t>16.02.2022</t>
  </si>
  <si>
    <t>15.02.2022</t>
  </si>
  <si>
    <t>14.02.2022</t>
  </si>
  <si>
    <t>11.02.2022</t>
  </si>
  <si>
    <t>10.02.2022</t>
  </si>
  <si>
    <t>09.02.2022</t>
  </si>
  <si>
    <t>08.02.2022</t>
  </si>
  <si>
    <t>07.02.2022</t>
  </si>
  <si>
    <t>04.02.2022</t>
  </si>
  <si>
    <t>03.02.2022</t>
  </si>
  <si>
    <t>02.02.2022</t>
  </si>
  <si>
    <t>01.02.2022</t>
  </si>
  <si>
    <t>31.01.2022</t>
  </si>
  <si>
    <t>28.01.2022</t>
  </si>
  <si>
    <t>27.01.2022</t>
  </si>
  <si>
    <t>26.01.2022</t>
  </si>
  <si>
    <t>25.01.2022</t>
  </si>
  <si>
    <t>24.01.2022</t>
  </si>
  <si>
    <t>21.01.2022</t>
  </si>
  <si>
    <t>20.01.2022</t>
  </si>
  <si>
    <t>19.01.2022</t>
  </si>
  <si>
    <t>18.01.2022</t>
  </si>
  <si>
    <t>17.01.2022</t>
  </si>
  <si>
    <t>14.01.2022</t>
  </si>
  <si>
    <t>13.01.2022</t>
  </si>
  <si>
    <t>12.01.2022</t>
  </si>
  <si>
    <t>11.01.2022</t>
  </si>
  <si>
    <t>10.01.2022</t>
  </si>
  <si>
    <t>07.01.2022</t>
  </si>
  <si>
    <t>06.01.2022</t>
  </si>
  <si>
    <t>05.01.2022</t>
  </si>
  <si>
    <t>04.01.2022</t>
  </si>
  <si>
    <t>03.01.2022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</si>
  <si>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</si>
  <si>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</si>
  <si>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</si>
  <si>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</si>
  <si>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</si>
  <si>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</si>
  <si>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</si>
  <si>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</si>
  <si>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</si>
  <si>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</si>
  <si>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</si>
  <si>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</si>
  <si>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</si>
  <si>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</si>
  <si>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</si>
  <si>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</si>
  <si>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</si>
  <si>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</si>
  <si>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</si>
  <si>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</si>
  <si>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</si>
  <si>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</si>
  <si>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</si>
  <si>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</si>
  <si>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Taxa de Juro em Portugal a 5 anos</t>
  </si>
  <si>
    <t>Beta</t>
  </si>
  <si>
    <t>Prémio de Risco de Mercado</t>
  </si>
  <si>
    <t>Taxa de Crescimento no Longo prazo</t>
  </si>
  <si>
    <t>Preço da Ação segundo Modelo Gordon de múltiplas etapas</t>
  </si>
  <si>
    <t>Price to Sales</t>
  </si>
  <si>
    <t>EPS</t>
  </si>
  <si>
    <t>Book Value</t>
  </si>
  <si>
    <t>Vendas por Ação</t>
  </si>
  <si>
    <t>% de Dívida no Capital da EDP Renováveis</t>
  </si>
  <si>
    <t>% de Capital Próprio no Capital da EDP Renováveis</t>
  </si>
  <si>
    <t>% de Equity na estrutura de capitais</t>
  </si>
  <si>
    <t>PSI20</t>
  </si>
  <si>
    <t>Taxa de juro sem risco</t>
  </si>
  <si>
    <t>Custo da Dívida</t>
  </si>
  <si>
    <t>Custo médio ponderado de Capital</t>
  </si>
  <si>
    <t>FCFE Atualizado</t>
  </si>
  <si>
    <t>Custo de Capital próprio</t>
  </si>
  <si>
    <t>Taxa de Crescimento de Longo Prazo</t>
  </si>
  <si>
    <t>Número de Ações (millions)</t>
  </si>
  <si>
    <t>FCFE Terminal</t>
  </si>
  <si>
    <t>Preço por ação</t>
  </si>
  <si>
    <t>Média de Crescimento a curto prazo</t>
  </si>
  <si>
    <t>Análise de Concorrentes</t>
  </si>
  <si>
    <t>Análise temporal da EDP Renováveis</t>
  </si>
  <si>
    <t>Rotação de Ativos</t>
  </si>
  <si>
    <t>Cost of debt</t>
  </si>
  <si>
    <t>TaxaMarginal de Imposto</t>
  </si>
  <si>
    <t>Soma de FCFE atualizado</t>
  </si>
  <si>
    <t>Análise Económica e Financeira</t>
  </si>
  <si>
    <t>Carlos Pina, nº 9798300</t>
  </si>
  <si>
    <t>Frederico Alvarenga, nº 14408895</t>
  </si>
  <si>
    <t>Grupo: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</si>
</sst>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6">
    <numFmt numFmtId="5" formatCode="#,##0\ &quot;€&quot;;\-#,##0\ &quot;€&quot;"/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#,##0.0"/>
    <numFmt numFmtId="165" formatCode="0.0%"/>
    <numFmt numFmtId="166" formatCode="0.0"/>
    <numFmt numFmtId="167" formatCode="0.000000"/>
    <numFmt numFmtId="168" formatCode="#,##0;\(#,##0\);&quot;-&quot;"/>
    <numFmt numFmtId="169" formatCode="#,##0.0;\(#,##0.0\);&quot;-&quot;"/>
    <numFmt numFmtId="170" formatCode="#,##0.0_);\(#,##0.0\)"/>
    <numFmt numFmtId="171" formatCode="#,##0.0000"/>
    <numFmt numFmtId="172" formatCode="0%;\(0%\);\-"/>
    <numFmt numFmtId="173" formatCode="#,##0;\(#,##0\);\-"/>
    <numFmt numFmtId="174" formatCode="#,##0.0;\(#,##0.0\);\-"/>
    <numFmt numFmtId="175" formatCode="#,##0.00;\(#,##0.00\);\-"/>
    <numFmt numFmtId="176" formatCode="#,##0.000000000000"/>
    <numFmt numFmtId="177" formatCode="0.00000000"/>
    <numFmt numFmtId="178" formatCode="_-* #,##0.00\ _€_-;\-* #,##0.00\ _€_-;_-* &quot;-&quot;??\ _€_-;_-@_-"/>
    <numFmt numFmtId="179" formatCode="#,##0.000;\(#,##0.000\);\-"/>
    <numFmt numFmtId="180" formatCode="dd\.mm\.yy"/>
    <numFmt numFmtId="181" formatCode="#,##0\ ;\(#,##0\);\-\ "/>
    <numFmt numFmtId="182" formatCode="#,###.0;\(#,###.0\)"/>
    <numFmt numFmtId="183" formatCode="#,###.0;\(\-#,###.0\)"/>
    <numFmt numFmtId="184" formatCode="_-* #,##0.00\ [$€]_-;\-* #,##0.00\ [$€]_-;_-* &quot;-&quot;??\ [$€]_-;_-@_-"/>
    <numFmt numFmtId="185" formatCode="[$-F800]dddd\,\ mmmm\ dd\,\ yyyy"/>
    <numFmt numFmtId="186" formatCode="_-* #,##0_-;\(#,##0\);\-_)"/>
    <numFmt numFmtId="187" formatCode="General_)"/>
    <numFmt numFmtId="188" formatCode="[$-816]mmm/yy;@"/>
    <numFmt numFmtId="189" formatCode="_(&quot;$&quot;* #,##0_);_(&quot;$&quot;* \(#,##0\);_(&quot;$&quot;* &quot;-&quot;_);_(@_)"/>
    <numFmt numFmtId="190" formatCode="[$-816]mmmm\ yy;@"/>
    <numFmt numFmtId="191" formatCode="_-* #,##0.00\ _E_s_c_._-;\-* #,##0.00\ _E_s_c_._-;_-* &quot;-&quot;??\ _E_s_c_._-;_-@_-"/>
    <numFmt numFmtId="192" formatCode="_-* #,##0.00\ _D_M_-;\-* #,##0.00\ _D_M_-;_-* &quot;-&quot;??\ _D_M_-;_-@_-"/>
    <numFmt numFmtId="193" formatCode="_-* #,##0.00\ &quot;Esc.&quot;_-;\-* #,##0.00\ &quot;Esc.&quot;_-;_-* &quot;-&quot;??\ &quot;Esc.&quot;_-;_-@_-"/>
    <numFmt numFmtId="194" formatCode="#,##0;[Red]&quot;-&quot;#,##0"/>
    <numFmt numFmtId="195" formatCode="#,##0.00;[Red]&quot;-&quot;#,##0.00"/>
    <numFmt numFmtId="196" formatCode="_-[$€-2]* #,##0.00_-;\-[$€-2]* #,##0.00_-;_-[$€-2]* &quot;-&quot;??_-"/>
    <numFmt numFmtId="197" formatCode="_([$€]* #,##0.00_);_([$€]* \(#,##0.00\);_([$€]* &quot;-&quot;??_);_(@_)"/>
    <numFmt numFmtId="198" formatCode="[$€]#,##0.00_);[Red]\([$€]#,##0.00\)"/>
    <numFmt numFmtId="199" formatCode="_-* #,##0\ _P_t_s_-;\-* #,##0\ _P_t_s_-;_-* &quot;-&quot;\ _P_t_s_-;_-@_-"/>
    <numFmt numFmtId="200" formatCode="_(&quot;$&quot;* #,##0.00_);_(&quot;$&quot;* \(#,##0.00\);_(&quot;$&quot;* &quot;-&quot;??_);_(@_)"/>
    <numFmt numFmtId="201" formatCode="0.0_)"/>
    <numFmt numFmtId="202" formatCode="#,##0__"/>
    <numFmt numFmtId="203" formatCode="#,##0&quot; Esc&quot;;[Red]&quot;-&quot;#,##0&quot; Esc&quot;"/>
    <numFmt numFmtId="204" formatCode="#,##0.00&quot; Esc&quot;;[Red]&quot;-&quot;#,##0.00&quot; Esc&quot;"/>
    <numFmt numFmtId="205" formatCode="0.00%;\(0.00%\);\-"/>
  </numFmts>
  <fonts count="131">
    <font>
      <sz val="10"/>
      <color theme="1"/>
      <name val="Century Gothic"/>
      <family val="2"/>
    </font>
    <font>
      <sz val="11"/>
      <color theme="1"/>
      <name val="FT Base Book"/>
      <family val="2"/>
      <scheme val="minor"/>
    </font>
    <font>
      <sz val="11"/>
      <color theme="1"/>
      <name val="FT Base Book"/>
      <family val="2"/>
      <scheme val="minor"/>
    </font>
    <font>
      <sz val="10"/>
      <name val="Century Gothic"/>
      <family val="2"/>
    </font>
    <font>
      <sz val="10"/>
      <color theme="1"/>
      <name val="Century Gothic"/>
      <family val="2"/>
    </font>
    <font>
      <sz val="10"/>
      <color theme="1"/>
      <name val="FT Base Book"/>
      <family val="2"/>
      <scheme val="minor"/>
    </font>
    <font>
      <sz val="11"/>
      <color theme="1"/>
      <name val="FT Base"/>
      <family val="3"/>
    </font>
    <font>
      <b/>
      <sz val="11"/>
      <color theme="1"/>
      <name val="FT Base"/>
      <family val="3"/>
    </font>
    <font>
      <b/>
      <sz val="11"/>
      <name val="FT Base"/>
      <family val="3"/>
    </font>
    <font>
      <sz val="11"/>
      <name val="FT Base"/>
      <family val="3"/>
    </font>
    <font>
      <b/>
      <sz val="11"/>
      <color theme="1" tint="4.9989318521683403E-2"/>
      <name val="FT Base"/>
      <family val="3"/>
    </font>
    <font>
      <i/>
      <sz val="11"/>
      <color theme="1"/>
      <name val="FT Base"/>
      <family val="3"/>
    </font>
    <font>
      <b/>
      <i/>
      <sz val="11"/>
      <color theme="1"/>
      <name val="FT Base"/>
      <family val="3"/>
    </font>
    <font>
      <b/>
      <sz val="11"/>
      <color rgb="FFFF0000"/>
      <name val="FT Base"/>
      <family val="3"/>
    </font>
    <font>
      <sz val="12"/>
      <name val="FT Base Medium"/>
      <family val="3"/>
    </font>
    <font>
      <b/>
      <sz val="11"/>
      <color theme="0"/>
      <name val="FT Base"/>
      <family val="3"/>
    </font>
    <font>
      <b/>
      <sz val="11"/>
      <color theme="1"/>
      <name val="FT Base"/>
    </font>
    <font>
      <b/>
      <sz val="11"/>
      <name val="FT Base"/>
    </font>
    <font>
      <sz val="11"/>
      <color theme="1"/>
      <name val="FT Base"/>
    </font>
    <font>
      <sz val="11"/>
      <name val="FT Base"/>
    </font>
    <font>
      <sz val="11"/>
      <color theme="1" tint="4.9989318521683403E-2"/>
      <name val="FT Base"/>
    </font>
    <font>
      <sz val="10"/>
      <color theme="2" tint="-0.499984740745262"/>
      <name val="FT Base"/>
    </font>
    <font>
      <sz val="11"/>
      <color theme="0"/>
      <name val="FT Base Book"/>
      <family val="2"/>
      <scheme val="minor"/>
    </font>
    <font>
      <sz val="10"/>
      <name val="Arial"/>
      <family val="2"/>
    </font>
    <font>
      <sz val="7.5"/>
      <name val="Arial"/>
      <family val="2"/>
    </font>
    <font>
      <b/>
      <i/>
      <u/>
      <sz val="7.5"/>
      <color theme="3"/>
      <name val="Arial"/>
      <family val="2"/>
    </font>
    <font>
      <b/>
      <u/>
      <sz val="7.5"/>
      <color rgb="FFFF0000"/>
      <name val="Arial"/>
      <family val="2"/>
    </font>
    <font>
      <i/>
      <sz val="7.5"/>
      <name val="Arial"/>
      <family val="2"/>
    </font>
    <font>
      <b/>
      <sz val="7.5"/>
      <name val="Arial"/>
      <family val="2"/>
    </font>
    <font>
      <i/>
      <u/>
      <sz val="7.5"/>
      <name val="Arial"/>
      <family val="2"/>
    </font>
    <font>
      <i/>
      <sz val="7.5"/>
      <color theme="0"/>
      <name val="Arial"/>
      <family val="2"/>
    </font>
    <font>
      <b/>
      <sz val="4"/>
      <name val="Arial"/>
      <family val="2"/>
    </font>
    <font>
      <sz val="7.5"/>
      <color rgb="FF000000"/>
      <name val="Arial"/>
      <family val="2"/>
    </font>
    <font>
      <sz val="10"/>
      <color theme="1"/>
      <name val="Arial"/>
      <family val="2"/>
    </font>
    <font>
      <sz val="12"/>
      <name val="Times New Roman"/>
      <family val="1"/>
    </font>
    <font>
      <sz val="12"/>
      <name val="TrueOptima"/>
    </font>
    <font>
      <sz val="10"/>
      <color rgb="FF000000"/>
      <name val="FT Base Book"/>
      <family val="2"/>
      <scheme val="minor"/>
    </font>
    <font>
      <sz val="10"/>
      <name val="FT Base Book"/>
      <family val="2"/>
      <scheme val="minor"/>
    </font>
    <font>
      <b/>
      <sz val="10"/>
      <color rgb="FFFFFFFF"/>
      <name val="FT Base Book"/>
      <family val="2"/>
      <scheme val="minor"/>
    </font>
    <font>
      <i/>
      <sz val="10"/>
      <color rgb="FF000000"/>
      <name val="FT Base Book"/>
      <family val="2"/>
      <scheme val="minor"/>
    </font>
    <font>
      <b/>
      <sz val="10"/>
      <name val="FT Base Book"/>
      <family val="2"/>
      <scheme val="minor"/>
    </font>
    <font>
      <b/>
      <sz val="10"/>
      <color theme="1"/>
      <name val="FT Base Book"/>
      <family val="2"/>
      <scheme val="minor"/>
    </font>
    <font>
      <b/>
      <sz val="10"/>
      <color theme="0"/>
      <name val="FT Base Book"/>
      <family val="2"/>
      <scheme val="minor"/>
    </font>
    <font>
      <b/>
      <sz val="12"/>
      <color rgb="FF006600"/>
      <name val="FT Base Book"/>
      <family val="2"/>
      <scheme val="minor"/>
    </font>
    <font>
      <b/>
      <sz val="10"/>
      <color indexed="9"/>
      <name val="FT Base Book"/>
      <family val="2"/>
      <scheme val="minor"/>
    </font>
    <font>
      <sz val="9"/>
      <name val="FT Base Book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sz val="10"/>
      <color indexed="8"/>
      <name val="MS Sans Serif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sz val="10"/>
      <color indexed="9"/>
      <name val="Arial"/>
      <family val="2"/>
    </font>
    <font>
      <sz val="10"/>
      <color indexed="9"/>
      <name val="Verdana"/>
      <family val="2"/>
    </font>
    <font>
      <b/>
      <sz val="9"/>
      <name val="Helv"/>
    </font>
    <font>
      <sz val="11"/>
      <color indexed="16"/>
      <name val="Calibri"/>
      <family val="2"/>
    </font>
    <font>
      <sz val="11"/>
      <color indexed="37"/>
      <name val="Calibri"/>
      <family val="2"/>
    </font>
    <font>
      <b/>
      <sz val="8"/>
      <name val="Univers (E1)"/>
    </font>
    <font>
      <sz val="10"/>
      <color indexed="17"/>
      <name val="Verdana"/>
      <family val="2"/>
    </font>
    <font>
      <b/>
      <sz val="11"/>
      <color indexed="53"/>
      <name val="Calibri"/>
      <family val="2"/>
    </font>
    <font>
      <b/>
      <sz val="11"/>
      <color indexed="17"/>
      <name val="Calibri"/>
      <family val="2"/>
    </font>
    <font>
      <b/>
      <sz val="10"/>
      <color indexed="9"/>
      <name val="Verdana"/>
      <family val="2"/>
    </font>
    <font>
      <sz val="10"/>
      <color indexed="10"/>
      <name val="Verdana"/>
      <family val="2"/>
    </font>
    <font>
      <sz val="10"/>
      <name val="MS Sans Serif"/>
      <family val="2"/>
    </font>
    <font>
      <b/>
      <sz val="11"/>
      <color indexed="62"/>
      <name val="Verdana"/>
      <family val="2"/>
    </font>
    <font>
      <sz val="10"/>
      <name val="Comic Sans MS"/>
      <family val="4"/>
    </font>
    <font>
      <i/>
      <sz val="10"/>
      <color indexed="18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  <font>
      <sz val="11"/>
      <color indexed="12"/>
      <name val="Arial"/>
      <family val="2"/>
    </font>
    <font>
      <sz val="8"/>
      <name val="Trebuchet MS"/>
      <family val="2"/>
    </font>
    <font>
      <sz val="10"/>
      <name val="Arial CE"/>
      <charset val="238"/>
    </font>
    <font>
      <b/>
      <sz val="10"/>
      <color indexed="63"/>
      <name val="Verdana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12"/>
      <color indexed="8"/>
      <name val="Arial"/>
      <family val="2"/>
    </font>
    <font>
      <sz val="8"/>
      <color indexed="8"/>
      <name val="Arial"/>
      <family val="2"/>
    </font>
    <font>
      <sz val="19"/>
      <color indexed="48"/>
      <name val="Arial"/>
      <family val="2"/>
    </font>
    <font>
      <b/>
      <sz val="16"/>
      <color indexed="23"/>
      <name val="Arial"/>
      <family val="2"/>
    </font>
    <font>
      <sz val="19"/>
      <name val="Arial"/>
      <family val="2"/>
    </font>
    <font>
      <sz val="10"/>
      <color indexed="10"/>
      <name val="Arial"/>
      <family val="2"/>
    </font>
    <font>
      <sz val="8"/>
      <color indexed="14"/>
      <name val="Arial"/>
      <family val="2"/>
    </font>
    <font>
      <sz val="9"/>
      <color indexed="48"/>
      <name val="Arial"/>
      <family val="2"/>
    </font>
    <font>
      <b/>
      <sz val="12"/>
      <color indexed="20"/>
      <name val="Arial"/>
      <family val="2"/>
    </font>
    <font>
      <sz val="9"/>
      <color indexed="20"/>
      <name val="Arial"/>
      <family val="2"/>
    </font>
    <font>
      <b/>
      <sz val="18"/>
      <color indexed="62"/>
      <name val="Cambria"/>
      <family val="2"/>
    </font>
    <font>
      <b/>
      <sz val="10"/>
      <name val="Helv"/>
    </font>
    <font>
      <b/>
      <sz val="15"/>
      <color indexed="62"/>
      <name val="Verdana"/>
      <family val="2"/>
    </font>
    <font>
      <b/>
      <sz val="13"/>
      <color indexed="62"/>
      <name val="Verdana"/>
      <family val="2"/>
    </font>
    <font>
      <sz val="8"/>
      <name val="Book Antiqua"/>
      <family val="1"/>
    </font>
    <font>
      <sz val="11"/>
      <color indexed="14"/>
      <name val="Calibri"/>
      <family val="2"/>
    </font>
    <font>
      <sz val="12"/>
      <name val="Tahoma"/>
      <family val="2"/>
    </font>
    <font>
      <vertAlign val="superscript"/>
      <sz val="8"/>
      <color indexed="23"/>
      <name val="Tahoma"/>
      <family val="2"/>
    </font>
    <font>
      <sz val="8"/>
      <color indexed="23"/>
      <name val="Tahoma"/>
      <family val="2"/>
    </font>
    <font>
      <vertAlign val="superscript"/>
      <sz val="12"/>
      <color indexed="63"/>
      <name val="Tahoma"/>
      <family val="2"/>
    </font>
    <font>
      <sz val="10"/>
      <color theme="1"/>
      <name val="Verdana"/>
      <family val="2"/>
    </font>
    <font>
      <sz val="12"/>
      <color rgb="FF4C4C4E"/>
      <name val="Tahoma"/>
      <family val="2"/>
    </font>
    <font>
      <sz val="12"/>
      <color rgb="FFFA551E"/>
      <name val="Tahoma"/>
      <family val="2"/>
    </font>
    <font>
      <b/>
      <sz val="12"/>
      <color rgb="FF4C4C4E"/>
      <name val="Tahoma"/>
      <family val="2"/>
    </font>
    <font>
      <sz val="13"/>
      <color rgb="FF4C4C4E"/>
      <name val="Tahoma"/>
      <family val="2"/>
    </font>
    <font>
      <b/>
      <sz val="10"/>
      <color rgb="FF4C4C4C"/>
      <name val="Tahoma"/>
      <family val="2"/>
    </font>
    <font>
      <sz val="10"/>
      <color rgb="FF4C4C4C"/>
      <name val="Tahoma"/>
      <family val="2"/>
    </font>
    <font>
      <sz val="8"/>
      <color theme="0" tint="-0.499984740745262"/>
      <name val="Tahoma"/>
      <family val="2"/>
    </font>
    <font>
      <i/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2"/>
      <color theme="1"/>
      <name val="Century Gothic"/>
      <family val="2"/>
    </font>
  </fonts>
  <fills count="1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7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8000"/>
        <bgColor rgb="FFFFFFFF"/>
      </patternFill>
    </fill>
    <fill>
      <patternFill patternType="solid">
        <fgColor rgb="FFD8E4B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1"/>
      </patternFill>
    </fill>
    <fill>
      <patternFill patternType="solid">
        <fgColor indexed="45"/>
      </patternFill>
    </fill>
    <fill>
      <patternFill patternType="solid">
        <fgColor indexed="40"/>
      </patternFill>
    </fill>
    <fill>
      <patternFill patternType="solid">
        <fgColor indexed="42"/>
      </patternFill>
    </fill>
    <fill>
      <patternFill patternType="solid">
        <fgColor indexed="50"/>
      </patternFill>
    </fill>
    <fill>
      <patternFill patternType="solid">
        <fgColor indexed="46"/>
      </patternFill>
    </fill>
    <fill>
      <patternFill patternType="solid">
        <fgColor indexed="35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57"/>
      </patternFill>
    </fill>
    <fill>
      <patternFill patternType="solid">
        <fgColor indexed="24"/>
      </patternFill>
    </fill>
    <fill>
      <patternFill patternType="solid">
        <fgColor indexed="54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58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61"/>
        <bgColor indexed="61"/>
      </patternFill>
    </fill>
    <fill>
      <patternFill patternType="solid">
        <fgColor indexed="54"/>
        <bgColor indexed="54"/>
      </patternFill>
    </fill>
    <fill>
      <patternFill patternType="solid">
        <fgColor indexed="22"/>
        <bgColor indexed="22"/>
      </patternFill>
    </fill>
    <fill>
      <patternFill patternType="solid">
        <fgColor indexed="24"/>
        <bgColor indexed="24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0"/>
        <bgColor indexed="40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1"/>
        <bgColor indexed="4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23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49"/>
        <bgColor indexed="49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2"/>
        <bgColor indexed="52"/>
      </patternFill>
    </fill>
    <fill>
      <patternFill patternType="solid">
        <fgColor indexed="53"/>
        <bgColor indexed="53"/>
      </patternFill>
    </fill>
    <fill>
      <patternFill patternType="solid">
        <fgColor indexed="9"/>
        <bgColor indexed="9"/>
      </patternFill>
    </fill>
    <fill>
      <patternFill patternType="solid">
        <fgColor indexed="35"/>
        <bgColor indexed="35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56"/>
      </patternFill>
    </fill>
    <fill>
      <patternFill patternType="solid">
        <fgColor indexed="42"/>
        <bgColor indexed="42"/>
      </patternFill>
    </fill>
    <fill>
      <patternFill patternType="solid">
        <fgColor indexed="60"/>
      </patternFill>
    </fill>
    <fill>
      <patternFill patternType="solid">
        <f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48"/>
        <bgColor indexed="41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14"/>
        <bgColor indexed="64"/>
      </patternFill>
    </fill>
    <fill>
      <patternFill patternType="gray0625">
        <fgColor indexed="12"/>
      </patternFill>
    </fill>
  </fills>
  <borders count="141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rgb="FFB5B6B3"/>
      </top>
      <bottom/>
      <diagonal/>
    </border>
    <border>
      <left style="hair">
        <color rgb="FFB5B6B3"/>
      </left>
      <right/>
      <top style="thin">
        <color rgb="FFB5B6B3"/>
      </top>
      <bottom/>
      <diagonal/>
    </border>
    <border>
      <left style="hair">
        <color rgb="FFB5B6B3"/>
      </left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hair">
        <color rgb="FFB5B6B3"/>
      </left>
      <right/>
      <top/>
      <bottom style="thin">
        <color theme="0" tint="-0.499984740745262"/>
      </bottom>
      <diagonal/>
    </border>
    <border>
      <left style="thin">
        <color rgb="FFB5B6B3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hair">
        <color rgb="FFB5B6B3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hair">
        <color rgb="FFB5B6B3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rgb="FF91928F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rgb="FF91928F"/>
      </top>
      <bottom style="thin">
        <color rgb="FF91928F"/>
      </bottom>
      <diagonal/>
    </border>
    <border>
      <left style="thin">
        <color rgb="FFB5B6B3"/>
      </left>
      <right/>
      <top/>
      <bottom/>
      <diagonal/>
    </border>
    <border>
      <left/>
      <right style="hair">
        <color rgb="FFB5B6B3"/>
      </right>
      <top style="thin">
        <color rgb="FFB5B6B3"/>
      </top>
      <bottom/>
      <diagonal/>
    </border>
    <border>
      <left/>
      <right style="hair">
        <color rgb="FFB5B6B3"/>
      </right>
      <top/>
      <bottom/>
      <diagonal/>
    </border>
    <border>
      <left/>
      <right style="hair">
        <color rgb="FFB5B6B3"/>
      </right>
      <top/>
      <bottom style="thin">
        <color theme="0" tint="-0.499984740745262"/>
      </bottom>
      <diagonal/>
    </border>
    <border>
      <left/>
      <right style="hair">
        <color rgb="FFB5B6B3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hair">
        <color rgb="FFB5B6B3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hair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rgb="FFB5B6B3"/>
      </left>
      <right/>
      <top style="thin">
        <color rgb="FFB5B6B3"/>
      </top>
      <bottom/>
      <diagonal/>
    </border>
    <border>
      <left style="thin">
        <color rgb="FFB5B6B3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rgb="FFB5B6B3"/>
      </top>
      <bottom/>
      <diagonal/>
    </border>
    <border>
      <left style="hair">
        <color rgb="FFB5B6B3"/>
      </left>
      <right/>
      <top style="thin">
        <color theme="0" tint="-0.34998626667073579"/>
      </top>
      <bottom/>
      <diagonal/>
    </border>
    <border>
      <left/>
      <right style="hair">
        <color rgb="FFB5B6B3"/>
      </right>
      <top style="thin">
        <color theme="0" tint="-0.34998626667073579"/>
      </top>
      <bottom/>
      <diagonal/>
    </border>
    <border>
      <left style="thin">
        <color rgb="FF91928F"/>
      </left>
      <right style="hair">
        <color rgb="FFB5B6B3"/>
      </right>
      <top/>
      <bottom/>
      <diagonal/>
    </border>
    <border>
      <left style="thin">
        <color rgb="FF91928F"/>
      </left>
      <right/>
      <top style="thin">
        <color rgb="FF91928F"/>
      </top>
      <bottom style="thin">
        <color rgb="FF91928F"/>
      </bottom>
      <diagonal/>
    </border>
    <border>
      <left style="thin">
        <color rgb="FF91928F"/>
      </left>
      <right style="thin">
        <color theme="0"/>
      </right>
      <top style="thin">
        <color rgb="FF91928F"/>
      </top>
      <bottom/>
      <diagonal/>
    </border>
    <border>
      <left style="thin">
        <color rgb="FF91928F"/>
      </left>
      <right/>
      <top style="thin">
        <color theme="0" tint="-0.499984740745262"/>
      </top>
      <bottom style="thin">
        <color rgb="FF91928F"/>
      </bottom>
      <diagonal/>
    </border>
    <border>
      <left/>
      <right/>
      <top style="thin">
        <color theme="0" tint="-0.499984740745262"/>
      </top>
      <bottom style="thin">
        <color rgb="FF91928F"/>
      </bottom>
      <diagonal/>
    </border>
    <border>
      <left/>
      <right/>
      <top/>
      <bottom style="thin">
        <color rgb="FF91928F"/>
      </bottom>
      <diagonal/>
    </border>
    <border>
      <left style="thin">
        <color rgb="FF91928F"/>
      </left>
      <right/>
      <top/>
      <bottom/>
      <diagonal/>
    </border>
    <border>
      <left style="thin">
        <color rgb="FF91928F"/>
      </left>
      <right/>
      <top style="thin">
        <color rgb="FFB5B6B3"/>
      </top>
      <bottom/>
      <diagonal/>
    </border>
    <border>
      <left style="thin">
        <color rgb="FF91928F"/>
      </left>
      <right/>
      <top/>
      <bottom style="thin">
        <color rgb="FF91928F"/>
      </bottom>
      <diagonal/>
    </border>
    <border>
      <left style="hair">
        <color rgb="FFB5B6B3"/>
      </left>
      <right/>
      <top/>
      <bottom style="thin">
        <color rgb="FF91928F"/>
      </bottom>
      <diagonal/>
    </border>
    <border>
      <left/>
      <right style="hair">
        <color rgb="FFB5B6B3"/>
      </right>
      <top/>
      <bottom style="thin">
        <color rgb="FF91928F"/>
      </bottom>
      <diagonal/>
    </border>
    <border>
      <left style="hair">
        <color rgb="FFB5B6B3"/>
      </left>
      <right/>
      <top style="thin">
        <color theme="0" tint="-0.499984740745262"/>
      </top>
      <bottom style="thin">
        <color rgb="FF91928F"/>
      </bottom>
      <diagonal/>
    </border>
    <border>
      <left/>
      <right style="hair">
        <color rgb="FFB5B6B3"/>
      </right>
      <top style="thin">
        <color theme="0" tint="-0.499984740745262"/>
      </top>
      <bottom style="thin">
        <color rgb="FF91928F"/>
      </bottom>
      <diagonal/>
    </border>
    <border>
      <left style="hair">
        <color rgb="FFB5B6B3"/>
      </left>
      <right/>
      <top style="thin">
        <color rgb="FF91928F"/>
      </top>
      <bottom style="thin">
        <color rgb="FF91928F"/>
      </bottom>
      <diagonal/>
    </border>
    <border>
      <left/>
      <right style="hair">
        <color rgb="FFB5B6B3"/>
      </right>
      <top style="thin">
        <color rgb="FF91928F"/>
      </top>
      <bottom style="thin">
        <color rgb="FF91928F"/>
      </bottom>
      <diagonal/>
    </border>
    <border>
      <left style="thin">
        <color theme="0" tint="-0.499984740745262"/>
      </left>
      <right/>
      <top style="thin">
        <color rgb="FF91928F"/>
      </top>
      <bottom style="thin">
        <color rgb="FF91928F"/>
      </bottom>
      <diagonal/>
    </border>
    <border>
      <left style="thin">
        <color theme="0" tint="-0.499984740745262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rgb="FF91928F"/>
      </top>
      <bottom style="thin">
        <color rgb="FF91928F"/>
      </bottom>
      <diagonal/>
    </border>
    <border>
      <left style="thin">
        <color theme="0"/>
      </left>
      <right/>
      <top style="thin">
        <color rgb="FF91928F"/>
      </top>
      <bottom style="thin">
        <color rgb="FF91928F"/>
      </bottom>
      <diagonal/>
    </border>
    <border>
      <left style="thin">
        <color theme="0"/>
      </left>
      <right style="thin">
        <color rgb="FFB5B6B3"/>
      </right>
      <top style="thin">
        <color rgb="FF91928F"/>
      </top>
      <bottom style="thin">
        <color rgb="FF91928F"/>
      </bottom>
      <diagonal/>
    </border>
    <border>
      <left style="thin">
        <color theme="0"/>
      </left>
      <right style="thin">
        <color rgb="FF91928F"/>
      </right>
      <top style="thin">
        <color rgb="FF91928F"/>
      </top>
      <bottom style="thin">
        <color rgb="FF91928F"/>
      </bottom>
      <diagonal/>
    </border>
    <border>
      <left style="thin">
        <color rgb="FF91928F"/>
      </left>
      <right/>
      <top style="thin">
        <color rgb="FF91928F"/>
      </top>
      <bottom/>
      <diagonal/>
    </border>
    <border>
      <left style="hair">
        <color rgb="FFB5B6B3"/>
      </left>
      <right/>
      <top style="thin">
        <color rgb="FF91928F"/>
      </top>
      <bottom/>
      <diagonal/>
    </border>
    <border>
      <left/>
      <right/>
      <top style="thin">
        <color rgb="FF91928F"/>
      </top>
      <bottom/>
      <diagonal/>
    </border>
    <border>
      <left/>
      <right style="hair">
        <color rgb="FFB5B6B3"/>
      </right>
      <top style="thin">
        <color rgb="FF91928F"/>
      </top>
      <bottom/>
      <diagonal/>
    </border>
    <border>
      <left style="thin">
        <color rgb="FF91928F"/>
      </left>
      <right style="thin">
        <color theme="0"/>
      </right>
      <top style="thin">
        <color rgb="FF91928F"/>
      </top>
      <bottom style="thin">
        <color rgb="FF91928F"/>
      </bottom>
      <diagonal/>
    </border>
    <border>
      <left style="thin">
        <color rgb="FF91928F"/>
      </left>
      <right style="hair">
        <color rgb="FFB5B6B3"/>
      </right>
      <top style="thin">
        <color rgb="FF91928F"/>
      </top>
      <bottom/>
      <diagonal/>
    </border>
    <border>
      <left style="thin">
        <color rgb="FF91928F"/>
      </left>
      <right style="hair">
        <color rgb="FFB5B6B3"/>
      </right>
      <top/>
      <bottom style="thin">
        <color rgb="FF91928F"/>
      </bottom>
      <diagonal/>
    </border>
    <border>
      <left style="thin">
        <color theme="0"/>
      </left>
      <right/>
      <top style="thin">
        <color rgb="FF91928F"/>
      </top>
      <bottom/>
      <diagonal/>
    </border>
    <border>
      <left style="hair">
        <color rgb="FFB5B6B3"/>
      </left>
      <right style="thin">
        <color theme="0"/>
      </right>
      <top style="thin">
        <color rgb="FF91928F"/>
      </top>
      <bottom style="thin">
        <color rgb="FF91928F"/>
      </bottom>
      <diagonal/>
    </border>
    <border>
      <left style="hair">
        <color theme="0" tint="-0.24994659260841701"/>
      </left>
      <right/>
      <top/>
      <bottom/>
      <diagonal/>
    </border>
    <border>
      <left style="thin">
        <color rgb="FF91928F"/>
      </left>
      <right style="hair">
        <color rgb="FF91928F"/>
      </right>
      <top style="thin">
        <color rgb="FF91928F"/>
      </top>
      <bottom style="thin">
        <color rgb="FF91928F"/>
      </bottom>
      <diagonal/>
    </border>
    <border>
      <left style="thin">
        <color rgb="FF91928F"/>
      </left>
      <right style="hair">
        <color rgb="FF91928F"/>
      </right>
      <top/>
      <bottom/>
      <diagonal/>
    </border>
    <border>
      <left style="thin">
        <color rgb="FF91928F"/>
      </left>
      <right style="hair">
        <color rgb="FF91928F"/>
      </right>
      <top style="thin">
        <color rgb="FF91928F"/>
      </top>
      <bottom/>
      <diagonal/>
    </border>
    <border>
      <left style="thin">
        <color theme="0"/>
      </left>
      <right/>
      <top/>
      <bottom style="thin">
        <color rgb="FF91928F"/>
      </bottom>
      <diagonal/>
    </border>
    <border>
      <left style="thin">
        <color theme="0"/>
      </left>
      <right style="thin">
        <color theme="0" tint="-0.499984740745262"/>
      </right>
      <top style="thin">
        <color rgb="FF91928F"/>
      </top>
      <bottom style="thin">
        <color rgb="FF91928F"/>
      </bottom>
      <diagonal/>
    </border>
    <border>
      <left/>
      <right style="thin">
        <color theme="0" tint="-0.499984740745262"/>
      </right>
      <top style="thin">
        <color rgb="FF91928F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91928F"/>
      </left>
      <right style="hair">
        <color rgb="FFB5B6B3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rgb="FFB5B6B3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/>
      </right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/>
      <bottom style="thin">
        <color theme="0" tint="-0.499984740745262"/>
      </bottom>
      <diagonal/>
    </border>
    <border>
      <left style="thin">
        <color theme="0"/>
      </left>
      <right/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/>
      <bottom style="thin">
        <color rgb="FF91928F"/>
      </bottom>
      <diagonal/>
    </border>
    <border>
      <left style="thin">
        <color theme="0"/>
      </left>
      <right style="thin">
        <color rgb="FFB5B6B3"/>
      </right>
      <top/>
      <bottom style="thin">
        <color rgb="FF91928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91928F"/>
      </left>
      <right style="thin">
        <color theme="0"/>
      </right>
      <top/>
      <bottom style="thin">
        <color rgb="FF91928F"/>
      </bottom>
      <diagonal/>
    </border>
    <border>
      <left style="thin">
        <color theme="0"/>
      </left>
      <right style="thin">
        <color rgb="FF91928F"/>
      </right>
      <top/>
      <bottom style="thin">
        <color rgb="FF91928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53"/>
      </bottom>
      <diagonal/>
    </border>
    <border>
      <left/>
      <right/>
      <top/>
      <bottom style="double">
        <color indexed="1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51"/>
      </left>
      <right style="thin">
        <color indexed="51"/>
      </right>
      <top/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4"/>
      </left>
      <right/>
      <top/>
      <bottom/>
      <diagonal/>
    </border>
    <border>
      <left/>
      <right/>
      <top/>
      <bottom style="thin">
        <color rgb="FFFA551E"/>
      </bottom>
      <diagonal/>
    </border>
    <border>
      <left/>
      <right/>
      <top style="thin">
        <color rgb="FFFA551E"/>
      </top>
      <bottom style="thin">
        <color rgb="FFFA551E"/>
      </bottom>
      <diagonal/>
    </border>
    <border>
      <left/>
      <right/>
      <top style="thin">
        <color rgb="FFFA551E"/>
      </top>
      <bottom style="thin">
        <color rgb="FFDCE6EB"/>
      </bottom>
      <diagonal/>
    </border>
    <border>
      <left/>
      <right/>
      <top style="thin">
        <color rgb="FFDCE6EB"/>
      </top>
      <bottom style="thin">
        <color rgb="FFDCE6EB"/>
      </bottom>
      <diagonal/>
    </border>
    <border>
      <left/>
      <right/>
      <top style="thin">
        <color rgb="FFDCE6EB"/>
      </top>
      <bottom style="thin">
        <color rgb="FFFA551E"/>
      </bottom>
      <diagonal/>
    </border>
    <border>
      <left/>
      <right/>
      <top style="thin">
        <color rgb="FFFA551E"/>
      </top>
      <bottom/>
      <diagonal/>
    </border>
    <border>
      <left/>
      <right/>
      <top style="thin">
        <color indexed="22"/>
      </top>
      <bottom style="thin">
        <color rgb="FFDCE6EB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/>
      <top/>
      <bottom/>
      <diagonal/>
    </border>
  </borders>
  <cellStyleXfs count="3104">
    <xf numFmtId="0" fontId="0" fillId="0" borderId="0"/>
    <xf numFmtId="9" fontId="4" fillId="0" borderId="0" applyFont="0" applyFill="0" applyBorder="0" applyAlignment="0" applyProtection="0"/>
    <xf numFmtId="167" fontId="3" fillId="0" borderId="0">
      <alignment horizontal="left" wrapText="1"/>
    </xf>
    <xf numFmtId="9" fontId="3" fillId="0" borderId="0" applyFont="0" applyFill="0" applyBorder="0" applyAlignment="0" applyProtection="0"/>
    <xf numFmtId="167" fontId="3" fillId="0" borderId="0">
      <alignment horizontal="left" wrapText="1"/>
    </xf>
    <xf numFmtId="0" fontId="4" fillId="0" borderId="0"/>
    <xf numFmtId="0" fontId="2" fillId="0" borderId="0"/>
    <xf numFmtId="43" fontId="4" fillId="0" borderId="0" applyFont="0" applyFill="0" applyBorder="0" applyAlignment="0" applyProtection="0"/>
    <xf numFmtId="0" fontId="1" fillId="0" borderId="0"/>
    <xf numFmtId="0" fontId="23" fillId="0" borderId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44" fontId="2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184" fontId="23" fillId="0" borderId="0"/>
    <xf numFmtId="9" fontId="23" fillId="0" borderId="0" applyFont="0" applyFill="0" applyBorder="0" applyAlignment="0" applyProtection="0"/>
    <xf numFmtId="178" fontId="23" fillId="0" borderId="0" applyFont="0" applyFill="0" applyBorder="0" applyAlignment="0" applyProtection="0"/>
    <xf numFmtId="0" fontId="33" fillId="0" borderId="0"/>
    <xf numFmtId="9" fontId="33" fillId="0" borderId="0" applyFont="0" applyFill="0" applyBorder="0" applyAlignment="0" applyProtection="0"/>
    <xf numFmtId="0" fontId="33" fillId="0" borderId="0"/>
    <xf numFmtId="0" fontId="33" fillId="0" borderId="0"/>
    <xf numFmtId="185" fontId="35" fillId="0" borderId="0"/>
    <xf numFmtId="0" fontId="33" fillId="0" borderId="0"/>
    <xf numFmtId="9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87" fontId="23" fillId="0" borderId="0"/>
    <xf numFmtId="190" fontId="67" fillId="0" borderId="0" applyNumberFormat="0" applyFont="0" applyFill="0" applyBorder="0" applyAlignment="0" applyProtection="0"/>
    <xf numFmtId="187" fontId="23" fillId="0" borderId="0"/>
    <xf numFmtId="187" fontId="23" fillId="0" borderId="0"/>
    <xf numFmtId="187" fontId="23" fillId="0" borderId="0"/>
    <xf numFmtId="187" fontId="23" fillId="0" borderId="0"/>
    <xf numFmtId="189" fontId="23" fillId="0" borderId="0"/>
    <xf numFmtId="0" fontId="23" fillId="0" borderId="0"/>
    <xf numFmtId="0" fontId="23" fillId="0" borderId="0"/>
    <xf numFmtId="187" fontId="23" fillId="0" borderId="0"/>
    <xf numFmtId="0" fontId="23" fillId="0" borderId="0"/>
    <xf numFmtId="190" fontId="67" fillId="0" borderId="0" applyNumberFormat="0" applyFont="0" applyFill="0" applyBorder="0" applyAlignment="0" applyProtection="0"/>
    <xf numFmtId="189" fontId="23" fillId="0" borderId="0"/>
    <xf numFmtId="0" fontId="23" fillId="0" borderId="0"/>
    <xf numFmtId="190" fontId="67" fillId="0" borderId="0" applyNumberFormat="0" applyFont="0" applyFill="0" applyBorder="0" applyAlignment="0" applyProtection="0"/>
    <xf numFmtId="0" fontId="23" fillId="0" borderId="0"/>
    <xf numFmtId="190" fontId="67" fillId="0" borderId="0" applyNumberFormat="0" applyFont="0" applyFill="0" applyBorder="0" applyAlignment="0" applyProtection="0"/>
    <xf numFmtId="190" fontId="68" fillId="0" borderId="0">
      <alignment vertical="top"/>
    </xf>
    <xf numFmtId="190" fontId="68" fillId="0" borderId="0">
      <alignment vertical="top"/>
    </xf>
    <xf numFmtId="190" fontId="68" fillId="0" borderId="0">
      <alignment vertical="top"/>
    </xf>
    <xf numFmtId="190" fontId="68" fillId="0" borderId="0">
      <alignment vertical="top"/>
    </xf>
    <xf numFmtId="190" fontId="68" fillId="0" borderId="0">
      <alignment vertical="top"/>
    </xf>
    <xf numFmtId="190" fontId="68" fillId="0" borderId="0">
      <alignment vertical="top"/>
    </xf>
    <xf numFmtId="190" fontId="68" fillId="0" borderId="0">
      <alignment vertical="top"/>
    </xf>
    <xf numFmtId="190" fontId="68" fillId="0" borderId="0">
      <alignment vertical="top"/>
    </xf>
    <xf numFmtId="190" fontId="68" fillId="0" borderId="0">
      <alignment vertical="top"/>
    </xf>
    <xf numFmtId="190" fontId="68" fillId="0" borderId="0">
      <alignment vertical="top"/>
    </xf>
    <xf numFmtId="190" fontId="68" fillId="0" borderId="0">
      <alignment vertical="top"/>
    </xf>
    <xf numFmtId="190" fontId="68" fillId="0" borderId="0">
      <alignment vertical="top"/>
    </xf>
    <xf numFmtId="190" fontId="68" fillId="0" borderId="0">
      <alignment vertical="top"/>
    </xf>
    <xf numFmtId="190" fontId="68" fillId="0" borderId="0">
      <alignment vertical="top"/>
    </xf>
    <xf numFmtId="190" fontId="68" fillId="0" borderId="0">
      <alignment vertical="top"/>
    </xf>
    <xf numFmtId="190" fontId="68" fillId="0" borderId="0">
      <alignment vertical="top"/>
    </xf>
    <xf numFmtId="190" fontId="68" fillId="0" borderId="0">
      <alignment vertical="top"/>
    </xf>
    <xf numFmtId="190" fontId="68" fillId="0" borderId="0">
      <alignment vertical="top"/>
    </xf>
    <xf numFmtId="190" fontId="68" fillId="0" borderId="0">
      <alignment vertical="top"/>
    </xf>
    <xf numFmtId="190" fontId="68" fillId="0" borderId="0">
      <alignment vertical="top"/>
    </xf>
    <xf numFmtId="190" fontId="68" fillId="0" borderId="0">
      <alignment vertical="top"/>
    </xf>
    <xf numFmtId="190" fontId="68" fillId="0" borderId="0">
      <alignment vertical="top"/>
    </xf>
    <xf numFmtId="190" fontId="68" fillId="0" borderId="0">
      <alignment vertical="top"/>
    </xf>
    <xf numFmtId="190" fontId="67" fillId="0" borderId="0" applyNumberFormat="0" applyFont="0" applyFill="0" applyBorder="0" applyAlignment="0" applyProtection="0"/>
    <xf numFmtId="190" fontId="68" fillId="0" borderId="0">
      <alignment vertical="top"/>
    </xf>
    <xf numFmtId="190" fontId="68" fillId="0" borderId="0">
      <alignment vertical="top"/>
    </xf>
    <xf numFmtId="0" fontId="67" fillId="0" borderId="0" applyNumberFormat="0" applyFont="0" applyFill="0" applyBorder="0" applyAlignment="0" applyProtection="0"/>
    <xf numFmtId="0" fontId="67" fillId="0" borderId="0" applyNumberFormat="0" applyFont="0" applyFill="0" applyBorder="0" applyAlignment="0" applyProtection="0"/>
    <xf numFmtId="190" fontId="68" fillId="0" borderId="0">
      <alignment vertical="top"/>
    </xf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46" fillId="38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46" fillId="40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68" fillId="43" borderId="0" applyNumberFormat="0" applyBorder="0" applyAlignment="0" applyProtection="0"/>
    <xf numFmtId="0" fontId="46" fillId="42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46" fillId="44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46" fillId="46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68" fillId="47" borderId="0" applyNumberFormat="0" applyBorder="0" applyAlignment="0" applyProtection="0"/>
    <xf numFmtId="0" fontId="68" fillId="47" borderId="0" applyNumberFormat="0" applyBorder="0" applyAlignment="0" applyProtection="0"/>
    <xf numFmtId="0" fontId="68" fillId="47" borderId="0" applyNumberFormat="0" applyBorder="0" applyAlignment="0" applyProtection="0"/>
    <xf numFmtId="0" fontId="68" fillId="47" borderId="0" applyNumberFormat="0" applyBorder="0" applyAlignment="0" applyProtection="0"/>
    <xf numFmtId="0" fontId="46" fillId="47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46" fillId="38" borderId="0" applyNumberFormat="0" applyBorder="0" applyAlignment="0" applyProtection="0"/>
    <xf numFmtId="190" fontId="46" fillId="38" borderId="0" applyNumberFormat="0" applyBorder="0" applyAlignment="0" applyProtection="0"/>
    <xf numFmtId="0" fontId="46" fillId="40" borderId="0" applyNumberFormat="0" applyBorder="0" applyAlignment="0" applyProtection="0"/>
    <xf numFmtId="190" fontId="46" fillId="40" borderId="0" applyNumberFormat="0" applyBorder="0" applyAlignment="0" applyProtection="0"/>
    <xf numFmtId="0" fontId="46" fillId="42" borderId="0" applyNumberFormat="0" applyBorder="0" applyAlignment="0" applyProtection="0"/>
    <xf numFmtId="190" fontId="46" fillId="42" borderId="0" applyNumberFormat="0" applyBorder="0" applyAlignment="0" applyProtection="0"/>
    <xf numFmtId="0" fontId="46" fillId="44" borderId="0" applyNumberFormat="0" applyBorder="0" applyAlignment="0" applyProtection="0"/>
    <xf numFmtId="190" fontId="46" fillId="44" borderId="0" applyNumberFormat="0" applyBorder="0" applyAlignment="0" applyProtection="0"/>
    <xf numFmtId="0" fontId="46" fillId="46" borderId="0" applyNumberFormat="0" applyBorder="0" applyAlignment="0" applyProtection="0"/>
    <xf numFmtId="190" fontId="46" fillId="46" borderId="0" applyNumberFormat="0" applyBorder="0" applyAlignment="0" applyProtection="0"/>
    <xf numFmtId="0" fontId="46" fillId="47" borderId="0" applyNumberFormat="0" applyBorder="0" applyAlignment="0" applyProtection="0"/>
    <xf numFmtId="190" fontId="46" fillId="47" borderId="0" applyNumberFormat="0" applyBorder="0" applyAlignment="0" applyProtection="0"/>
    <xf numFmtId="0" fontId="69" fillId="48" borderId="0" applyNumberFormat="0" applyBorder="0" applyAlignment="0" applyProtection="0"/>
    <xf numFmtId="0" fontId="46" fillId="38" borderId="0" applyNumberFormat="0" applyBorder="0" applyAlignment="0" applyProtection="0"/>
    <xf numFmtId="0" fontId="69" fillId="49" borderId="0" applyNumberFormat="0" applyBorder="0" applyAlignment="0" applyProtection="0"/>
    <xf numFmtId="0" fontId="46" fillId="40" borderId="0" applyNumberFormat="0" applyBorder="0" applyAlignment="0" applyProtection="0"/>
    <xf numFmtId="0" fontId="69" fillId="50" borderId="0" applyNumberFormat="0" applyBorder="0" applyAlignment="0" applyProtection="0"/>
    <xf numFmtId="0" fontId="46" fillId="42" borderId="0" applyNumberFormat="0" applyBorder="0" applyAlignment="0" applyProtection="0"/>
    <xf numFmtId="0" fontId="69" fillId="47" borderId="0" applyNumberFormat="0" applyBorder="0" applyAlignment="0" applyProtection="0"/>
    <xf numFmtId="0" fontId="46" fillId="44" borderId="0" applyNumberFormat="0" applyBorder="0" applyAlignment="0" applyProtection="0"/>
    <xf numFmtId="0" fontId="69" fillId="46" borderId="0" applyNumberFormat="0" applyBorder="0" applyAlignment="0" applyProtection="0"/>
    <xf numFmtId="0" fontId="46" fillId="46" borderId="0" applyNumberFormat="0" applyBorder="0" applyAlignment="0" applyProtection="0"/>
    <xf numFmtId="0" fontId="69" fillId="50" borderId="0" applyNumberFormat="0" applyBorder="0" applyAlignment="0" applyProtection="0"/>
    <xf numFmtId="0" fontId="46" fillId="4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68" fillId="51" borderId="0" applyNumberFormat="0" applyBorder="0" applyAlignment="0" applyProtection="0"/>
    <xf numFmtId="0" fontId="68" fillId="51" borderId="0" applyNumberFormat="0" applyBorder="0" applyAlignment="0" applyProtection="0"/>
    <xf numFmtId="0" fontId="68" fillId="51" borderId="0" applyNumberFormat="0" applyBorder="0" applyAlignment="0" applyProtection="0"/>
    <xf numFmtId="0" fontId="68" fillId="51" borderId="0" applyNumberFormat="0" applyBorder="0" applyAlignment="0" applyProtection="0"/>
    <xf numFmtId="0" fontId="46" fillId="4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68" fillId="41" borderId="0" applyNumberFormat="0" applyBorder="0" applyAlignment="0" applyProtection="0"/>
    <xf numFmtId="0" fontId="46" fillId="4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68" fillId="53" borderId="0" applyNumberFormat="0" applyBorder="0" applyAlignment="0" applyProtection="0"/>
    <xf numFmtId="0" fontId="68" fillId="53" borderId="0" applyNumberFormat="0" applyBorder="0" applyAlignment="0" applyProtection="0"/>
    <xf numFmtId="0" fontId="68" fillId="53" borderId="0" applyNumberFormat="0" applyBorder="0" applyAlignment="0" applyProtection="0"/>
    <xf numFmtId="0" fontId="68" fillId="53" borderId="0" applyNumberFormat="0" applyBorder="0" applyAlignment="0" applyProtection="0"/>
    <xf numFmtId="0" fontId="46" fillId="52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68" fillId="54" borderId="0" applyNumberFormat="0" applyBorder="0" applyAlignment="0" applyProtection="0"/>
    <xf numFmtId="0" fontId="68" fillId="54" borderId="0" applyNumberFormat="0" applyBorder="0" applyAlignment="0" applyProtection="0"/>
    <xf numFmtId="0" fontId="68" fillId="54" borderId="0" applyNumberFormat="0" applyBorder="0" applyAlignment="0" applyProtection="0"/>
    <xf numFmtId="0" fontId="68" fillId="54" borderId="0" applyNumberFormat="0" applyBorder="0" applyAlignment="0" applyProtection="0"/>
    <xf numFmtId="0" fontId="46" fillId="44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68" fillId="55" borderId="0" applyNumberFormat="0" applyBorder="0" applyAlignment="0" applyProtection="0"/>
    <xf numFmtId="0" fontId="68" fillId="55" borderId="0" applyNumberFormat="0" applyBorder="0" applyAlignment="0" applyProtection="0"/>
    <xf numFmtId="0" fontId="68" fillId="55" borderId="0" applyNumberFormat="0" applyBorder="0" applyAlignment="0" applyProtection="0"/>
    <xf numFmtId="0" fontId="68" fillId="55" borderId="0" applyNumberFormat="0" applyBorder="0" applyAlignment="0" applyProtection="0"/>
    <xf numFmtId="0" fontId="46" fillId="4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68" fillId="47" borderId="0" applyNumberFormat="0" applyBorder="0" applyAlignment="0" applyProtection="0"/>
    <xf numFmtId="0" fontId="68" fillId="47" borderId="0" applyNumberFormat="0" applyBorder="0" applyAlignment="0" applyProtection="0"/>
    <xf numFmtId="0" fontId="68" fillId="47" borderId="0" applyNumberFormat="0" applyBorder="0" applyAlignment="0" applyProtection="0"/>
    <xf numFmtId="0" fontId="68" fillId="47" borderId="0" applyNumberFormat="0" applyBorder="0" applyAlignment="0" applyProtection="0"/>
    <xf numFmtId="0" fontId="46" fillId="56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46" fillId="48" borderId="0" applyNumberFormat="0" applyBorder="0" applyAlignment="0" applyProtection="0"/>
    <xf numFmtId="190" fontId="46" fillId="48" borderId="0" applyNumberFormat="0" applyBorder="0" applyAlignment="0" applyProtection="0"/>
    <xf numFmtId="0" fontId="46" fillId="49" borderId="0" applyNumberFormat="0" applyBorder="0" applyAlignment="0" applyProtection="0"/>
    <xf numFmtId="190" fontId="46" fillId="49" borderId="0" applyNumberFormat="0" applyBorder="0" applyAlignment="0" applyProtection="0"/>
    <xf numFmtId="0" fontId="46" fillId="52" borderId="0" applyNumberFormat="0" applyBorder="0" applyAlignment="0" applyProtection="0"/>
    <xf numFmtId="190" fontId="46" fillId="52" borderId="0" applyNumberFormat="0" applyBorder="0" applyAlignment="0" applyProtection="0"/>
    <xf numFmtId="0" fontId="46" fillId="44" borderId="0" applyNumberFormat="0" applyBorder="0" applyAlignment="0" applyProtection="0"/>
    <xf numFmtId="190" fontId="46" fillId="44" borderId="0" applyNumberFormat="0" applyBorder="0" applyAlignment="0" applyProtection="0"/>
    <xf numFmtId="0" fontId="46" fillId="48" borderId="0" applyNumberFormat="0" applyBorder="0" applyAlignment="0" applyProtection="0"/>
    <xf numFmtId="190" fontId="46" fillId="48" borderId="0" applyNumberFormat="0" applyBorder="0" applyAlignment="0" applyProtection="0"/>
    <xf numFmtId="0" fontId="46" fillId="56" borderId="0" applyNumberFormat="0" applyBorder="0" applyAlignment="0" applyProtection="0"/>
    <xf numFmtId="190" fontId="46" fillId="56" borderId="0" applyNumberFormat="0" applyBorder="0" applyAlignment="0" applyProtection="0"/>
    <xf numFmtId="0" fontId="69" fillId="46" borderId="0" applyNumberFormat="0" applyBorder="0" applyAlignment="0" applyProtection="0"/>
    <xf numFmtId="0" fontId="46" fillId="48" borderId="0" applyNumberFormat="0" applyBorder="0" applyAlignment="0" applyProtection="0"/>
    <xf numFmtId="0" fontId="69" fillId="49" borderId="0" applyNumberFormat="0" applyBorder="0" applyAlignment="0" applyProtection="0"/>
    <xf numFmtId="0" fontId="46" fillId="49" borderId="0" applyNumberFormat="0" applyBorder="0" applyAlignment="0" applyProtection="0"/>
    <xf numFmtId="0" fontId="69" fillId="57" borderId="0" applyNumberFormat="0" applyBorder="0" applyAlignment="0" applyProtection="0"/>
    <xf numFmtId="0" fontId="46" fillId="52" borderId="0" applyNumberFormat="0" applyBorder="0" applyAlignment="0" applyProtection="0"/>
    <xf numFmtId="0" fontId="69" fillId="40" borderId="0" applyNumberFormat="0" applyBorder="0" applyAlignment="0" applyProtection="0"/>
    <xf numFmtId="0" fontId="46" fillId="44" borderId="0" applyNumberFormat="0" applyBorder="0" applyAlignment="0" applyProtection="0"/>
    <xf numFmtId="0" fontId="69" fillId="46" borderId="0" applyNumberFormat="0" applyBorder="0" applyAlignment="0" applyProtection="0"/>
    <xf numFmtId="0" fontId="46" fillId="48" borderId="0" applyNumberFormat="0" applyBorder="0" applyAlignment="0" applyProtection="0"/>
    <xf numFmtId="0" fontId="69" fillId="50" borderId="0" applyNumberFormat="0" applyBorder="0" applyAlignment="0" applyProtection="0"/>
    <xf numFmtId="0" fontId="46" fillId="56" borderId="0" applyNumberFormat="0" applyBorder="0" applyAlignment="0" applyProtection="0"/>
    <xf numFmtId="0" fontId="70" fillId="59" borderId="0" applyNumberFormat="0" applyBorder="0" applyAlignment="0" applyProtection="0"/>
    <xf numFmtId="0" fontId="70" fillId="59" borderId="0" applyNumberFormat="0" applyBorder="0" applyAlignment="0" applyProtection="0"/>
    <xf numFmtId="0" fontId="70" fillId="59" borderId="0" applyNumberFormat="0" applyBorder="0" applyAlignment="0" applyProtection="0"/>
    <xf numFmtId="0" fontId="70" fillId="59" borderId="0" applyNumberFormat="0" applyBorder="0" applyAlignment="0" applyProtection="0"/>
    <xf numFmtId="0" fontId="47" fillId="58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70" fillId="41" borderId="0" applyNumberFormat="0" applyBorder="0" applyAlignment="0" applyProtection="0"/>
    <xf numFmtId="0" fontId="47" fillId="49" borderId="0" applyNumberFormat="0" applyBorder="0" applyAlignment="0" applyProtection="0"/>
    <xf numFmtId="0" fontId="70" fillId="53" borderId="0" applyNumberFormat="0" applyBorder="0" applyAlignment="0" applyProtection="0"/>
    <xf numFmtId="0" fontId="70" fillId="53" borderId="0" applyNumberFormat="0" applyBorder="0" applyAlignment="0" applyProtection="0"/>
    <xf numFmtId="0" fontId="70" fillId="53" borderId="0" applyNumberFormat="0" applyBorder="0" applyAlignment="0" applyProtection="0"/>
    <xf numFmtId="0" fontId="70" fillId="53" borderId="0" applyNumberFormat="0" applyBorder="0" applyAlignment="0" applyProtection="0"/>
    <xf numFmtId="0" fontId="47" fillId="52" borderId="0" applyNumberFormat="0" applyBorder="0" applyAlignment="0" applyProtection="0"/>
    <xf numFmtId="0" fontId="70" fillId="54" borderId="0" applyNumberFormat="0" applyBorder="0" applyAlignment="0" applyProtection="0"/>
    <xf numFmtId="0" fontId="70" fillId="54" borderId="0" applyNumberFormat="0" applyBorder="0" applyAlignment="0" applyProtection="0"/>
    <xf numFmtId="0" fontId="70" fillId="54" borderId="0" applyNumberFormat="0" applyBorder="0" applyAlignment="0" applyProtection="0"/>
    <xf numFmtId="0" fontId="70" fillId="54" borderId="0" applyNumberFormat="0" applyBorder="0" applyAlignment="0" applyProtection="0"/>
    <xf numFmtId="0" fontId="47" fillId="60" borderId="0" applyNumberFormat="0" applyBorder="0" applyAlignment="0" applyProtection="0"/>
    <xf numFmtId="0" fontId="70" fillId="59" borderId="0" applyNumberFormat="0" applyBorder="0" applyAlignment="0" applyProtection="0"/>
    <xf numFmtId="0" fontId="70" fillId="59" borderId="0" applyNumberFormat="0" applyBorder="0" applyAlignment="0" applyProtection="0"/>
    <xf numFmtId="0" fontId="70" fillId="59" borderId="0" applyNumberFormat="0" applyBorder="0" applyAlignment="0" applyProtection="0"/>
    <xf numFmtId="0" fontId="70" fillId="59" borderId="0" applyNumberFormat="0" applyBorder="0" applyAlignment="0" applyProtection="0"/>
    <xf numFmtId="0" fontId="47" fillId="61" borderId="0" applyNumberFormat="0" applyBorder="0" applyAlignment="0" applyProtection="0"/>
    <xf numFmtId="0" fontId="70" fillId="56" borderId="0" applyNumberFormat="0" applyBorder="0" applyAlignment="0" applyProtection="0"/>
    <xf numFmtId="0" fontId="70" fillId="56" borderId="0" applyNumberFormat="0" applyBorder="0" applyAlignment="0" applyProtection="0"/>
    <xf numFmtId="0" fontId="70" fillId="56" borderId="0" applyNumberFormat="0" applyBorder="0" applyAlignment="0" applyProtection="0"/>
    <xf numFmtId="0" fontId="70" fillId="56" borderId="0" applyNumberFormat="0" applyBorder="0" applyAlignment="0" applyProtection="0"/>
    <xf numFmtId="0" fontId="47" fillId="62" borderId="0" applyNumberFormat="0" applyBorder="0" applyAlignment="0" applyProtection="0"/>
    <xf numFmtId="0" fontId="47" fillId="58" borderId="0" applyNumberFormat="0" applyBorder="0" applyAlignment="0" applyProtection="0"/>
    <xf numFmtId="190" fontId="47" fillId="58" borderId="0" applyNumberFormat="0" applyBorder="0" applyAlignment="0" applyProtection="0"/>
    <xf numFmtId="0" fontId="47" fillId="49" borderId="0" applyNumberFormat="0" applyBorder="0" applyAlignment="0" applyProtection="0"/>
    <xf numFmtId="190" fontId="47" fillId="49" borderId="0" applyNumberFormat="0" applyBorder="0" applyAlignment="0" applyProtection="0"/>
    <xf numFmtId="0" fontId="47" fillId="52" borderId="0" applyNumberFormat="0" applyBorder="0" applyAlignment="0" applyProtection="0"/>
    <xf numFmtId="190" fontId="47" fillId="52" borderId="0" applyNumberFormat="0" applyBorder="0" applyAlignment="0" applyProtection="0"/>
    <xf numFmtId="0" fontId="47" fillId="60" borderId="0" applyNumberFormat="0" applyBorder="0" applyAlignment="0" applyProtection="0"/>
    <xf numFmtId="190" fontId="47" fillId="60" borderId="0" applyNumberFormat="0" applyBorder="0" applyAlignment="0" applyProtection="0"/>
    <xf numFmtId="0" fontId="47" fillId="61" borderId="0" applyNumberFormat="0" applyBorder="0" applyAlignment="0" applyProtection="0"/>
    <xf numFmtId="190" fontId="47" fillId="61" borderId="0" applyNumberFormat="0" applyBorder="0" applyAlignment="0" applyProtection="0"/>
    <xf numFmtId="0" fontId="47" fillId="62" borderId="0" applyNumberFormat="0" applyBorder="0" applyAlignment="0" applyProtection="0"/>
    <xf numFmtId="190" fontId="47" fillId="62" borderId="0" applyNumberFormat="0" applyBorder="0" applyAlignment="0" applyProtection="0"/>
    <xf numFmtId="0" fontId="71" fillId="46" borderId="0" applyNumberFormat="0" applyBorder="0" applyAlignment="0" applyProtection="0"/>
    <xf numFmtId="0" fontId="47" fillId="58" borderId="0" applyNumberFormat="0" applyBorder="0" applyAlignment="0" applyProtection="0"/>
    <xf numFmtId="0" fontId="71" fillId="63" borderId="0" applyNumberFormat="0" applyBorder="0" applyAlignment="0" applyProtection="0"/>
    <xf numFmtId="0" fontId="47" fillId="49" borderId="0" applyNumberFormat="0" applyBorder="0" applyAlignment="0" applyProtection="0"/>
    <xf numFmtId="0" fontId="71" fillId="56" borderId="0" applyNumberFormat="0" applyBorder="0" applyAlignment="0" applyProtection="0"/>
    <xf numFmtId="0" fontId="47" fillId="52" borderId="0" applyNumberFormat="0" applyBorder="0" applyAlignment="0" applyProtection="0"/>
    <xf numFmtId="0" fontId="71" fillId="40" borderId="0" applyNumberFormat="0" applyBorder="0" applyAlignment="0" applyProtection="0"/>
    <xf numFmtId="0" fontId="47" fillId="60" borderId="0" applyNumberFormat="0" applyBorder="0" applyAlignment="0" applyProtection="0"/>
    <xf numFmtId="0" fontId="71" fillId="46" borderId="0" applyNumberFormat="0" applyBorder="0" applyAlignment="0" applyProtection="0"/>
    <xf numFmtId="0" fontId="47" fillId="61" borderId="0" applyNumberFormat="0" applyBorder="0" applyAlignment="0" applyProtection="0"/>
    <xf numFmtId="0" fontId="71" fillId="49" borderId="0" applyNumberFormat="0" applyBorder="0" applyAlignment="0" applyProtection="0"/>
    <xf numFmtId="0" fontId="47" fillId="62" borderId="0" applyNumberFormat="0" applyBorder="0" applyAlignment="0" applyProtection="0"/>
    <xf numFmtId="0" fontId="46" fillId="65" borderId="0" applyNumberFormat="0" applyBorder="0" applyAlignment="0" applyProtection="0"/>
    <xf numFmtId="0" fontId="46" fillId="66" borderId="0" applyNumberFormat="0" applyBorder="0" applyAlignment="0" applyProtection="0"/>
    <xf numFmtId="0" fontId="46" fillId="67" borderId="0" applyNumberFormat="0" applyBorder="0" applyAlignment="0" applyProtection="0"/>
    <xf numFmtId="0" fontId="46" fillId="68" borderId="0" applyNumberFormat="0" applyBorder="0" applyAlignment="0" applyProtection="0"/>
    <xf numFmtId="0" fontId="47" fillId="69" borderId="0" applyNumberFormat="0" applyBorder="0" applyAlignment="0" applyProtection="0"/>
    <xf numFmtId="0" fontId="47" fillId="70" borderId="0" applyNumberFormat="0" applyBorder="0" applyAlignment="0" applyProtection="0"/>
    <xf numFmtId="0" fontId="47" fillId="64" borderId="0" applyNumberFormat="0" applyBorder="0" applyAlignment="0" applyProtection="0"/>
    <xf numFmtId="0" fontId="47" fillId="64" borderId="0" applyNumberFormat="0" applyBorder="0" applyAlignment="0" applyProtection="0"/>
    <xf numFmtId="0" fontId="47" fillId="64" borderId="0" applyNumberFormat="0" applyBorder="0" applyAlignment="0" applyProtection="0"/>
    <xf numFmtId="0" fontId="47" fillId="64" borderId="0" applyNumberFormat="0" applyBorder="0" applyAlignment="0" applyProtection="0"/>
    <xf numFmtId="0" fontId="47" fillId="64" borderId="0" applyNumberFormat="0" applyBorder="0" applyAlignment="0" applyProtection="0"/>
    <xf numFmtId="0" fontId="47" fillId="64" borderId="0" applyNumberFormat="0" applyBorder="0" applyAlignment="0" applyProtection="0"/>
    <xf numFmtId="0" fontId="47" fillId="64" borderId="0" applyNumberFormat="0" applyBorder="0" applyAlignment="0" applyProtection="0"/>
    <xf numFmtId="0" fontId="47" fillId="64" borderId="0" applyNumberFormat="0" applyBorder="0" applyAlignment="0" applyProtection="0"/>
    <xf numFmtId="0" fontId="47" fillId="64" borderId="0" applyNumberFormat="0" applyBorder="0" applyAlignment="0" applyProtection="0"/>
    <xf numFmtId="0" fontId="47" fillId="64" borderId="0" applyNumberFormat="0" applyBorder="0" applyAlignment="0" applyProtection="0"/>
    <xf numFmtId="0" fontId="47" fillId="71" borderId="0" applyNumberFormat="0" applyBorder="0" applyAlignment="0" applyProtection="0"/>
    <xf numFmtId="0" fontId="47" fillId="71" borderId="0" applyNumberFormat="0" applyBorder="0" applyAlignment="0" applyProtection="0"/>
    <xf numFmtId="0" fontId="47" fillId="71" borderId="0" applyNumberFormat="0" applyBorder="0" applyAlignment="0" applyProtection="0"/>
    <xf numFmtId="0" fontId="47" fillId="64" borderId="0" applyNumberFormat="0" applyBorder="0" applyAlignment="0" applyProtection="0"/>
    <xf numFmtId="0" fontId="47" fillId="64" borderId="0" applyNumberFormat="0" applyBorder="0" applyAlignment="0" applyProtection="0"/>
    <xf numFmtId="0" fontId="47" fillId="64" borderId="0" applyNumberFormat="0" applyBorder="0" applyAlignment="0" applyProtection="0"/>
    <xf numFmtId="0" fontId="47" fillId="64" borderId="0" applyNumberFormat="0" applyBorder="0" applyAlignment="0" applyProtection="0"/>
    <xf numFmtId="0" fontId="47" fillId="64" borderId="0" applyNumberFormat="0" applyBorder="0" applyAlignment="0" applyProtection="0"/>
    <xf numFmtId="0" fontId="47" fillId="64" borderId="0" applyNumberFormat="0" applyBorder="0" applyAlignment="0" applyProtection="0"/>
    <xf numFmtId="0" fontId="47" fillId="64" borderId="0" applyNumberFormat="0" applyBorder="0" applyAlignment="0" applyProtection="0"/>
    <xf numFmtId="0" fontId="47" fillId="64" borderId="0" applyNumberFormat="0" applyBorder="0" applyAlignment="0" applyProtection="0"/>
    <xf numFmtId="0" fontId="47" fillId="64" borderId="0" applyNumberFormat="0" applyBorder="0" applyAlignment="0" applyProtection="0"/>
    <xf numFmtId="0" fontId="47" fillId="64" borderId="0" applyNumberFormat="0" applyBorder="0" applyAlignment="0" applyProtection="0"/>
    <xf numFmtId="0" fontId="47" fillId="71" borderId="0" applyNumberFormat="0" applyBorder="0" applyAlignment="0" applyProtection="0"/>
    <xf numFmtId="0" fontId="47" fillId="64" borderId="0" applyNumberFormat="0" applyBorder="0" applyAlignment="0" applyProtection="0"/>
    <xf numFmtId="0" fontId="47" fillId="64" borderId="0" applyNumberFormat="0" applyBorder="0" applyAlignment="0" applyProtection="0"/>
    <xf numFmtId="0" fontId="47" fillId="64" borderId="0" applyNumberFormat="0" applyBorder="0" applyAlignment="0" applyProtection="0"/>
    <xf numFmtId="0" fontId="47" fillId="64" borderId="0" applyNumberFormat="0" applyBorder="0" applyAlignment="0" applyProtection="0"/>
    <xf numFmtId="0" fontId="47" fillId="64" borderId="0" applyNumberFormat="0" applyBorder="0" applyAlignment="0" applyProtection="0"/>
    <xf numFmtId="0" fontId="47" fillId="6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7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6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6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6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6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64" borderId="0" applyNumberFormat="0" applyBorder="0" applyAlignment="0" applyProtection="0"/>
    <xf numFmtId="0" fontId="46" fillId="73" borderId="0" applyNumberFormat="0" applyBorder="0" applyAlignment="0" applyProtection="0"/>
    <xf numFmtId="0" fontId="46" fillId="74" borderId="0" applyNumberFormat="0" applyBorder="0" applyAlignment="0" applyProtection="0"/>
    <xf numFmtId="0" fontId="46" fillId="75" borderId="0" applyNumberFormat="0" applyBorder="0" applyAlignment="0" applyProtection="0"/>
    <xf numFmtId="0" fontId="46" fillId="76" borderId="0" applyNumberFormat="0" applyBorder="0" applyAlignment="0" applyProtection="0"/>
    <xf numFmtId="0" fontId="47" fillId="77" borderId="0" applyNumberFormat="0" applyBorder="0" applyAlignment="0" applyProtection="0"/>
    <xf numFmtId="0" fontId="47" fillId="75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8" borderId="0" applyNumberFormat="0" applyBorder="0" applyAlignment="0" applyProtection="0"/>
    <xf numFmtId="0" fontId="47" fillId="78" borderId="0" applyNumberFormat="0" applyBorder="0" applyAlignment="0" applyProtection="0"/>
    <xf numFmtId="0" fontId="47" fillId="78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8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47" fillId="7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7" fillId="78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7" fillId="7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7" fillId="7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7" fillId="7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7" fillId="7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7" fillId="72" borderId="0" applyNumberFormat="0" applyBorder="0" applyAlignment="0" applyProtection="0"/>
    <xf numFmtId="0" fontId="46" fillId="79" borderId="0" applyNumberFormat="0" applyBorder="0" applyAlignment="0" applyProtection="0"/>
    <xf numFmtId="0" fontId="46" fillId="80" borderId="0" applyNumberFormat="0" applyBorder="0" applyAlignment="0" applyProtection="0"/>
    <xf numFmtId="0" fontId="46" fillId="76" borderId="0" applyNumberFormat="0" applyBorder="0" applyAlignment="0" applyProtection="0"/>
    <xf numFmtId="0" fontId="46" fillId="81" borderId="0" applyNumberFormat="0" applyBorder="0" applyAlignment="0" applyProtection="0"/>
    <xf numFmtId="0" fontId="47" fillId="68" borderId="0" applyNumberFormat="0" applyBorder="0" applyAlignment="0" applyProtection="0"/>
    <xf numFmtId="0" fontId="47" fillId="82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77" borderId="0" applyNumberFormat="0" applyBorder="0" applyAlignment="0" applyProtection="0"/>
    <xf numFmtId="0" fontId="47" fillId="77" borderId="0" applyNumberFormat="0" applyBorder="0" applyAlignment="0" applyProtection="0"/>
    <xf numFmtId="0" fontId="47" fillId="77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77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83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7" fillId="7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7" fillId="53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7" fillId="53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7" fillId="53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7" fillId="53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7" fillId="53" borderId="0" applyNumberFormat="0" applyBorder="0" applyAlignment="0" applyProtection="0"/>
    <xf numFmtId="0" fontId="46" fillId="76" borderId="0" applyNumberFormat="0" applyBorder="0" applyAlignment="0" applyProtection="0"/>
    <xf numFmtId="0" fontId="46" fillId="74" borderId="0" applyNumberFormat="0" applyBorder="0" applyAlignment="0" applyProtection="0"/>
    <xf numFmtId="0" fontId="46" fillId="68" borderId="0" applyNumberFormat="0" applyBorder="0" applyAlignment="0" applyProtection="0"/>
    <xf numFmtId="0" fontId="46" fillId="77" borderId="0" applyNumberFormat="0" applyBorder="0" applyAlignment="0" applyProtection="0"/>
    <xf numFmtId="0" fontId="47" fillId="68" borderId="0" applyNumberFormat="0" applyBorder="0" applyAlignment="0" applyProtection="0"/>
    <xf numFmtId="0" fontId="47" fillId="76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84" borderId="0" applyNumberFormat="0" applyBorder="0" applyAlignment="0" applyProtection="0"/>
    <xf numFmtId="0" fontId="47" fillId="84" borderId="0" applyNumberFormat="0" applyBorder="0" applyAlignment="0" applyProtection="0"/>
    <xf numFmtId="0" fontId="47" fillId="84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84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85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47" fillId="84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47" fillId="60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47" fillId="60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47" fillId="60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47" fillId="60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47" fillId="60" borderId="0" applyNumberFormat="0" applyBorder="0" applyAlignment="0" applyProtection="0"/>
    <xf numFmtId="0" fontId="46" fillId="65" borderId="0" applyNumberFormat="0" applyBorder="0" applyAlignment="0" applyProtection="0"/>
    <xf numFmtId="0" fontId="46" fillId="79" borderId="0" applyNumberFormat="0" applyBorder="0" applyAlignment="0" applyProtection="0"/>
    <xf numFmtId="0" fontId="46" fillId="67" borderId="0" applyNumberFormat="0" applyBorder="0" applyAlignment="0" applyProtection="0"/>
    <xf numFmtId="190" fontId="46" fillId="67" borderId="0" applyNumberFormat="0" applyBorder="0" applyAlignment="0" applyProtection="0"/>
    <xf numFmtId="0" fontId="47" fillId="67" borderId="0" applyNumberFormat="0" applyBorder="0" applyAlignment="0" applyProtection="0"/>
    <xf numFmtId="0" fontId="47" fillId="70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86" borderId="0" applyNumberFormat="0" applyBorder="0" applyAlignment="0" applyProtection="0"/>
    <xf numFmtId="0" fontId="47" fillId="86" borderId="0" applyNumberFormat="0" applyBorder="0" applyAlignment="0" applyProtection="0"/>
    <xf numFmtId="0" fontId="47" fillId="8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8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70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47" fillId="86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47" fillId="61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47" fillId="61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47" fillId="61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47" fillId="61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47" fillId="61" borderId="0" applyNumberFormat="0" applyBorder="0" applyAlignment="0" applyProtection="0"/>
    <xf numFmtId="0" fontId="46" fillId="87" borderId="0" applyNumberFormat="0" applyBorder="0" applyAlignment="0" applyProtection="0"/>
    <xf numFmtId="190" fontId="46" fillId="87" borderId="0" applyNumberFormat="0" applyBorder="0" applyAlignment="0" applyProtection="0"/>
    <xf numFmtId="0" fontId="46" fillId="75" borderId="0" applyNumberFormat="0" applyBorder="0" applyAlignment="0" applyProtection="0"/>
    <xf numFmtId="0" fontId="46" fillId="88" borderId="0" applyNumberFormat="0" applyBorder="0" applyAlignment="0" applyProtection="0"/>
    <xf numFmtId="0" fontId="47" fillId="88" borderId="0" applyNumberFormat="0" applyBorder="0" applyAlignment="0" applyProtection="0"/>
    <xf numFmtId="0" fontId="47" fillId="89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90" borderId="0" applyNumberFormat="0" applyBorder="0" applyAlignment="0" applyProtection="0"/>
    <xf numFmtId="0" fontId="47" fillId="90" borderId="0" applyNumberFormat="0" applyBorder="0" applyAlignment="0" applyProtection="0"/>
    <xf numFmtId="0" fontId="47" fillId="90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90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63" borderId="0" applyNumberFormat="0" applyBorder="0" applyAlignment="0" applyProtection="0"/>
    <xf numFmtId="0" fontId="47" fillId="91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47" fillId="90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47" fillId="63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47" fillId="63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47" fillId="63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47" fillId="63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47" fillId="63" borderId="0" applyNumberFormat="0" applyBorder="0" applyAlignment="0" applyProtection="0"/>
    <xf numFmtId="0" fontId="72" fillId="0" borderId="95">
      <alignment horizontal="center" vertical="center"/>
    </xf>
    <xf numFmtId="190" fontId="72" fillId="0" borderId="95">
      <alignment horizontal="center" vertical="center"/>
    </xf>
    <xf numFmtId="0" fontId="73" fillId="75" borderId="0" applyNumberFormat="0" applyBorder="0" applyAlignment="0" applyProtection="0"/>
    <xf numFmtId="0" fontId="73" fillId="75" borderId="0" applyNumberFormat="0" applyBorder="0" applyAlignment="0" applyProtection="0"/>
    <xf numFmtId="0" fontId="73" fillId="75" borderId="0" applyNumberFormat="0" applyBorder="0" applyAlignment="0" applyProtection="0"/>
    <xf numFmtId="0" fontId="73" fillId="75" borderId="0" applyNumberFormat="0" applyBorder="0" applyAlignment="0" applyProtection="0"/>
    <xf numFmtId="0" fontId="48" fillId="40" borderId="0" applyNumberFormat="0" applyBorder="0" applyAlignment="0" applyProtection="0"/>
    <xf numFmtId="0" fontId="74" fillId="87" borderId="0" applyNumberFormat="0" applyBorder="0" applyAlignment="0" applyProtection="0"/>
    <xf numFmtId="0" fontId="75" fillId="1" borderId="89" applyBorder="0"/>
    <xf numFmtId="190" fontId="75" fillId="1" borderId="89" applyBorder="0"/>
    <xf numFmtId="0" fontId="76" fillId="46" borderId="0" applyNumberFormat="0" applyBorder="0" applyAlignment="0" applyProtection="0"/>
    <xf numFmtId="0" fontId="52" fillId="42" borderId="0" applyNumberFormat="0" applyBorder="0" applyAlignment="0" applyProtection="0"/>
    <xf numFmtId="0" fontId="53" fillId="0" borderId="96" applyNumberFormat="0" applyFill="0" applyAlignment="0" applyProtection="0"/>
    <xf numFmtId="190" fontId="53" fillId="0" borderId="96" applyNumberFormat="0" applyFill="0" applyAlignment="0" applyProtection="0"/>
    <xf numFmtId="0" fontId="54" fillId="0" borderId="97" applyNumberFormat="0" applyFill="0" applyAlignment="0" applyProtection="0"/>
    <xf numFmtId="190" fontId="54" fillId="0" borderId="97" applyNumberFormat="0" applyFill="0" applyAlignment="0" applyProtection="0"/>
    <xf numFmtId="0" fontId="55" fillId="0" borderId="98" applyNumberFormat="0" applyFill="0" applyAlignment="0" applyProtection="0"/>
    <xf numFmtId="190" fontId="55" fillId="0" borderId="98" applyNumberFormat="0" applyFill="0" applyAlignment="0" applyProtection="0"/>
    <xf numFmtId="0" fontId="55" fillId="0" borderId="0" applyNumberFormat="0" applyFill="0" applyBorder="0" applyAlignment="0" applyProtection="0"/>
    <xf numFmtId="190" fontId="55" fillId="0" borderId="0" applyNumberFormat="0" applyFill="0" applyBorder="0" applyAlignment="0" applyProtection="0"/>
    <xf numFmtId="0" fontId="77" fillId="92" borderId="99" applyNumberFormat="0" applyAlignment="0" applyProtection="0"/>
    <xf numFmtId="0" fontId="77" fillId="92" borderId="99" applyNumberFormat="0" applyAlignment="0" applyProtection="0"/>
    <xf numFmtId="0" fontId="77" fillId="92" borderId="99" applyNumberFormat="0" applyAlignment="0" applyProtection="0"/>
    <xf numFmtId="0" fontId="77" fillId="92" borderId="99" applyNumberFormat="0" applyAlignment="0" applyProtection="0"/>
    <xf numFmtId="0" fontId="49" fillId="51" borderId="99" applyNumberFormat="0" applyAlignment="0" applyProtection="0"/>
    <xf numFmtId="0" fontId="78" fillId="93" borderId="100" applyNumberFormat="0" applyAlignment="0" applyProtection="0"/>
    <xf numFmtId="0" fontId="49" fillId="51" borderId="99" applyNumberFormat="0" applyAlignment="0" applyProtection="0"/>
    <xf numFmtId="0" fontId="49" fillId="51" borderId="99" applyNumberFormat="0" applyAlignment="0" applyProtection="0"/>
    <xf numFmtId="0" fontId="79" fillId="94" borderId="101" applyNumberFormat="0" applyAlignment="0" applyProtection="0"/>
    <xf numFmtId="0" fontId="50" fillId="94" borderId="101" applyNumberFormat="0" applyAlignment="0" applyProtection="0"/>
    <xf numFmtId="0" fontId="80" fillId="0" borderId="102" applyNumberFormat="0" applyFill="0" applyAlignment="0" applyProtection="0"/>
    <xf numFmtId="0" fontId="57" fillId="0" borderId="103" applyNumberFormat="0" applyFill="0" applyAlignment="0" applyProtection="0"/>
    <xf numFmtId="0" fontId="57" fillId="0" borderId="103" applyNumberFormat="0" applyFill="0" applyAlignment="0" applyProtection="0"/>
    <xf numFmtId="190" fontId="57" fillId="0" borderId="103" applyNumberFormat="0" applyFill="0" applyAlignment="0" applyProtection="0"/>
    <xf numFmtId="0" fontId="50" fillId="77" borderId="101" applyNumberFormat="0" applyAlignment="0" applyProtection="0"/>
    <xf numFmtId="0" fontId="50" fillId="77" borderId="101" applyNumberFormat="0" applyAlignment="0" applyProtection="0"/>
    <xf numFmtId="0" fontId="50" fillId="77" borderId="101" applyNumberFormat="0" applyAlignment="0" applyProtection="0"/>
    <xf numFmtId="0" fontId="50" fillId="77" borderId="101" applyNumberFormat="0" applyAlignment="0" applyProtection="0"/>
    <xf numFmtId="0" fontId="50" fillId="94" borderId="101" applyNumberFormat="0" applyAlignment="0" applyProtection="0"/>
    <xf numFmtId="0" fontId="50" fillId="85" borderId="101" applyNumberFormat="0" applyAlignment="0" applyProtection="0"/>
    <xf numFmtId="178" fontId="23" fillId="0" borderId="0" applyFont="0" applyFill="0" applyBorder="0" applyAlignment="0" applyProtection="0"/>
    <xf numFmtId="178" fontId="23" fillId="0" borderId="0" applyFont="0" applyFill="0" applyBorder="0" applyAlignment="0" applyProtection="0"/>
    <xf numFmtId="178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8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78" fontId="46" fillId="0" borderId="0" applyFont="0" applyFill="0" applyBorder="0" applyAlignment="0" applyProtection="0"/>
    <xf numFmtId="178" fontId="63" fillId="0" borderId="0" applyFont="0" applyFill="0" applyBorder="0" applyAlignment="0" applyProtection="0"/>
    <xf numFmtId="178" fontId="63" fillId="0" borderId="0" applyFont="0" applyFill="0" applyBorder="0" applyAlignment="0" applyProtection="0"/>
    <xf numFmtId="192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8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0" fontId="47" fillId="64" borderId="0" applyNumberFormat="0" applyBorder="0" applyAlignment="0" applyProtection="0"/>
    <xf numFmtId="190" fontId="47" fillId="64" borderId="0" applyNumberFormat="0" applyBorder="0" applyAlignment="0" applyProtection="0"/>
    <xf numFmtId="0" fontId="47" fillId="72" borderId="0" applyNumberFormat="0" applyBorder="0" applyAlignment="0" applyProtection="0"/>
    <xf numFmtId="190" fontId="47" fillId="72" borderId="0" applyNumberFormat="0" applyBorder="0" applyAlignment="0" applyProtection="0"/>
    <xf numFmtId="0" fontId="47" fillId="53" borderId="0" applyNumberFormat="0" applyBorder="0" applyAlignment="0" applyProtection="0"/>
    <xf numFmtId="190" fontId="47" fillId="53" borderId="0" applyNumberFormat="0" applyBorder="0" applyAlignment="0" applyProtection="0"/>
    <xf numFmtId="0" fontId="47" fillId="60" borderId="0" applyNumberFormat="0" applyBorder="0" applyAlignment="0" applyProtection="0"/>
    <xf numFmtId="190" fontId="47" fillId="60" borderId="0" applyNumberFormat="0" applyBorder="0" applyAlignment="0" applyProtection="0"/>
    <xf numFmtId="0" fontId="47" fillId="61" borderId="0" applyNumberFormat="0" applyBorder="0" applyAlignment="0" applyProtection="0"/>
    <xf numFmtId="190" fontId="47" fillId="61" borderId="0" applyNumberFormat="0" applyBorder="0" applyAlignment="0" applyProtection="0"/>
    <xf numFmtId="0" fontId="47" fillId="63" borderId="0" applyNumberFormat="0" applyBorder="0" applyAlignment="0" applyProtection="0"/>
    <xf numFmtId="190" fontId="47" fillId="63" borderId="0" applyNumberFormat="0" applyBorder="0" applyAlignment="0" applyProtection="0"/>
    <xf numFmtId="0" fontId="52" fillId="42" borderId="0" applyNumberFormat="0" applyBorder="0" applyAlignment="0" applyProtection="0"/>
    <xf numFmtId="190" fontId="52" fillId="42" borderId="0" applyNumberFormat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93" fontId="66" fillId="0" borderId="0" applyFont="0" applyFill="0" applyBorder="0" applyAlignment="0" applyProtection="0"/>
    <xf numFmtId="5" fontId="23" fillId="0" borderId="0" applyFont="0" applyFill="0" applyBorder="0" applyAlignment="0" applyProtection="0"/>
    <xf numFmtId="5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4" fontId="81" fillId="0" borderId="0" applyFont="0" applyFill="0" applyBorder="0" applyAlignment="0" applyProtection="0"/>
    <xf numFmtId="195" fontId="81" fillId="0" borderId="0" applyFont="0" applyFill="0" applyBorder="0" applyAlignment="0" applyProtection="0"/>
    <xf numFmtId="0" fontId="61" fillId="95" borderId="0" applyNumberFormat="0" applyBorder="0" applyAlignment="0" applyProtection="0"/>
    <xf numFmtId="0" fontId="61" fillId="96" borderId="0" applyNumberFormat="0" applyBorder="0" applyAlignment="0" applyProtection="0"/>
    <xf numFmtId="0" fontId="61" fillId="97" borderId="0" applyNumberFormat="0" applyBorder="0" applyAlignment="0" applyProtection="0"/>
    <xf numFmtId="0" fontId="61" fillId="98" borderId="0" applyNumberFormat="0" applyBorder="0" applyAlignment="0" applyProtection="0"/>
    <xf numFmtId="0" fontId="61" fillId="99" borderId="0" applyNumberFormat="0" applyBorder="0" applyAlignment="0" applyProtection="0"/>
    <xf numFmtId="190" fontId="61" fillId="99" borderId="0" applyNumberFormat="0" applyBorder="0" applyAlignment="0" applyProtection="0"/>
    <xf numFmtId="0" fontId="82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71" fillId="100" borderId="0" applyNumberFormat="0" applyBorder="0" applyAlignment="0" applyProtection="0"/>
    <xf numFmtId="0" fontId="47" fillId="64" borderId="0" applyNumberFormat="0" applyBorder="0" applyAlignment="0" applyProtection="0"/>
    <xf numFmtId="0" fontId="71" fillId="63" borderId="0" applyNumberFormat="0" applyBorder="0" applyAlignment="0" applyProtection="0"/>
    <xf numFmtId="0" fontId="47" fillId="72" borderId="0" applyNumberFormat="0" applyBorder="0" applyAlignment="0" applyProtection="0"/>
    <xf numFmtId="0" fontId="71" fillId="56" borderId="0" applyNumberFormat="0" applyBorder="0" applyAlignment="0" applyProtection="0"/>
    <xf numFmtId="0" fontId="47" fillId="53" borderId="0" applyNumberFormat="0" applyBorder="0" applyAlignment="0" applyProtection="0"/>
    <xf numFmtId="0" fontId="71" fillId="55" borderId="0" applyNumberFormat="0" applyBorder="0" applyAlignment="0" applyProtection="0"/>
    <xf numFmtId="0" fontId="47" fillId="60" borderId="0" applyNumberFormat="0" applyBorder="0" applyAlignment="0" applyProtection="0"/>
    <xf numFmtId="0" fontId="71" fillId="61" borderId="0" applyNumberFormat="0" applyBorder="0" applyAlignment="0" applyProtection="0"/>
    <xf numFmtId="0" fontId="47" fillId="61" borderId="0" applyNumberFormat="0" applyBorder="0" applyAlignment="0" applyProtection="0"/>
    <xf numFmtId="0" fontId="71" fillId="72" borderId="0" applyNumberFormat="0" applyBorder="0" applyAlignment="0" applyProtection="0"/>
    <xf numFmtId="0" fontId="47" fillId="63" borderId="0" applyNumberFormat="0" applyBorder="0" applyAlignment="0" applyProtection="0"/>
    <xf numFmtId="0" fontId="56" fillId="47" borderId="99" applyNumberFormat="0" applyAlignment="0" applyProtection="0"/>
    <xf numFmtId="0" fontId="56" fillId="47" borderId="99" applyNumberFormat="0" applyAlignment="0" applyProtection="0"/>
    <xf numFmtId="196" fontId="23" fillId="0" borderId="0" applyFont="0" applyFill="0" applyBorder="0" applyAlignment="0" applyProtection="0"/>
    <xf numFmtId="196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97" fontId="23" fillId="0" borderId="0" applyFont="0" applyFill="0" applyBorder="0" applyAlignment="0" applyProtection="0"/>
    <xf numFmtId="198" fontId="23" fillId="0" borderId="0" applyFont="0" applyFill="0" applyBorder="0" applyAlignment="0" applyProtection="0"/>
    <xf numFmtId="190" fontId="83" fillId="0" borderId="0" applyFon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2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52" fillId="101" borderId="0" applyNumberFormat="0" applyBorder="0" applyAlignment="0" applyProtection="0"/>
    <xf numFmtId="0" fontId="52" fillId="101" borderId="0" applyNumberFormat="0" applyBorder="0" applyAlignment="0" applyProtection="0"/>
    <xf numFmtId="0" fontId="52" fillId="101" borderId="0" applyNumberFormat="0" applyBorder="0" applyAlignment="0" applyProtection="0"/>
    <xf numFmtId="0" fontId="46" fillId="81" borderId="0" applyNumberFormat="0" applyBorder="0" applyAlignment="0" applyProtection="0"/>
    <xf numFmtId="0" fontId="46" fillId="81" borderId="0" applyNumberFormat="0" applyBorder="0" applyAlignment="0" applyProtection="0"/>
    <xf numFmtId="0" fontId="46" fillId="81" borderId="0" applyNumberFormat="0" applyBorder="0" applyAlignment="0" applyProtection="0"/>
    <xf numFmtId="0" fontId="46" fillId="81" borderId="0" applyNumberFormat="0" applyBorder="0" applyAlignment="0" applyProtection="0"/>
    <xf numFmtId="0" fontId="52" fillId="42" borderId="0" applyNumberFormat="0" applyBorder="0" applyAlignment="0" applyProtection="0"/>
    <xf numFmtId="0" fontId="52" fillId="101" borderId="0" applyNumberFormat="0" applyBorder="0" applyAlignment="0" applyProtection="0"/>
    <xf numFmtId="0" fontId="52" fillId="101" borderId="0" applyNumberFormat="0" applyBorder="0" applyAlignment="0" applyProtection="0"/>
    <xf numFmtId="0" fontId="85" fillId="0" borderId="104" applyNumberFormat="0" applyFill="0" applyAlignment="0" applyProtection="0"/>
    <xf numFmtId="0" fontId="85" fillId="0" borderId="104" applyNumberFormat="0" applyFill="0" applyAlignment="0" applyProtection="0"/>
    <xf numFmtId="0" fontId="85" fillId="0" borderId="104" applyNumberFormat="0" applyFill="0" applyAlignment="0" applyProtection="0"/>
    <xf numFmtId="0" fontId="85" fillId="0" borderId="104" applyNumberFormat="0" applyFill="0" applyAlignment="0" applyProtection="0"/>
    <xf numFmtId="0" fontId="53" fillId="0" borderId="96" applyNumberFormat="0" applyFill="0" applyAlignment="0" applyProtection="0"/>
    <xf numFmtId="0" fontId="86" fillId="0" borderId="97" applyNumberFormat="0" applyFill="0" applyAlignment="0" applyProtection="0"/>
    <xf numFmtId="0" fontId="54" fillId="0" borderId="97" applyNumberFormat="0" applyFill="0" applyAlignment="0" applyProtection="0"/>
    <xf numFmtId="0" fontId="86" fillId="0" borderId="97" applyNumberFormat="0" applyFill="0" applyAlignment="0" applyProtection="0"/>
    <xf numFmtId="0" fontId="54" fillId="0" borderId="97" applyNumberFormat="0" applyFill="0" applyAlignment="0" applyProtection="0"/>
    <xf numFmtId="0" fontId="54" fillId="0" borderId="97" applyNumberFormat="0" applyFill="0" applyAlignment="0" applyProtection="0"/>
    <xf numFmtId="0" fontId="86" fillId="0" borderId="97" applyNumberFormat="0" applyFill="0" applyAlignment="0" applyProtection="0"/>
    <xf numFmtId="0" fontId="86" fillId="0" borderId="97" applyNumberFormat="0" applyFill="0" applyAlignment="0" applyProtection="0"/>
    <xf numFmtId="0" fontId="86" fillId="0" borderId="97" applyNumberFormat="0" applyFill="0" applyAlignment="0" applyProtection="0"/>
    <xf numFmtId="0" fontId="86" fillId="0" borderId="105" applyNumberFormat="0" applyFill="0" applyAlignment="0" applyProtection="0"/>
    <xf numFmtId="0" fontId="87" fillId="0" borderId="106" applyNumberFormat="0" applyFill="0" applyAlignment="0" applyProtection="0"/>
    <xf numFmtId="0" fontId="55" fillId="0" borderId="98" applyNumberFormat="0" applyFill="0" applyAlignment="0" applyProtection="0"/>
    <xf numFmtId="0" fontId="87" fillId="0" borderId="106" applyNumberFormat="0" applyFill="0" applyAlignment="0" applyProtection="0"/>
    <xf numFmtId="0" fontId="55" fillId="0" borderId="98" applyNumberFormat="0" applyFill="0" applyAlignment="0" applyProtection="0"/>
    <xf numFmtId="0" fontId="55" fillId="0" borderId="98" applyNumberFormat="0" applyFill="0" applyAlignment="0" applyProtection="0"/>
    <xf numFmtId="0" fontId="87" fillId="0" borderId="106" applyNumberFormat="0" applyFill="0" applyAlignment="0" applyProtection="0"/>
    <xf numFmtId="0" fontId="87" fillId="0" borderId="106" applyNumberFormat="0" applyFill="0" applyAlignment="0" applyProtection="0"/>
    <xf numFmtId="0" fontId="87" fillId="0" borderId="106" applyNumberFormat="0" applyFill="0" applyAlignment="0" applyProtection="0"/>
    <xf numFmtId="0" fontId="87" fillId="0" borderId="107" applyNumberFormat="0" applyFill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48" fillId="40" borderId="0" applyNumberFormat="0" applyBorder="0" applyAlignment="0" applyProtection="0"/>
    <xf numFmtId="0" fontId="48" fillId="40" borderId="0" applyNumberFormat="0" applyBorder="0" applyAlignment="0" applyProtection="0"/>
    <xf numFmtId="0" fontId="89" fillId="88" borderId="99" applyNumberFormat="0" applyAlignment="0" applyProtection="0"/>
    <xf numFmtId="0" fontId="56" fillId="47" borderId="99" applyNumberFormat="0" applyAlignment="0" applyProtection="0"/>
    <xf numFmtId="0" fontId="89" fillId="88" borderId="99" applyNumberFormat="0" applyAlignment="0" applyProtection="0"/>
    <xf numFmtId="0" fontId="56" fillId="47" borderId="99" applyNumberFormat="0" applyAlignment="0" applyProtection="0"/>
    <xf numFmtId="0" fontId="56" fillId="47" borderId="99" applyNumberFormat="0" applyAlignment="0" applyProtection="0"/>
    <xf numFmtId="0" fontId="89" fillId="88" borderId="99" applyNumberFormat="0" applyAlignment="0" applyProtection="0"/>
    <xf numFmtId="0" fontId="89" fillId="88" borderId="99" applyNumberFormat="0" applyAlignment="0" applyProtection="0"/>
    <xf numFmtId="0" fontId="89" fillId="88" borderId="99" applyNumberFormat="0" applyAlignment="0" applyProtection="0"/>
    <xf numFmtId="0" fontId="89" fillId="88" borderId="100" applyNumberFormat="0" applyAlignment="0" applyProtection="0"/>
    <xf numFmtId="0" fontId="90" fillId="0" borderId="108" applyNumberFormat="0" applyFill="0" applyAlignment="0" applyProtection="0"/>
    <xf numFmtId="0" fontId="57" fillId="0" borderId="103" applyNumberFormat="0" applyFill="0" applyAlignment="0" applyProtection="0"/>
    <xf numFmtId="0" fontId="90" fillId="0" borderId="108" applyNumberFormat="0" applyFill="0" applyAlignment="0" applyProtection="0"/>
    <xf numFmtId="0" fontId="57" fillId="0" borderId="103" applyNumberFormat="0" applyFill="0" applyAlignment="0" applyProtection="0"/>
    <xf numFmtId="0" fontId="57" fillId="0" borderId="103" applyNumberFormat="0" applyFill="0" applyAlignment="0" applyProtection="0"/>
    <xf numFmtId="0" fontId="90" fillId="0" borderId="108" applyNumberFormat="0" applyFill="0" applyAlignment="0" applyProtection="0"/>
    <xf numFmtId="0" fontId="90" fillId="0" borderId="108" applyNumberFormat="0" applyFill="0" applyAlignment="0" applyProtection="0"/>
    <xf numFmtId="0" fontId="90" fillId="0" borderId="108" applyNumberFormat="0" applyFill="0" applyAlignment="0" applyProtection="0"/>
    <xf numFmtId="0" fontId="52" fillId="0" borderId="109" applyNumberFormat="0" applyFill="0" applyAlignment="0" applyProtection="0"/>
    <xf numFmtId="19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200" fontId="23" fillId="0" borderId="0" applyFont="0" applyFill="0" applyBorder="0" applyAlignment="0" applyProtection="0"/>
    <xf numFmtId="0" fontId="58" fillId="88" borderId="0" applyNumberFormat="0" applyBorder="0" applyAlignment="0" applyProtection="0"/>
    <xf numFmtId="0" fontId="58" fillId="88" borderId="0" applyNumberFormat="0" applyBorder="0" applyAlignment="0" applyProtection="0"/>
    <xf numFmtId="0" fontId="58" fillId="88" borderId="0" applyNumberFormat="0" applyBorder="0" applyAlignment="0" applyProtection="0"/>
    <xf numFmtId="0" fontId="52" fillId="88" borderId="0" applyNumberFormat="0" applyBorder="0" applyAlignment="0" applyProtection="0"/>
    <xf numFmtId="0" fontId="52" fillId="88" borderId="0" applyNumberFormat="0" applyBorder="0" applyAlignment="0" applyProtection="0"/>
    <xf numFmtId="0" fontId="52" fillId="88" borderId="0" applyNumberFormat="0" applyBorder="0" applyAlignment="0" applyProtection="0"/>
    <xf numFmtId="0" fontId="58" fillId="57" borderId="0" applyNumberFormat="0" applyBorder="0" applyAlignment="0" applyProtection="0"/>
    <xf numFmtId="0" fontId="58" fillId="88" borderId="0" applyNumberFormat="0" applyBorder="0" applyAlignment="0" applyProtection="0"/>
    <xf numFmtId="0" fontId="58" fillId="88" borderId="0" applyNumberFormat="0" applyBorder="0" applyAlignment="0" applyProtection="0"/>
    <xf numFmtId="0" fontId="58" fillId="57" borderId="0" applyNumberFormat="0" applyBorder="0" applyAlignment="0" applyProtection="0"/>
    <xf numFmtId="190" fontId="58" fillId="57" borderId="0" applyNumberFormat="0" applyBorder="0" applyAlignment="0" applyProtection="0"/>
    <xf numFmtId="0" fontId="23" fillId="0" borderId="0"/>
    <xf numFmtId="0" fontId="23" fillId="0" borderId="0"/>
    <xf numFmtId="190" fontId="23" fillId="0" borderId="0">
      <alignment vertical="top"/>
    </xf>
    <xf numFmtId="190" fontId="23" fillId="0" borderId="0">
      <alignment vertical="top"/>
    </xf>
    <xf numFmtId="0" fontId="23" fillId="0" borderId="0"/>
    <xf numFmtId="0" fontId="23" fillId="0" borderId="0"/>
    <xf numFmtId="190" fontId="23" fillId="0" borderId="0"/>
    <xf numFmtId="0" fontId="23" fillId="0" borderId="0"/>
    <xf numFmtId="201" fontId="91" fillId="0" borderId="0"/>
    <xf numFmtId="190" fontId="23" fillId="0" borderId="0">
      <alignment vertical="top"/>
    </xf>
    <xf numFmtId="0" fontId="23" fillId="0" borderId="0">
      <alignment vertical="top"/>
    </xf>
    <xf numFmtId="0" fontId="23" fillId="0" borderId="0">
      <alignment vertical="top"/>
    </xf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64" fillId="102" borderId="0"/>
    <xf numFmtId="0" fontId="23" fillId="0" borderId="0"/>
    <xf numFmtId="0" fontId="64" fillId="102" borderId="0"/>
    <xf numFmtId="0" fontId="64" fillId="102" borderId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23" fillId="0" borderId="0"/>
    <xf numFmtId="0" fontId="92" fillId="0" borderId="0">
      <alignment vertical="top"/>
    </xf>
    <xf numFmtId="0" fontId="92" fillId="0" borderId="0">
      <alignment vertical="top"/>
    </xf>
    <xf numFmtId="19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0" fillId="0" borderId="0"/>
    <xf numFmtId="0" fontId="23" fillId="0" borderId="0"/>
    <xf numFmtId="0" fontId="23" fillId="0" borderId="0"/>
    <xf numFmtId="0" fontId="23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0" borderId="0" applyNumberFormat="0" applyFont="0" applyFill="0" applyBorder="0" applyAlignment="0" applyProtection="0"/>
    <xf numFmtId="0" fontId="64" fillId="102" borderId="0"/>
    <xf numFmtId="0" fontId="23" fillId="0" borderId="0"/>
    <xf numFmtId="0" fontId="12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 applyNumberFormat="0" applyFont="0" applyFill="0" applyBorder="0" applyAlignment="0" applyProtection="0"/>
    <xf numFmtId="0" fontId="1" fillId="0" borderId="0"/>
    <xf numFmtId="0" fontId="1" fillId="0" borderId="0"/>
    <xf numFmtId="0" fontId="64" fillId="0" borderId="0" applyNumberFormat="0" applyFont="0" applyFill="0" applyBorder="0" applyAlignment="0" applyProtection="0"/>
    <xf numFmtId="0" fontId="23" fillId="0" borderId="0"/>
    <xf numFmtId="0" fontId="1" fillId="0" borderId="0"/>
    <xf numFmtId="187" fontId="23" fillId="0" borderId="0"/>
    <xf numFmtId="187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 applyNumberFormat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64" fillId="0" borderId="0" applyNumberFormat="0" applyFont="0" applyFill="0" applyBorder="0" applyAlignment="0" applyProtection="0"/>
    <xf numFmtId="0" fontId="23" fillId="0" borderId="0"/>
    <xf numFmtId="0" fontId="1" fillId="0" borderId="0"/>
    <xf numFmtId="0" fontId="120" fillId="0" borderId="0"/>
    <xf numFmtId="0" fontId="64" fillId="102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190" fontId="23" fillId="0" borderId="0">
      <alignment vertical="top"/>
    </xf>
    <xf numFmtId="190" fontId="23" fillId="0" borderId="0">
      <alignment vertical="top"/>
    </xf>
    <xf numFmtId="0" fontId="23" fillId="0" borderId="0"/>
    <xf numFmtId="0" fontId="1" fillId="0" borderId="0"/>
    <xf numFmtId="0" fontId="23" fillId="0" borderId="0"/>
    <xf numFmtId="187" fontId="23" fillId="0" borderId="0"/>
    <xf numFmtId="0" fontId="23" fillId="0" borderId="0"/>
    <xf numFmtId="0" fontId="23" fillId="0" borderId="0"/>
    <xf numFmtId="0" fontId="23" fillId="0" borderId="0" applyNumberFormat="0" applyFont="0" applyFill="0" applyBorder="0" applyAlignment="0" applyProtection="0"/>
    <xf numFmtId="0" fontId="23" fillId="0" borderId="0"/>
    <xf numFmtId="0" fontId="23" fillId="0" borderId="0"/>
    <xf numFmtId="188" fontId="23" fillId="0" borderId="0">
      <alignment vertical="top"/>
    </xf>
    <xf numFmtId="188" fontId="23" fillId="0" borderId="0">
      <alignment vertical="top"/>
    </xf>
    <xf numFmtId="190" fontId="93" fillId="0" borderId="0"/>
    <xf numFmtId="0" fontId="23" fillId="50" borderId="110" applyNumberFormat="0" applyFont="0" applyAlignment="0" applyProtection="0"/>
    <xf numFmtId="0" fontId="23" fillId="50" borderId="110" applyNumberFormat="0" applyFont="0" applyAlignment="0" applyProtection="0"/>
    <xf numFmtId="0" fontId="23" fillId="50" borderId="110" applyNumberFormat="0" applyFont="0" applyAlignment="0" applyProtection="0"/>
    <xf numFmtId="0" fontId="46" fillId="11" borderId="87" applyNumberFormat="0" applyFont="0" applyAlignment="0" applyProtection="0"/>
    <xf numFmtId="0" fontId="46" fillId="11" borderId="87" applyNumberFormat="0" applyFont="0" applyAlignment="0" applyProtection="0"/>
    <xf numFmtId="0" fontId="46" fillId="11" borderId="87" applyNumberFormat="0" applyFont="0" applyAlignment="0" applyProtection="0"/>
    <xf numFmtId="0" fontId="46" fillId="11" borderId="87" applyNumberFormat="0" applyFont="0" applyAlignment="0" applyProtection="0"/>
    <xf numFmtId="0" fontId="46" fillId="11" borderId="87" applyNumberFormat="0" applyFont="0" applyAlignment="0" applyProtection="0"/>
    <xf numFmtId="0" fontId="46" fillId="11" borderId="87" applyNumberFormat="0" applyFont="0" applyAlignment="0" applyProtection="0"/>
    <xf numFmtId="0" fontId="46" fillId="11" borderId="87" applyNumberFormat="0" applyFont="0" applyAlignment="0" applyProtection="0"/>
    <xf numFmtId="0" fontId="46" fillId="11" borderId="87" applyNumberFormat="0" applyFont="0" applyAlignment="0" applyProtection="0"/>
    <xf numFmtId="0" fontId="23" fillId="87" borderId="110" applyNumberFormat="0" applyFont="0" applyAlignment="0" applyProtection="0"/>
    <xf numFmtId="0" fontId="64" fillId="87" borderId="100" applyNumberFormat="0" applyFont="0" applyAlignment="0" applyProtection="0"/>
    <xf numFmtId="0" fontId="23" fillId="87" borderId="110" applyNumberFormat="0" applyFont="0" applyAlignment="0" applyProtection="0"/>
    <xf numFmtId="0" fontId="64" fillId="87" borderId="100" applyNumberFormat="0" applyFont="0" applyAlignment="0" applyProtection="0"/>
    <xf numFmtId="0" fontId="64" fillId="87" borderId="100" applyNumberFormat="0" applyFont="0" applyAlignment="0" applyProtection="0"/>
    <xf numFmtId="0" fontId="23" fillId="87" borderId="110" applyNumberFormat="0" applyFont="0" applyAlignment="0" applyProtection="0"/>
    <xf numFmtId="0" fontId="64" fillId="87" borderId="100" applyNumberFormat="0" applyFont="0" applyAlignment="0" applyProtection="0"/>
    <xf numFmtId="0" fontId="23" fillId="50" borderId="110" applyNumberFormat="0" applyFont="0" applyAlignment="0" applyProtection="0"/>
    <xf numFmtId="0" fontId="23" fillId="50" borderId="110" applyNumberFormat="0" applyFont="0" applyAlignment="0" applyProtection="0"/>
    <xf numFmtId="0" fontId="23" fillId="87" borderId="110" applyNumberFormat="0" applyFont="0" applyAlignment="0" applyProtection="0"/>
    <xf numFmtId="0" fontId="23" fillId="87" borderId="110" applyNumberFormat="0" applyFont="0" applyAlignment="0" applyProtection="0"/>
    <xf numFmtId="0" fontId="46" fillId="11" borderId="87" applyNumberFormat="0" applyFont="0" applyAlignment="0" applyProtection="0"/>
    <xf numFmtId="0" fontId="46" fillId="11" borderId="87" applyNumberFormat="0" applyFont="0" applyAlignment="0" applyProtection="0"/>
    <xf numFmtId="0" fontId="46" fillId="11" borderId="87" applyNumberFormat="0" applyFont="0" applyAlignment="0" applyProtection="0"/>
    <xf numFmtId="0" fontId="59" fillId="92" borderId="111" applyNumberFormat="0" applyAlignment="0" applyProtection="0"/>
    <xf numFmtId="0" fontId="59" fillId="92" borderId="111" applyNumberFormat="0" applyAlignment="0" applyProtection="0"/>
    <xf numFmtId="0" fontId="59" fillId="92" borderId="111" applyNumberFormat="0" applyAlignment="0" applyProtection="0"/>
    <xf numFmtId="0" fontId="59" fillId="92" borderId="111" applyNumberFormat="0" applyAlignment="0" applyProtection="0"/>
    <xf numFmtId="0" fontId="59" fillId="51" borderId="111" applyNumberFormat="0" applyAlignment="0" applyProtection="0"/>
    <xf numFmtId="0" fontId="59" fillId="93" borderId="111" applyNumberFormat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9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59" fillId="51" borderId="111" applyNumberFormat="0" applyAlignment="0" applyProtection="0"/>
    <xf numFmtId="190" fontId="59" fillId="51" borderId="111" applyNumberFormat="0" applyAlignment="0" applyProtection="0"/>
    <xf numFmtId="0" fontId="94" fillId="103" borderId="111" applyNumberFormat="0" applyAlignment="0" applyProtection="0"/>
    <xf numFmtId="0" fontId="59" fillId="51" borderId="111" applyNumberFormat="0" applyAlignment="0" applyProtection="0"/>
    <xf numFmtId="4" fontId="95" fillId="57" borderId="112" applyNumberFormat="0" applyProtection="0">
      <alignment vertical="center"/>
    </xf>
    <xf numFmtId="4" fontId="68" fillId="104" borderId="111" applyNumberFormat="0" applyProtection="0">
      <alignment vertical="center"/>
    </xf>
    <xf numFmtId="4" fontId="68" fillId="104" borderId="111" applyNumberFormat="0" applyProtection="0">
      <alignment vertical="center"/>
    </xf>
    <xf numFmtId="4" fontId="68" fillId="104" borderId="111" applyNumberFormat="0" applyProtection="0">
      <alignment vertical="center"/>
    </xf>
    <xf numFmtId="4" fontId="68" fillId="104" borderId="111" applyNumberFormat="0" applyProtection="0">
      <alignment vertical="center"/>
    </xf>
    <xf numFmtId="4" fontId="68" fillId="104" borderId="111" applyNumberFormat="0" applyProtection="0">
      <alignment vertical="center"/>
    </xf>
    <xf numFmtId="4" fontId="68" fillId="104" borderId="111" applyNumberFormat="0" applyProtection="0">
      <alignment vertical="center"/>
    </xf>
    <xf numFmtId="4" fontId="68" fillId="104" borderId="111" applyNumberFormat="0" applyProtection="0">
      <alignment vertical="center"/>
    </xf>
    <xf numFmtId="4" fontId="68" fillId="104" borderId="111" applyNumberFormat="0" applyProtection="0">
      <alignment vertical="center"/>
    </xf>
    <xf numFmtId="4" fontId="68" fillId="104" borderId="111" applyNumberFormat="0" applyProtection="0">
      <alignment vertical="center"/>
    </xf>
    <xf numFmtId="4" fontId="68" fillId="104" borderId="111" applyNumberFormat="0" applyProtection="0">
      <alignment vertical="center"/>
    </xf>
    <xf numFmtId="4" fontId="68" fillId="104" borderId="111" applyNumberFormat="0" applyProtection="0">
      <alignment vertical="center"/>
    </xf>
    <xf numFmtId="4" fontId="68" fillId="104" borderId="111" applyNumberFormat="0" applyProtection="0">
      <alignment vertical="center"/>
    </xf>
    <xf numFmtId="4" fontId="68" fillId="104" borderId="111" applyNumberFormat="0" applyProtection="0">
      <alignment vertical="center"/>
    </xf>
    <xf numFmtId="4" fontId="68" fillId="104" borderId="111" applyNumberFormat="0" applyProtection="0">
      <alignment vertical="center"/>
    </xf>
    <xf numFmtId="4" fontId="68" fillId="104" borderId="111" applyNumberFormat="0" applyProtection="0">
      <alignment vertical="center"/>
    </xf>
    <xf numFmtId="4" fontId="68" fillId="104" borderId="111" applyNumberFormat="0" applyProtection="0">
      <alignment vertical="center"/>
    </xf>
    <xf numFmtId="4" fontId="68" fillId="104" borderId="111" applyNumberFormat="0" applyProtection="0">
      <alignment vertical="center"/>
    </xf>
    <xf numFmtId="4" fontId="64" fillId="57" borderId="100" applyNumberFormat="0" applyProtection="0">
      <alignment vertical="center"/>
    </xf>
    <xf numFmtId="4" fontId="64" fillId="57" borderId="100" applyNumberFormat="0" applyProtection="0">
      <alignment vertical="center"/>
    </xf>
    <xf numFmtId="4" fontId="64" fillId="57" borderId="100" applyNumberFormat="0" applyProtection="0">
      <alignment vertical="center"/>
    </xf>
    <xf numFmtId="4" fontId="68" fillId="104" borderId="111" applyNumberFormat="0" applyProtection="0">
      <alignment vertical="center"/>
    </xf>
    <xf numFmtId="4" fontId="64" fillId="57" borderId="100" applyNumberFormat="0" applyProtection="0">
      <alignment vertical="center"/>
    </xf>
    <xf numFmtId="4" fontId="68" fillId="104" borderId="111" applyNumberFormat="0" applyProtection="0">
      <alignment vertical="center"/>
    </xf>
    <xf numFmtId="4" fontId="64" fillId="57" borderId="100" applyNumberFormat="0" applyProtection="0">
      <alignment vertical="center"/>
    </xf>
    <xf numFmtId="4" fontId="68" fillId="104" borderId="111" applyNumberFormat="0" applyProtection="0">
      <alignment vertical="center"/>
    </xf>
    <xf numFmtId="4" fontId="68" fillId="104" borderId="111" applyNumberFormat="0" applyProtection="0">
      <alignment vertical="center"/>
    </xf>
    <xf numFmtId="4" fontId="68" fillId="104" borderId="111" applyNumberFormat="0" applyProtection="0">
      <alignment vertical="center"/>
    </xf>
    <xf numFmtId="4" fontId="68" fillId="104" borderId="111" applyNumberFormat="0" applyProtection="0">
      <alignment vertical="center"/>
    </xf>
    <xf numFmtId="4" fontId="68" fillId="104" borderId="111" applyNumberFormat="0" applyProtection="0">
      <alignment vertical="center"/>
    </xf>
    <xf numFmtId="4" fontId="68" fillId="104" borderId="111" applyNumberFormat="0" applyProtection="0">
      <alignment vertical="center"/>
    </xf>
    <xf numFmtId="4" fontId="68" fillId="104" borderId="111" applyNumberFormat="0" applyProtection="0">
      <alignment vertical="center"/>
    </xf>
    <xf numFmtId="4" fontId="68" fillId="104" borderId="111" applyNumberFormat="0" applyProtection="0">
      <alignment vertical="center"/>
    </xf>
    <xf numFmtId="4" fontId="68" fillId="104" borderId="111" applyNumberFormat="0" applyProtection="0">
      <alignment vertical="center"/>
    </xf>
    <xf numFmtId="4" fontId="64" fillId="57" borderId="100" applyNumberFormat="0" applyProtection="0">
      <alignment vertical="center"/>
    </xf>
    <xf numFmtId="4" fontId="96" fillId="104" borderId="112" applyNumberFormat="0" applyProtection="0">
      <alignment vertical="center"/>
    </xf>
    <xf numFmtId="4" fontId="97" fillId="104" borderId="111" applyNumberFormat="0" applyProtection="0">
      <alignment vertical="center"/>
    </xf>
    <xf numFmtId="4" fontId="97" fillId="104" borderId="111" applyNumberFormat="0" applyProtection="0">
      <alignment vertical="center"/>
    </xf>
    <xf numFmtId="4" fontId="97" fillId="104" borderId="111" applyNumberFormat="0" applyProtection="0">
      <alignment vertical="center"/>
    </xf>
    <xf numFmtId="4" fontId="97" fillId="104" borderId="111" applyNumberFormat="0" applyProtection="0">
      <alignment vertical="center"/>
    </xf>
    <xf numFmtId="4" fontId="97" fillId="104" borderId="111" applyNumberFormat="0" applyProtection="0">
      <alignment vertical="center"/>
    </xf>
    <xf numFmtId="4" fontId="97" fillId="104" borderId="111" applyNumberFormat="0" applyProtection="0">
      <alignment vertical="center"/>
    </xf>
    <xf numFmtId="4" fontId="97" fillId="104" borderId="111" applyNumberFormat="0" applyProtection="0">
      <alignment vertical="center"/>
    </xf>
    <xf numFmtId="4" fontId="97" fillId="104" borderId="111" applyNumberFormat="0" applyProtection="0">
      <alignment vertical="center"/>
    </xf>
    <xf numFmtId="4" fontId="97" fillId="104" borderId="111" applyNumberFormat="0" applyProtection="0">
      <alignment vertical="center"/>
    </xf>
    <xf numFmtId="4" fontId="98" fillId="104" borderId="100" applyNumberFormat="0" applyProtection="0">
      <alignment vertical="center"/>
    </xf>
    <xf numFmtId="4" fontId="97" fillId="104" borderId="111" applyNumberFormat="0" applyProtection="0">
      <alignment vertical="center"/>
    </xf>
    <xf numFmtId="4" fontId="97" fillId="104" borderId="111" applyNumberFormat="0" applyProtection="0">
      <alignment vertical="center"/>
    </xf>
    <xf numFmtId="4" fontId="97" fillId="104" borderId="111" applyNumberFormat="0" applyProtection="0">
      <alignment vertical="center"/>
    </xf>
    <xf numFmtId="4" fontId="97" fillId="104" borderId="111" applyNumberFormat="0" applyProtection="0">
      <alignment vertical="center"/>
    </xf>
    <xf numFmtId="4" fontId="97" fillId="104" borderId="111" applyNumberFormat="0" applyProtection="0">
      <alignment vertical="center"/>
    </xf>
    <xf numFmtId="4" fontId="97" fillId="104" borderId="111" applyNumberFormat="0" applyProtection="0">
      <alignment vertical="center"/>
    </xf>
    <xf numFmtId="4" fontId="98" fillId="104" borderId="100" applyNumberFormat="0" applyProtection="0">
      <alignment vertical="center"/>
    </xf>
    <xf numFmtId="4" fontId="95" fillId="104" borderId="112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4" fillId="104" borderId="100" applyNumberFormat="0" applyProtection="0">
      <alignment horizontal="left" vertical="center" indent="1"/>
    </xf>
    <xf numFmtId="4" fontId="64" fillId="104" borderId="100" applyNumberFormat="0" applyProtection="0">
      <alignment horizontal="left" vertical="center" indent="1"/>
    </xf>
    <xf numFmtId="4" fontId="64" fillId="104" borderId="100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4" fillId="104" borderId="100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4" fillId="104" borderId="100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4" fillId="104" borderId="100" applyNumberFormat="0" applyProtection="0">
      <alignment horizontal="left" vertical="center" indent="1"/>
    </xf>
    <xf numFmtId="0" fontId="95" fillId="104" borderId="112" applyNumberFormat="0" applyProtection="0">
      <alignment horizontal="left" vertical="top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0" fontId="99" fillId="57" borderId="112" applyNumberFormat="0" applyProtection="0">
      <alignment horizontal="left" vertical="top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4" fontId="68" fillId="104" borderId="111" applyNumberFormat="0" applyProtection="0">
      <alignment horizontal="left" vertical="center" indent="1"/>
    </xf>
    <xf numFmtId="190" fontId="99" fillId="57" borderId="112" applyNumberFormat="0" applyProtection="0">
      <alignment horizontal="left" vertical="top" indent="1"/>
    </xf>
    <xf numFmtId="4" fontId="95" fillId="105" borderId="0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4" fontId="64" fillId="61" borderId="100" applyNumberFormat="0" applyProtection="0">
      <alignment horizontal="left" vertical="center" indent="1"/>
    </xf>
    <xf numFmtId="4" fontId="64" fillId="61" borderId="100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4" fontId="64" fillId="61" borderId="100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4" fontId="64" fillId="61" borderId="100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4" fontId="64" fillId="61" borderId="100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4" fontId="64" fillId="61" borderId="100" applyNumberFormat="0" applyProtection="0">
      <alignment horizontal="left" vertical="center" indent="1"/>
    </xf>
    <xf numFmtId="4" fontId="68" fillId="40" borderId="112" applyNumberFormat="0" applyProtection="0">
      <alignment horizontal="right" vertical="center"/>
    </xf>
    <xf numFmtId="4" fontId="68" fillId="107" borderId="111" applyNumberFormat="0" applyProtection="0">
      <alignment horizontal="right" vertical="center"/>
    </xf>
    <xf numFmtId="4" fontId="68" fillId="107" borderId="111" applyNumberFormat="0" applyProtection="0">
      <alignment horizontal="right" vertical="center"/>
    </xf>
    <xf numFmtId="4" fontId="68" fillId="107" borderId="111" applyNumberFormat="0" applyProtection="0">
      <alignment horizontal="right" vertical="center"/>
    </xf>
    <xf numFmtId="4" fontId="68" fillId="107" borderId="111" applyNumberFormat="0" applyProtection="0">
      <alignment horizontal="right" vertical="center"/>
    </xf>
    <xf numFmtId="4" fontId="68" fillId="107" borderId="111" applyNumberFormat="0" applyProtection="0">
      <alignment horizontal="right" vertical="center"/>
    </xf>
    <xf numFmtId="4" fontId="68" fillId="107" borderId="111" applyNumberFormat="0" applyProtection="0">
      <alignment horizontal="right" vertical="center"/>
    </xf>
    <xf numFmtId="4" fontId="68" fillId="107" borderId="111" applyNumberFormat="0" applyProtection="0">
      <alignment horizontal="right" vertical="center"/>
    </xf>
    <xf numFmtId="4" fontId="68" fillId="107" borderId="111" applyNumberFormat="0" applyProtection="0">
      <alignment horizontal="right" vertical="center"/>
    </xf>
    <xf numFmtId="4" fontId="68" fillId="107" borderId="111" applyNumberFormat="0" applyProtection="0">
      <alignment horizontal="right" vertical="center"/>
    </xf>
    <xf numFmtId="4" fontId="68" fillId="107" borderId="111" applyNumberFormat="0" applyProtection="0">
      <alignment horizontal="right" vertical="center"/>
    </xf>
    <xf numFmtId="4" fontId="68" fillId="107" borderId="111" applyNumberFormat="0" applyProtection="0">
      <alignment horizontal="right" vertical="center"/>
    </xf>
    <xf numFmtId="4" fontId="68" fillId="107" borderId="111" applyNumberFormat="0" applyProtection="0">
      <alignment horizontal="right" vertical="center"/>
    </xf>
    <xf numFmtId="4" fontId="68" fillId="107" borderId="111" applyNumberFormat="0" applyProtection="0">
      <alignment horizontal="right" vertical="center"/>
    </xf>
    <xf numFmtId="4" fontId="68" fillId="107" borderId="111" applyNumberFormat="0" applyProtection="0">
      <alignment horizontal="right" vertical="center"/>
    </xf>
    <xf numFmtId="4" fontId="68" fillId="107" borderId="111" applyNumberFormat="0" applyProtection="0">
      <alignment horizontal="right" vertical="center"/>
    </xf>
    <xf numFmtId="4" fontId="68" fillId="107" borderId="111" applyNumberFormat="0" applyProtection="0">
      <alignment horizontal="right" vertical="center"/>
    </xf>
    <xf numFmtId="4" fontId="68" fillId="107" borderId="111" applyNumberFormat="0" applyProtection="0">
      <alignment horizontal="right" vertical="center"/>
    </xf>
    <xf numFmtId="4" fontId="64" fillId="40" borderId="100" applyNumberFormat="0" applyProtection="0">
      <alignment horizontal="right" vertical="center"/>
    </xf>
    <xf numFmtId="4" fontId="64" fillId="40" borderId="100" applyNumberFormat="0" applyProtection="0">
      <alignment horizontal="right" vertical="center"/>
    </xf>
    <xf numFmtId="4" fontId="64" fillId="40" borderId="100" applyNumberFormat="0" applyProtection="0">
      <alignment horizontal="right" vertical="center"/>
    </xf>
    <xf numFmtId="4" fontId="68" fillId="107" borderId="111" applyNumberFormat="0" applyProtection="0">
      <alignment horizontal="right" vertical="center"/>
    </xf>
    <xf numFmtId="4" fontId="64" fillId="40" borderId="100" applyNumberFormat="0" applyProtection="0">
      <alignment horizontal="right" vertical="center"/>
    </xf>
    <xf numFmtId="4" fontId="68" fillId="107" borderId="111" applyNumberFormat="0" applyProtection="0">
      <alignment horizontal="right" vertical="center"/>
    </xf>
    <xf numFmtId="4" fontId="64" fillId="40" borderId="100" applyNumberFormat="0" applyProtection="0">
      <alignment horizontal="right" vertical="center"/>
    </xf>
    <xf numFmtId="4" fontId="68" fillId="107" borderId="111" applyNumberFormat="0" applyProtection="0">
      <alignment horizontal="right" vertical="center"/>
    </xf>
    <xf numFmtId="4" fontId="68" fillId="107" borderId="111" applyNumberFormat="0" applyProtection="0">
      <alignment horizontal="right" vertical="center"/>
    </xf>
    <xf numFmtId="4" fontId="68" fillId="107" borderId="111" applyNumberFormat="0" applyProtection="0">
      <alignment horizontal="right" vertical="center"/>
    </xf>
    <xf numFmtId="4" fontId="68" fillId="107" borderId="111" applyNumberFormat="0" applyProtection="0">
      <alignment horizontal="right" vertical="center"/>
    </xf>
    <xf numFmtId="4" fontId="68" fillId="107" borderId="111" applyNumberFormat="0" applyProtection="0">
      <alignment horizontal="right" vertical="center"/>
    </xf>
    <xf numFmtId="4" fontId="68" fillId="107" borderId="111" applyNumberFormat="0" applyProtection="0">
      <alignment horizontal="right" vertical="center"/>
    </xf>
    <xf numFmtId="4" fontId="68" fillId="107" borderId="111" applyNumberFormat="0" applyProtection="0">
      <alignment horizontal="right" vertical="center"/>
    </xf>
    <xf numFmtId="4" fontId="68" fillId="107" borderId="111" applyNumberFormat="0" applyProtection="0">
      <alignment horizontal="right" vertical="center"/>
    </xf>
    <xf numFmtId="4" fontId="68" fillId="107" borderId="111" applyNumberFormat="0" applyProtection="0">
      <alignment horizontal="right" vertical="center"/>
    </xf>
    <xf numFmtId="4" fontId="64" fillId="40" borderId="100" applyNumberFormat="0" applyProtection="0">
      <alignment horizontal="right" vertical="center"/>
    </xf>
    <xf numFmtId="4" fontId="68" fillId="49" borderId="112" applyNumberFormat="0" applyProtection="0">
      <alignment horizontal="right" vertical="center"/>
    </xf>
    <xf numFmtId="4" fontId="68" fillId="108" borderId="111" applyNumberFormat="0" applyProtection="0">
      <alignment horizontal="right" vertical="center"/>
    </xf>
    <xf numFmtId="4" fontId="68" fillId="108" borderId="111" applyNumberFormat="0" applyProtection="0">
      <alignment horizontal="right" vertical="center"/>
    </xf>
    <xf numFmtId="4" fontId="68" fillId="108" borderId="111" applyNumberFormat="0" applyProtection="0">
      <alignment horizontal="right" vertical="center"/>
    </xf>
    <xf numFmtId="4" fontId="68" fillId="108" borderId="111" applyNumberFormat="0" applyProtection="0">
      <alignment horizontal="right" vertical="center"/>
    </xf>
    <xf numFmtId="4" fontId="68" fillId="108" borderId="111" applyNumberFormat="0" applyProtection="0">
      <alignment horizontal="right" vertical="center"/>
    </xf>
    <xf numFmtId="4" fontId="68" fillId="108" borderId="111" applyNumberFormat="0" applyProtection="0">
      <alignment horizontal="right" vertical="center"/>
    </xf>
    <xf numFmtId="4" fontId="68" fillId="108" borderId="111" applyNumberFormat="0" applyProtection="0">
      <alignment horizontal="right" vertical="center"/>
    </xf>
    <xf numFmtId="4" fontId="68" fillId="108" borderId="111" applyNumberFormat="0" applyProtection="0">
      <alignment horizontal="right" vertical="center"/>
    </xf>
    <xf numFmtId="4" fontId="68" fillId="108" borderId="111" applyNumberFormat="0" applyProtection="0">
      <alignment horizontal="right" vertical="center"/>
    </xf>
    <xf numFmtId="4" fontId="68" fillId="108" borderId="111" applyNumberFormat="0" applyProtection="0">
      <alignment horizontal="right" vertical="center"/>
    </xf>
    <xf numFmtId="4" fontId="68" fillId="108" borderId="111" applyNumberFormat="0" applyProtection="0">
      <alignment horizontal="right" vertical="center"/>
    </xf>
    <xf numFmtId="4" fontId="68" fillId="108" borderId="111" applyNumberFormat="0" applyProtection="0">
      <alignment horizontal="right" vertical="center"/>
    </xf>
    <xf numFmtId="4" fontId="68" fillId="108" borderId="111" applyNumberFormat="0" applyProtection="0">
      <alignment horizontal="right" vertical="center"/>
    </xf>
    <xf numFmtId="4" fontId="68" fillId="108" borderId="111" applyNumberFormat="0" applyProtection="0">
      <alignment horizontal="right" vertical="center"/>
    </xf>
    <xf numFmtId="4" fontId="68" fillId="108" borderId="111" applyNumberFormat="0" applyProtection="0">
      <alignment horizontal="right" vertical="center"/>
    </xf>
    <xf numFmtId="4" fontId="68" fillId="108" borderId="111" applyNumberFormat="0" applyProtection="0">
      <alignment horizontal="right" vertical="center"/>
    </xf>
    <xf numFmtId="4" fontId="68" fillId="108" borderId="111" applyNumberFormat="0" applyProtection="0">
      <alignment horizontal="right" vertical="center"/>
    </xf>
    <xf numFmtId="4" fontId="64" fillId="109" borderId="100" applyNumberFormat="0" applyProtection="0">
      <alignment horizontal="right" vertical="center"/>
    </xf>
    <xf numFmtId="4" fontId="64" fillId="109" borderId="100" applyNumberFormat="0" applyProtection="0">
      <alignment horizontal="right" vertical="center"/>
    </xf>
    <xf numFmtId="4" fontId="64" fillId="109" borderId="100" applyNumberFormat="0" applyProtection="0">
      <alignment horizontal="right" vertical="center"/>
    </xf>
    <xf numFmtId="4" fontId="68" fillId="108" borderId="111" applyNumberFormat="0" applyProtection="0">
      <alignment horizontal="right" vertical="center"/>
    </xf>
    <xf numFmtId="4" fontId="64" fillId="109" borderId="100" applyNumberFormat="0" applyProtection="0">
      <alignment horizontal="right" vertical="center"/>
    </xf>
    <xf numFmtId="4" fontId="68" fillId="108" borderId="111" applyNumberFormat="0" applyProtection="0">
      <alignment horizontal="right" vertical="center"/>
    </xf>
    <xf numFmtId="4" fontId="64" fillId="109" borderId="100" applyNumberFormat="0" applyProtection="0">
      <alignment horizontal="right" vertical="center"/>
    </xf>
    <xf numFmtId="4" fontId="68" fillId="108" borderId="111" applyNumberFormat="0" applyProtection="0">
      <alignment horizontal="right" vertical="center"/>
    </xf>
    <xf numFmtId="4" fontId="68" fillId="108" borderId="111" applyNumberFormat="0" applyProtection="0">
      <alignment horizontal="right" vertical="center"/>
    </xf>
    <xf numFmtId="4" fontId="68" fillId="108" borderId="111" applyNumberFormat="0" applyProtection="0">
      <alignment horizontal="right" vertical="center"/>
    </xf>
    <xf numFmtId="4" fontId="68" fillId="108" borderId="111" applyNumberFormat="0" applyProtection="0">
      <alignment horizontal="right" vertical="center"/>
    </xf>
    <xf numFmtId="4" fontId="68" fillId="108" borderId="111" applyNumberFormat="0" applyProtection="0">
      <alignment horizontal="right" vertical="center"/>
    </xf>
    <xf numFmtId="4" fontId="68" fillId="108" borderId="111" applyNumberFormat="0" applyProtection="0">
      <alignment horizontal="right" vertical="center"/>
    </xf>
    <xf numFmtId="4" fontId="68" fillId="108" borderId="111" applyNumberFormat="0" applyProtection="0">
      <alignment horizontal="right" vertical="center"/>
    </xf>
    <xf numFmtId="4" fontId="68" fillId="108" borderId="111" applyNumberFormat="0" applyProtection="0">
      <alignment horizontal="right" vertical="center"/>
    </xf>
    <xf numFmtId="4" fontId="68" fillId="108" borderId="111" applyNumberFormat="0" applyProtection="0">
      <alignment horizontal="right" vertical="center"/>
    </xf>
    <xf numFmtId="4" fontId="64" fillId="109" borderId="100" applyNumberFormat="0" applyProtection="0">
      <alignment horizontal="right" vertical="center"/>
    </xf>
    <xf numFmtId="4" fontId="68" fillId="72" borderId="112" applyNumberFormat="0" applyProtection="0">
      <alignment horizontal="right" vertical="center"/>
    </xf>
    <xf numFmtId="4" fontId="68" fillId="110" borderId="111" applyNumberFormat="0" applyProtection="0">
      <alignment horizontal="right" vertical="center"/>
    </xf>
    <xf numFmtId="4" fontId="68" fillId="110" borderId="111" applyNumberFormat="0" applyProtection="0">
      <alignment horizontal="right" vertical="center"/>
    </xf>
    <xf numFmtId="4" fontId="68" fillId="110" borderId="111" applyNumberFormat="0" applyProtection="0">
      <alignment horizontal="right" vertical="center"/>
    </xf>
    <xf numFmtId="4" fontId="68" fillId="110" borderId="111" applyNumberFormat="0" applyProtection="0">
      <alignment horizontal="right" vertical="center"/>
    </xf>
    <xf numFmtId="4" fontId="68" fillId="110" borderId="111" applyNumberFormat="0" applyProtection="0">
      <alignment horizontal="right" vertical="center"/>
    </xf>
    <xf numFmtId="4" fontId="68" fillId="110" borderId="111" applyNumberFormat="0" applyProtection="0">
      <alignment horizontal="right" vertical="center"/>
    </xf>
    <xf numFmtId="4" fontId="68" fillId="110" borderId="111" applyNumberFormat="0" applyProtection="0">
      <alignment horizontal="right" vertical="center"/>
    </xf>
    <xf numFmtId="4" fontId="68" fillId="110" borderId="111" applyNumberFormat="0" applyProtection="0">
      <alignment horizontal="right" vertical="center"/>
    </xf>
    <xf numFmtId="4" fontId="68" fillId="110" borderId="111" applyNumberFormat="0" applyProtection="0">
      <alignment horizontal="right" vertical="center"/>
    </xf>
    <xf numFmtId="4" fontId="68" fillId="110" borderId="111" applyNumberFormat="0" applyProtection="0">
      <alignment horizontal="right" vertical="center"/>
    </xf>
    <xf numFmtId="4" fontId="68" fillId="110" borderId="111" applyNumberFormat="0" applyProtection="0">
      <alignment horizontal="right" vertical="center"/>
    </xf>
    <xf numFmtId="4" fontId="68" fillId="110" borderId="111" applyNumberFormat="0" applyProtection="0">
      <alignment horizontal="right" vertical="center"/>
    </xf>
    <xf numFmtId="4" fontId="68" fillId="110" borderId="111" applyNumberFormat="0" applyProtection="0">
      <alignment horizontal="right" vertical="center"/>
    </xf>
    <xf numFmtId="4" fontId="68" fillId="110" borderId="111" applyNumberFormat="0" applyProtection="0">
      <alignment horizontal="right" vertical="center"/>
    </xf>
    <xf numFmtId="4" fontId="68" fillId="110" borderId="111" applyNumberFormat="0" applyProtection="0">
      <alignment horizontal="right" vertical="center"/>
    </xf>
    <xf numFmtId="4" fontId="68" fillId="110" borderId="111" applyNumberFormat="0" applyProtection="0">
      <alignment horizontal="right" vertical="center"/>
    </xf>
    <xf numFmtId="4" fontId="68" fillId="110" borderId="111" applyNumberFormat="0" applyProtection="0">
      <alignment horizontal="right" vertical="center"/>
    </xf>
    <xf numFmtId="4" fontId="64" fillId="72" borderId="113" applyNumberFormat="0" applyProtection="0">
      <alignment horizontal="right" vertical="center"/>
    </xf>
    <xf numFmtId="4" fontId="64" fillId="72" borderId="113" applyNumberFormat="0" applyProtection="0">
      <alignment horizontal="right" vertical="center"/>
    </xf>
    <xf numFmtId="4" fontId="64" fillId="72" borderId="113" applyNumberFormat="0" applyProtection="0">
      <alignment horizontal="right" vertical="center"/>
    </xf>
    <xf numFmtId="4" fontId="68" fillId="110" borderId="111" applyNumberFormat="0" applyProtection="0">
      <alignment horizontal="right" vertical="center"/>
    </xf>
    <xf numFmtId="4" fontId="64" fillId="72" borderId="113" applyNumberFormat="0" applyProtection="0">
      <alignment horizontal="right" vertical="center"/>
    </xf>
    <xf numFmtId="4" fontId="68" fillId="110" borderId="111" applyNumberFormat="0" applyProtection="0">
      <alignment horizontal="right" vertical="center"/>
    </xf>
    <xf numFmtId="4" fontId="64" fillId="72" borderId="113" applyNumberFormat="0" applyProtection="0">
      <alignment horizontal="right" vertical="center"/>
    </xf>
    <xf numFmtId="4" fontId="68" fillId="110" borderId="111" applyNumberFormat="0" applyProtection="0">
      <alignment horizontal="right" vertical="center"/>
    </xf>
    <xf numFmtId="4" fontId="68" fillId="110" borderId="111" applyNumberFormat="0" applyProtection="0">
      <alignment horizontal="right" vertical="center"/>
    </xf>
    <xf numFmtId="4" fontId="68" fillId="110" borderId="111" applyNumberFormat="0" applyProtection="0">
      <alignment horizontal="right" vertical="center"/>
    </xf>
    <xf numFmtId="4" fontId="68" fillId="110" borderId="111" applyNumberFormat="0" applyProtection="0">
      <alignment horizontal="right" vertical="center"/>
    </xf>
    <xf numFmtId="4" fontId="68" fillId="110" borderId="111" applyNumberFormat="0" applyProtection="0">
      <alignment horizontal="right" vertical="center"/>
    </xf>
    <xf numFmtId="4" fontId="68" fillId="110" borderId="111" applyNumberFormat="0" applyProtection="0">
      <alignment horizontal="right" vertical="center"/>
    </xf>
    <xf numFmtId="4" fontId="68" fillId="110" borderId="111" applyNumberFormat="0" applyProtection="0">
      <alignment horizontal="right" vertical="center"/>
    </xf>
    <xf numFmtId="4" fontId="68" fillId="110" borderId="111" applyNumberFormat="0" applyProtection="0">
      <alignment horizontal="right" vertical="center"/>
    </xf>
    <xf numFmtId="4" fontId="68" fillId="110" borderId="111" applyNumberFormat="0" applyProtection="0">
      <alignment horizontal="right" vertical="center"/>
    </xf>
    <xf numFmtId="4" fontId="64" fillId="72" borderId="113" applyNumberFormat="0" applyProtection="0">
      <alignment horizontal="right" vertical="center"/>
    </xf>
    <xf numFmtId="4" fontId="68" fillId="56" borderId="112" applyNumberFormat="0" applyProtection="0">
      <alignment horizontal="right" vertical="center"/>
    </xf>
    <xf numFmtId="4" fontId="68" fillId="111" borderId="111" applyNumberFormat="0" applyProtection="0">
      <alignment horizontal="right" vertical="center"/>
    </xf>
    <xf numFmtId="4" fontId="68" fillId="111" borderId="111" applyNumberFormat="0" applyProtection="0">
      <alignment horizontal="right" vertical="center"/>
    </xf>
    <xf numFmtId="4" fontId="68" fillId="111" borderId="111" applyNumberFormat="0" applyProtection="0">
      <alignment horizontal="right" vertical="center"/>
    </xf>
    <xf numFmtId="4" fontId="68" fillId="111" borderId="111" applyNumberFormat="0" applyProtection="0">
      <alignment horizontal="right" vertical="center"/>
    </xf>
    <xf numFmtId="4" fontId="68" fillId="111" borderId="111" applyNumberFormat="0" applyProtection="0">
      <alignment horizontal="right" vertical="center"/>
    </xf>
    <xf numFmtId="4" fontId="68" fillId="111" borderId="111" applyNumberFormat="0" applyProtection="0">
      <alignment horizontal="right" vertical="center"/>
    </xf>
    <xf numFmtId="4" fontId="68" fillId="111" borderId="111" applyNumberFormat="0" applyProtection="0">
      <alignment horizontal="right" vertical="center"/>
    </xf>
    <xf numFmtId="4" fontId="68" fillId="111" borderId="111" applyNumberFormat="0" applyProtection="0">
      <alignment horizontal="right" vertical="center"/>
    </xf>
    <xf numFmtId="4" fontId="68" fillId="111" borderId="111" applyNumberFormat="0" applyProtection="0">
      <alignment horizontal="right" vertical="center"/>
    </xf>
    <xf numFmtId="4" fontId="68" fillId="111" borderId="111" applyNumberFormat="0" applyProtection="0">
      <alignment horizontal="right" vertical="center"/>
    </xf>
    <xf numFmtId="4" fontId="68" fillId="111" borderId="111" applyNumberFormat="0" applyProtection="0">
      <alignment horizontal="right" vertical="center"/>
    </xf>
    <xf numFmtId="4" fontId="68" fillId="111" borderId="111" applyNumberFormat="0" applyProtection="0">
      <alignment horizontal="right" vertical="center"/>
    </xf>
    <xf numFmtId="4" fontId="68" fillId="111" borderId="111" applyNumberFormat="0" applyProtection="0">
      <alignment horizontal="right" vertical="center"/>
    </xf>
    <xf numFmtId="4" fontId="68" fillId="111" borderId="111" applyNumberFormat="0" applyProtection="0">
      <alignment horizontal="right" vertical="center"/>
    </xf>
    <xf numFmtId="4" fontId="68" fillId="111" borderId="111" applyNumberFormat="0" applyProtection="0">
      <alignment horizontal="right" vertical="center"/>
    </xf>
    <xf numFmtId="4" fontId="68" fillId="111" borderId="111" applyNumberFormat="0" applyProtection="0">
      <alignment horizontal="right" vertical="center"/>
    </xf>
    <xf numFmtId="4" fontId="68" fillId="111" borderId="111" applyNumberFormat="0" applyProtection="0">
      <alignment horizontal="right" vertical="center"/>
    </xf>
    <xf numFmtId="4" fontId="64" fillId="56" borderId="100" applyNumberFormat="0" applyProtection="0">
      <alignment horizontal="right" vertical="center"/>
    </xf>
    <xf numFmtId="4" fontId="64" fillId="56" borderId="100" applyNumberFormat="0" applyProtection="0">
      <alignment horizontal="right" vertical="center"/>
    </xf>
    <xf numFmtId="4" fontId="64" fillId="56" borderId="100" applyNumberFormat="0" applyProtection="0">
      <alignment horizontal="right" vertical="center"/>
    </xf>
    <xf numFmtId="4" fontId="68" fillId="111" borderId="111" applyNumberFormat="0" applyProtection="0">
      <alignment horizontal="right" vertical="center"/>
    </xf>
    <xf numFmtId="4" fontId="64" fillId="56" borderId="100" applyNumberFormat="0" applyProtection="0">
      <alignment horizontal="right" vertical="center"/>
    </xf>
    <xf numFmtId="4" fontId="68" fillId="111" borderId="111" applyNumberFormat="0" applyProtection="0">
      <alignment horizontal="right" vertical="center"/>
    </xf>
    <xf numFmtId="4" fontId="64" fillId="56" borderId="100" applyNumberFormat="0" applyProtection="0">
      <alignment horizontal="right" vertical="center"/>
    </xf>
    <xf numFmtId="4" fontId="68" fillId="111" borderId="111" applyNumberFormat="0" applyProtection="0">
      <alignment horizontal="right" vertical="center"/>
    </xf>
    <xf numFmtId="4" fontId="68" fillId="111" borderId="111" applyNumberFormat="0" applyProtection="0">
      <alignment horizontal="right" vertical="center"/>
    </xf>
    <xf numFmtId="4" fontId="68" fillId="111" borderId="111" applyNumberFormat="0" applyProtection="0">
      <alignment horizontal="right" vertical="center"/>
    </xf>
    <xf numFmtId="4" fontId="68" fillId="111" borderId="111" applyNumberFormat="0" applyProtection="0">
      <alignment horizontal="right" vertical="center"/>
    </xf>
    <xf numFmtId="4" fontId="68" fillId="111" borderId="111" applyNumberFormat="0" applyProtection="0">
      <alignment horizontal="right" vertical="center"/>
    </xf>
    <xf numFmtId="4" fontId="68" fillId="111" borderId="111" applyNumberFormat="0" applyProtection="0">
      <alignment horizontal="right" vertical="center"/>
    </xf>
    <xf numFmtId="4" fontId="68" fillId="111" borderId="111" applyNumberFormat="0" applyProtection="0">
      <alignment horizontal="right" vertical="center"/>
    </xf>
    <xf numFmtId="4" fontId="68" fillId="111" borderId="111" applyNumberFormat="0" applyProtection="0">
      <alignment horizontal="right" vertical="center"/>
    </xf>
    <xf numFmtId="4" fontId="68" fillId="111" borderId="111" applyNumberFormat="0" applyProtection="0">
      <alignment horizontal="right" vertical="center"/>
    </xf>
    <xf numFmtId="4" fontId="64" fillId="56" borderId="100" applyNumberFormat="0" applyProtection="0">
      <alignment horizontal="right" vertical="center"/>
    </xf>
    <xf numFmtId="4" fontId="68" fillId="62" borderId="112" applyNumberFormat="0" applyProtection="0">
      <alignment horizontal="right" vertical="center"/>
    </xf>
    <xf numFmtId="4" fontId="68" fillId="112" borderId="111" applyNumberFormat="0" applyProtection="0">
      <alignment horizontal="right" vertical="center"/>
    </xf>
    <xf numFmtId="4" fontId="68" fillId="112" borderId="111" applyNumberFormat="0" applyProtection="0">
      <alignment horizontal="right" vertical="center"/>
    </xf>
    <xf numFmtId="4" fontId="68" fillId="112" borderId="111" applyNumberFormat="0" applyProtection="0">
      <alignment horizontal="right" vertical="center"/>
    </xf>
    <xf numFmtId="4" fontId="68" fillId="112" borderId="111" applyNumberFormat="0" applyProtection="0">
      <alignment horizontal="right" vertical="center"/>
    </xf>
    <xf numFmtId="4" fontId="68" fillId="112" borderId="111" applyNumberFormat="0" applyProtection="0">
      <alignment horizontal="right" vertical="center"/>
    </xf>
    <xf numFmtId="4" fontId="68" fillId="112" borderId="111" applyNumberFormat="0" applyProtection="0">
      <alignment horizontal="right" vertical="center"/>
    </xf>
    <xf numFmtId="4" fontId="68" fillId="112" borderId="111" applyNumberFormat="0" applyProtection="0">
      <alignment horizontal="right" vertical="center"/>
    </xf>
    <xf numFmtId="4" fontId="68" fillId="112" borderId="111" applyNumberFormat="0" applyProtection="0">
      <alignment horizontal="right" vertical="center"/>
    </xf>
    <xf numFmtId="4" fontId="68" fillId="112" borderId="111" applyNumberFormat="0" applyProtection="0">
      <alignment horizontal="right" vertical="center"/>
    </xf>
    <xf numFmtId="4" fontId="68" fillId="112" borderId="111" applyNumberFormat="0" applyProtection="0">
      <alignment horizontal="right" vertical="center"/>
    </xf>
    <xf numFmtId="4" fontId="68" fillId="112" borderId="111" applyNumberFormat="0" applyProtection="0">
      <alignment horizontal="right" vertical="center"/>
    </xf>
    <xf numFmtId="4" fontId="68" fillId="112" borderId="111" applyNumberFormat="0" applyProtection="0">
      <alignment horizontal="right" vertical="center"/>
    </xf>
    <xf numFmtId="4" fontId="68" fillId="112" borderId="111" applyNumberFormat="0" applyProtection="0">
      <alignment horizontal="right" vertical="center"/>
    </xf>
    <xf numFmtId="4" fontId="68" fillId="112" borderId="111" applyNumberFormat="0" applyProtection="0">
      <alignment horizontal="right" vertical="center"/>
    </xf>
    <xf numFmtId="4" fontId="68" fillId="112" borderId="111" applyNumberFormat="0" applyProtection="0">
      <alignment horizontal="right" vertical="center"/>
    </xf>
    <xf numFmtId="4" fontId="68" fillId="112" borderId="111" applyNumberFormat="0" applyProtection="0">
      <alignment horizontal="right" vertical="center"/>
    </xf>
    <xf numFmtId="4" fontId="68" fillId="112" borderId="111" applyNumberFormat="0" applyProtection="0">
      <alignment horizontal="right" vertical="center"/>
    </xf>
    <xf numFmtId="4" fontId="64" fillId="62" borderId="100" applyNumberFormat="0" applyProtection="0">
      <alignment horizontal="right" vertical="center"/>
    </xf>
    <xf numFmtId="4" fontId="64" fillId="62" borderId="100" applyNumberFormat="0" applyProtection="0">
      <alignment horizontal="right" vertical="center"/>
    </xf>
    <xf numFmtId="4" fontId="64" fillId="62" borderId="100" applyNumberFormat="0" applyProtection="0">
      <alignment horizontal="right" vertical="center"/>
    </xf>
    <xf numFmtId="4" fontId="68" fillId="112" borderId="111" applyNumberFormat="0" applyProtection="0">
      <alignment horizontal="right" vertical="center"/>
    </xf>
    <xf numFmtId="4" fontId="64" fillId="62" borderId="100" applyNumberFormat="0" applyProtection="0">
      <alignment horizontal="right" vertical="center"/>
    </xf>
    <xf numFmtId="4" fontId="68" fillId="112" borderId="111" applyNumberFormat="0" applyProtection="0">
      <alignment horizontal="right" vertical="center"/>
    </xf>
    <xf numFmtId="4" fontId="64" fillId="62" borderId="100" applyNumberFormat="0" applyProtection="0">
      <alignment horizontal="right" vertical="center"/>
    </xf>
    <xf numFmtId="4" fontId="68" fillId="112" borderId="111" applyNumberFormat="0" applyProtection="0">
      <alignment horizontal="right" vertical="center"/>
    </xf>
    <xf numFmtId="4" fontId="68" fillId="112" borderId="111" applyNumberFormat="0" applyProtection="0">
      <alignment horizontal="right" vertical="center"/>
    </xf>
    <xf numFmtId="4" fontId="68" fillId="112" borderId="111" applyNumberFormat="0" applyProtection="0">
      <alignment horizontal="right" vertical="center"/>
    </xf>
    <xf numFmtId="4" fontId="68" fillId="112" borderId="111" applyNumberFormat="0" applyProtection="0">
      <alignment horizontal="right" vertical="center"/>
    </xf>
    <xf numFmtId="4" fontId="68" fillId="112" borderId="111" applyNumberFormat="0" applyProtection="0">
      <alignment horizontal="right" vertical="center"/>
    </xf>
    <xf numFmtId="4" fontId="68" fillId="112" borderId="111" applyNumberFormat="0" applyProtection="0">
      <alignment horizontal="right" vertical="center"/>
    </xf>
    <xf numFmtId="4" fontId="68" fillId="112" borderId="111" applyNumberFormat="0" applyProtection="0">
      <alignment horizontal="right" vertical="center"/>
    </xf>
    <xf numFmtId="4" fontId="68" fillId="112" borderId="111" applyNumberFormat="0" applyProtection="0">
      <alignment horizontal="right" vertical="center"/>
    </xf>
    <xf numFmtId="4" fontId="68" fillId="112" borderId="111" applyNumberFormat="0" applyProtection="0">
      <alignment horizontal="right" vertical="center"/>
    </xf>
    <xf numFmtId="4" fontId="64" fillId="62" borderId="100" applyNumberFormat="0" applyProtection="0">
      <alignment horizontal="right" vertical="center"/>
    </xf>
    <xf numFmtId="4" fontId="68" fillId="63" borderId="112" applyNumberFormat="0" applyProtection="0">
      <alignment horizontal="right" vertical="center"/>
    </xf>
    <xf numFmtId="4" fontId="68" fillId="113" borderId="111" applyNumberFormat="0" applyProtection="0">
      <alignment horizontal="right" vertical="center"/>
    </xf>
    <xf numFmtId="4" fontId="68" fillId="113" borderId="111" applyNumberFormat="0" applyProtection="0">
      <alignment horizontal="right" vertical="center"/>
    </xf>
    <xf numFmtId="4" fontId="68" fillId="113" borderId="111" applyNumberFormat="0" applyProtection="0">
      <alignment horizontal="right" vertical="center"/>
    </xf>
    <xf numFmtId="4" fontId="68" fillId="113" borderId="111" applyNumberFormat="0" applyProtection="0">
      <alignment horizontal="right" vertical="center"/>
    </xf>
    <xf numFmtId="4" fontId="68" fillId="113" borderId="111" applyNumberFormat="0" applyProtection="0">
      <alignment horizontal="right" vertical="center"/>
    </xf>
    <xf numFmtId="4" fontId="68" fillId="113" borderId="111" applyNumberFormat="0" applyProtection="0">
      <alignment horizontal="right" vertical="center"/>
    </xf>
    <xf numFmtId="4" fontId="68" fillId="113" borderId="111" applyNumberFormat="0" applyProtection="0">
      <alignment horizontal="right" vertical="center"/>
    </xf>
    <xf numFmtId="4" fontId="68" fillId="113" borderId="111" applyNumberFormat="0" applyProtection="0">
      <alignment horizontal="right" vertical="center"/>
    </xf>
    <xf numFmtId="4" fontId="68" fillId="113" borderId="111" applyNumberFormat="0" applyProtection="0">
      <alignment horizontal="right" vertical="center"/>
    </xf>
    <xf numFmtId="4" fontId="68" fillId="113" borderId="111" applyNumberFormat="0" applyProtection="0">
      <alignment horizontal="right" vertical="center"/>
    </xf>
    <xf numFmtId="4" fontId="68" fillId="113" borderId="111" applyNumberFormat="0" applyProtection="0">
      <alignment horizontal="right" vertical="center"/>
    </xf>
    <xf numFmtId="4" fontId="68" fillId="113" borderId="111" applyNumberFormat="0" applyProtection="0">
      <alignment horizontal="right" vertical="center"/>
    </xf>
    <xf numFmtId="4" fontId="68" fillId="113" borderId="111" applyNumberFormat="0" applyProtection="0">
      <alignment horizontal="right" vertical="center"/>
    </xf>
    <xf numFmtId="4" fontId="68" fillId="113" borderId="111" applyNumberFormat="0" applyProtection="0">
      <alignment horizontal="right" vertical="center"/>
    </xf>
    <xf numFmtId="4" fontId="68" fillId="113" borderId="111" applyNumberFormat="0" applyProtection="0">
      <alignment horizontal="right" vertical="center"/>
    </xf>
    <xf numFmtId="4" fontId="68" fillId="113" borderId="111" applyNumberFormat="0" applyProtection="0">
      <alignment horizontal="right" vertical="center"/>
    </xf>
    <xf numFmtId="4" fontId="68" fillId="113" borderId="111" applyNumberFormat="0" applyProtection="0">
      <alignment horizontal="right" vertical="center"/>
    </xf>
    <xf numFmtId="4" fontId="64" fillId="63" borderId="100" applyNumberFormat="0" applyProtection="0">
      <alignment horizontal="right" vertical="center"/>
    </xf>
    <xf numFmtId="4" fontId="64" fillId="63" borderId="100" applyNumberFormat="0" applyProtection="0">
      <alignment horizontal="right" vertical="center"/>
    </xf>
    <xf numFmtId="4" fontId="64" fillId="63" borderId="100" applyNumberFormat="0" applyProtection="0">
      <alignment horizontal="right" vertical="center"/>
    </xf>
    <xf numFmtId="4" fontId="68" fillId="113" borderId="111" applyNumberFormat="0" applyProtection="0">
      <alignment horizontal="right" vertical="center"/>
    </xf>
    <xf numFmtId="4" fontId="64" fillId="63" borderId="100" applyNumberFormat="0" applyProtection="0">
      <alignment horizontal="right" vertical="center"/>
    </xf>
    <xf numFmtId="4" fontId="68" fillId="113" borderId="111" applyNumberFormat="0" applyProtection="0">
      <alignment horizontal="right" vertical="center"/>
    </xf>
    <xf numFmtId="4" fontId="64" fillId="63" borderId="100" applyNumberFormat="0" applyProtection="0">
      <alignment horizontal="right" vertical="center"/>
    </xf>
    <xf numFmtId="4" fontId="68" fillId="113" borderId="111" applyNumberFormat="0" applyProtection="0">
      <alignment horizontal="right" vertical="center"/>
    </xf>
    <xf numFmtId="4" fontId="68" fillId="113" borderId="111" applyNumberFormat="0" applyProtection="0">
      <alignment horizontal="right" vertical="center"/>
    </xf>
    <xf numFmtId="4" fontId="68" fillId="113" borderId="111" applyNumberFormat="0" applyProtection="0">
      <alignment horizontal="right" vertical="center"/>
    </xf>
    <xf numFmtId="4" fontId="68" fillId="113" borderId="111" applyNumberFormat="0" applyProtection="0">
      <alignment horizontal="right" vertical="center"/>
    </xf>
    <xf numFmtId="4" fontId="68" fillId="113" borderId="111" applyNumberFormat="0" applyProtection="0">
      <alignment horizontal="right" vertical="center"/>
    </xf>
    <xf numFmtId="4" fontId="68" fillId="113" borderId="111" applyNumberFormat="0" applyProtection="0">
      <alignment horizontal="right" vertical="center"/>
    </xf>
    <xf numFmtId="4" fontId="68" fillId="113" borderId="111" applyNumberFormat="0" applyProtection="0">
      <alignment horizontal="right" vertical="center"/>
    </xf>
    <xf numFmtId="4" fontId="68" fillId="113" borderId="111" applyNumberFormat="0" applyProtection="0">
      <alignment horizontal="right" vertical="center"/>
    </xf>
    <xf numFmtId="4" fontId="68" fillId="113" borderId="111" applyNumberFormat="0" applyProtection="0">
      <alignment horizontal="right" vertical="center"/>
    </xf>
    <xf numFmtId="4" fontId="64" fillId="63" borderId="100" applyNumberFormat="0" applyProtection="0">
      <alignment horizontal="right" vertical="center"/>
    </xf>
    <xf numFmtId="4" fontId="68" fillId="53" borderId="112" applyNumberFormat="0" applyProtection="0">
      <alignment horizontal="right" vertical="center"/>
    </xf>
    <xf numFmtId="4" fontId="68" fillId="114" borderId="111" applyNumberFormat="0" applyProtection="0">
      <alignment horizontal="right" vertical="center"/>
    </xf>
    <xf numFmtId="4" fontId="68" fillId="114" borderId="111" applyNumberFormat="0" applyProtection="0">
      <alignment horizontal="right" vertical="center"/>
    </xf>
    <xf numFmtId="4" fontId="68" fillId="114" borderId="111" applyNumberFormat="0" applyProtection="0">
      <alignment horizontal="right" vertical="center"/>
    </xf>
    <xf numFmtId="4" fontId="68" fillId="114" borderId="111" applyNumberFormat="0" applyProtection="0">
      <alignment horizontal="right" vertical="center"/>
    </xf>
    <xf numFmtId="4" fontId="68" fillId="114" borderId="111" applyNumberFormat="0" applyProtection="0">
      <alignment horizontal="right" vertical="center"/>
    </xf>
    <xf numFmtId="4" fontId="68" fillId="114" borderId="111" applyNumberFormat="0" applyProtection="0">
      <alignment horizontal="right" vertical="center"/>
    </xf>
    <xf numFmtId="4" fontId="68" fillId="114" borderId="111" applyNumberFormat="0" applyProtection="0">
      <alignment horizontal="right" vertical="center"/>
    </xf>
    <xf numFmtId="4" fontId="68" fillId="114" borderId="111" applyNumberFormat="0" applyProtection="0">
      <alignment horizontal="right" vertical="center"/>
    </xf>
    <xf numFmtId="4" fontId="68" fillId="114" borderId="111" applyNumberFormat="0" applyProtection="0">
      <alignment horizontal="right" vertical="center"/>
    </xf>
    <xf numFmtId="4" fontId="68" fillId="114" borderId="111" applyNumberFormat="0" applyProtection="0">
      <alignment horizontal="right" vertical="center"/>
    </xf>
    <xf numFmtId="4" fontId="68" fillId="114" borderId="111" applyNumberFormat="0" applyProtection="0">
      <alignment horizontal="right" vertical="center"/>
    </xf>
    <xf numFmtId="4" fontId="68" fillId="114" borderId="111" applyNumberFormat="0" applyProtection="0">
      <alignment horizontal="right" vertical="center"/>
    </xf>
    <xf numFmtId="4" fontId="68" fillId="114" borderId="111" applyNumberFormat="0" applyProtection="0">
      <alignment horizontal="right" vertical="center"/>
    </xf>
    <xf numFmtId="4" fontId="68" fillId="114" borderId="111" applyNumberFormat="0" applyProtection="0">
      <alignment horizontal="right" vertical="center"/>
    </xf>
    <xf numFmtId="4" fontId="68" fillId="114" borderId="111" applyNumberFormat="0" applyProtection="0">
      <alignment horizontal="right" vertical="center"/>
    </xf>
    <xf numFmtId="4" fontId="68" fillId="114" borderId="111" applyNumberFormat="0" applyProtection="0">
      <alignment horizontal="right" vertical="center"/>
    </xf>
    <xf numFmtId="4" fontId="68" fillId="114" borderId="111" applyNumberFormat="0" applyProtection="0">
      <alignment horizontal="right" vertical="center"/>
    </xf>
    <xf numFmtId="4" fontId="64" fillId="53" borderId="100" applyNumberFormat="0" applyProtection="0">
      <alignment horizontal="right" vertical="center"/>
    </xf>
    <xf numFmtId="4" fontId="64" fillId="53" borderId="100" applyNumberFormat="0" applyProtection="0">
      <alignment horizontal="right" vertical="center"/>
    </xf>
    <xf numFmtId="4" fontId="64" fillId="53" borderId="100" applyNumberFormat="0" applyProtection="0">
      <alignment horizontal="right" vertical="center"/>
    </xf>
    <xf numFmtId="4" fontId="68" fillId="114" borderId="111" applyNumberFormat="0" applyProtection="0">
      <alignment horizontal="right" vertical="center"/>
    </xf>
    <xf numFmtId="4" fontId="64" fillId="53" borderId="100" applyNumberFormat="0" applyProtection="0">
      <alignment horizontal="right" vertical="center"/>
    </xf>
    <xf numFmtId="4" fontId="68" fillId="114" borderId="111" applyNumberFormat="0" applyProtection="0">
      <alignment horizontal="right" vertical="center"/>
    </xf>
    <xf numFmtId="4" fontId="64" fillId="53" borderId="100" applyNumberFormat="0" applyProtection="0">
      <alignment horizontal="right" vertical="center"/>
    </xf>
    <xf numFmtId="4" fontId="68" fillId="114" borderId="111" applyNumberFormat="0" applyProtection="0">
      <alignment horizontal="right" vertical="center"/>
    </xf>
    <xf numFmtId="4" fontId="68" fillId="114" borderId="111" applyNumberFormat="0" applyProtection="0">
      <alignment horizontal="right" vertical="center"/>
    </xf>
    <xf numFmtId="4" fontId="68" fillId="114" borderId="111" applyNumberFormat="0" applyProtection="0">
      <alignment horizontal="right" vertical="center"/>
    </xf>
    <xf numFmtId="4" fontId="68" fillId="114" borderId="111" applyNumberFormat="0" applyProtection="0">
      <alignment horizontal="right" vertical="center"/>
    </xf>
    <xf numFmtId="4" fontId="68" fillId="114" borderId="111" applyNumberFormat="0" applyProtection="0">
      <alignment horizontal="right" vertical="center"/>
    </xf>
    <xf numFmtId="4" fontId="68" fillId="114" borderId="111" applyNumberFormat="0" applyProtection="0">
      <alignment horizontal="right" vertical="center"/>
    </xf>
    <xf numFmtId="4" fontId="68" fillId="114" borderId="111" applyNumberFormat="0" applyProtection="0">
      <alignment horizontal="right" vertical="center"/>
    </xf>
    <xf numFmtId="4" fontId="68" fillId="114" borderId="111" applyNumberFormat="0" applyProtection="0">
      <alignment horizontal="right" vertical="center"/>
    </xf>
    <xf numFmtId="4" fontId="68" fillId="114" borderId="111" applyNumberFormat="0" applyProtection="0">
      <alignment horizontal="right" vertical="center"/>
    </xf>
    <xf numFmtId="4" fontId="64" fillId="53" borderId="100" applyNumberFormat="0" applyProtection="0">
      <alignment horizontal="right" vertical="center"/>
    </xf>
    <xf numFmtId="4" fontId="68" fillId="43" borderId="112" applyNumberFormat="0" applyProtection="0">
      <alignment horizontal="right" vertical="center"/>
    </xf>
    <xf numFmtId="4" fontId="68" fillId="115" borderId="111" applyNumberFormat="0" applyProtection="0">
      <alignment horizontal="right" vertical="center"/>
    </xf>
    <xf numFmtId="4" fontId="68" fillId="115" borderId="111" applyNumberFormat="0" applyProtection="0">
      <alignment horizontal="right" vertical="center"/>
    </xf>
    <xf numFmtId="4" fontId="68" fillId="115" borderId="111" applyNumberFormat="0" applyProtection="0">
      <alignment horizontal="right" vertical="center"/>
    </xf>
    <xf numFmtId="4" fontId="68" fillId="115" borderId="111" applyNumberFormat="0" applyProtection="0">
      <alignment horizontal="right" vertical="center"/>
    </xf>
    <xf numFmtId="4" fontId="68" fillId="115" borderId="111" applyNumberFormat="0" applyProtection="0">
      <alignment horizontal="right" vertical="center"/>
    </xf>
    <xf numFmtId="4" fontId="68" fillId="115" borderId="111" applyNumberFormat="0" applyProtection="0">
      <alignment horizontal="right" vertical="center"/>
    </xf>
    <xf numFmtId="4" fontId="68" fillId="115" borderId="111" applyNumberFormat="0" applyProtection="0">
      <alignment horizontal="right" vertical="center"/>
    </xf>
    <xf numFmtId="4" fontId="68" fillId="115" borderId="111" applyNumberFormat="0" applyProtection="0">
      <alignment horizontal="right" vertical="center"/>
    </xf>
    <xf numFmtId="4" fontId="68" fillId="115" borderId="111" applyNumberFormat="0" applyProtection="0">
      <alignment horizontal="right" vertical="center"/>
    </xf>
    <xf numFmtId="4" fontId="68" fillId="115" borderId="111" applyNumberFormat="0" applyProtection="0">
      <alignment horizontal="right" vertical="center"/>
    </xf>
    <xf numFmtId="4" fontId="68" fillId="115" borderId="111" applyNumberFormat="0" applyProtection="0">
      <alignment horizontal="right" vertical="center"/>
    </xf>
    <xf numFmtId="4" fontId="68" fillId="115" borderId="111" applyNumberFormat="0" applyProtection="0">
      <alignment horizontal="right" vertical="center"/>
    </xf>
    <xf numFmtId="4" fontId="68" fillId="115" borderId="111" applyNumberFormat="0" applyProtection="0">
      <alignment horizontal="right" vertical="center"/>
    </xf>
    <xf numFmtId="4" fontId="68" fillId="115" borderId="111" applyNumberFormat="0" applyProtection="0">
      <alignment horizontal="right" vertical="center"/>
    </xf>
    <xf numFmtId="4" fontId="68" fillId="115" borderId="111" applyNumberFormat="0" applyProtection="0">
      <alignment horizontal="right" vertical="center"/>
    </xf>
    <xf numFmtId="4" fontId="68" fillId="115" borderId="111" applyNumberFormat="0" applyProtection="0">
      <alignment horizontal="right" vertical="center"/>
    </xf>
    <xf numFmtId="4" fontId="68" fillId="115" borderId="111" applyNumberFormat="0" applyProtection="0">
      <alignment horizontal="right" vertical="center"/>
    </xf>
    <xf numFmtId="4" fontId="64" fillId="43" borderId="100" applyNumberFormat="0" applyProtection="0">
      <alignment horizontal="right" vertical="center"/>
    </xf>
    <xf numFmtId="4" fontId="64" fillId="43" borderId="100" applyNumberFormat="0" applyProtection="0">
      <alignment horizontal="right" vertical="center"/>
    </xf>
    <xf numFmtId="4" fontId="64" fillId="43" borderId="100" applyNumberFormat="0" applyProtection="0">
      <alignment horizontal="right" vertical="center"/>
    </xf>
    <xf numFmtId="4" fontId="68" fillId="115" borderId="111" applyNumberFormat="0" applyProtection="0">
      <alignment horizontal="right" vertical="center"/>
    </xf>
    <xf numFmtId="4" fontId="64" fillId="43" borderId="100" applyNumberFormat="0" applyProtection="0">
      <alignment horizontal="right" vertical="center"/>
    </xf>
    <xf numFmtId="4" fontId="68" fillId="115" borderId="111" applyNumberFormat="0" applyProtection="0">
      <alignment horizontal="right" vertical="center"/>
    </xf>
    <xf numFmtId="4" fontId="64" fillId="43" borderId="100" applyNumberFormat="0" applyProtection="0">
      <alignment horizontal="right" vertical="center"/>
    </xf>
    <xf numFmtId="4" fontId="68" fillId="115" borderId="111" applyNumberFormat="0" applyProtection="0">
      <alignment horizontal="right" vertical="center"/>
    </xf>
    <xf numFmtId="4" fontId="68" fillId="115" borderId="111" applyNumberFormat="0" applyProtection="0">
      <alignment horizontal="right" vertical="center"/>
    </xf>
    <xf numFmtId="4" fontId="68" fillId="115" borderId="111" applyNumberFormat="0" applyProtection="0">
      <alignment horizontal="right" vertical="center"/>
    </xf>
    <xf numFmtId="4" fontId="68" fillId="115" borderId="111" applyNumberFormat="0" applyProtection="0">
      <alignment horizontal="right" vertical="center"/>
    </xf>
    <xf numFmtId="4" fontId="68" fillId="115" borderId="111" applyNumberFormat="0" applyProtection="0">
      <alignment horizontal="right" vertical="center"/>
    </xf>
    <xf numFmtId="4" fontId="68" fillId="115" borderId="111" applyNumberFormat="0" applyProtection="0">
      <alignment horizontal="right" vertical="center"/>
    </xf>
    <xf numFmtId="4" fontId="68" fillId="115" borderId="111" applyNumberFormat="0" applyProtection="0">
      <alignment horizontal="right" vertical="center"/>
    </xf>
    <xf numFmtId="4" fontId="68" fillId="115" borderId="111" applyNumberFormat="0" applyProtection="0">
      <alignment horizontal="right" vertical="center"/>
    </xf>
    <xf numFmtId="4" fontId="68" fillId="115" borderId="111" applyNumberFormat="0" applyProtection="0">
      <alignment horizontal="right" vertical="center"/>
    </xf>
    <xf numFmtId="4" fontId="64" fillId="43" borderId="100" applyNumberFormat="0" applyProtection="0">
      <alignment horizontal="right" vertical="center"/>
    </xf>
    <xf numFmtId="4" fontId="68" fillId="52" borderId="112" applyNumberFormat="0" applyProtection="0">
      <alignment horizontal="right" vertical="center"/>
    </xf>
    <xf numFmtId="4" fontId="68" fillId="116" borderId="111" applyNumberFormat="0" applyProtection="0">
      <alignment horizontal="right" vertical="center"/>
    </xf>
    <xf numFmtId="4" fontId="68" fillId="116" borderId="111" applyNumberFormat="0" applyProtection="0">
      <alignment horizontal="right" vertical="center"/>
    </xf>
    <xf numFmtId="4" fontId="68" fillId="116" borderId="111" applyNumberFormat="0" applyProtection="0">
      <alignment horizontal="right" vertical="center"/>
    </xf>
    <xf numFmtId="4" fontId="68" fillId="116" borderId="111" applyNumberFormat="0" applyProtection="0">
      <alignment horizontal="right" vertical="center"/>
    </xf>
    <xf numFmtId="4" fontId="68" fillId="116" borderId="111" applyNumberFormat="0" applyProtection="0">
      <alignment horizontal="right" vertical="center"/>
    </xf>
    <xf numFmtId="4" fontId="68" fillId="116" borderId="111" applyNumberFormat="0" applyProtection="0">
      <alignment horizontal="right" vertical="center"/>
    </xf>
    <xf numFmtId="4" fontId="68" fillId="116" borderId="111" applyNumberFormat="0" applyProtection="0">
      <alignment horizontal="right" vertical="center"/>
    </xf>
    <xf numFmtId="4" fontId="68" fillId="116" borderId="111" applyNumberFormat="0" applyProtection="0">
      <alignment horizontal="right" vertical="center"/>
    </xf>
    <xf numFmtId="4" fontId="68" fillId="116" borderId="111" applyNumberFormat="0" applyProtection="0">
      <alignment horizontal="right" vertical="center"/>
    </xf>
    <xf numFmtId="4" fontId="68" fillId="116" borderId="111" applyNumberFormat="0" applyProtection="0">
      <alignment horizontal="right" vertical="center"/>
    </xf>
    <xf numFmtId="4" fontId="68" fillId="116" borderId="111" applyNumberFormat="0" applyProtection="0">
      <alignment horizontal="right" vertical="center"/>
    </xf>
    <xf numFmtId="4" fontId="68" fillId="116" borderId="111" applyNumberFormat="0" applyProtection="0">
      <alignment horizontal="right" vertical="center"/>
    </xf>
    <xf numFmtId="4" fontId="68" fillId="116" borderId="111" applyNumberFormat="0" applyProtection="0">
      <alignment horizontal="right" vertical="center"/>
    </xf>
    <xf numFmtId="4" fontId="68" fillId="116" borderId="111" applyNumberFormat="0" applyProtection="0">
      <alignment horizontal="right" vertical="center"/>
    </xf>
    <xf numFmtId="4" fontId="68" fillId="116" borderId="111" applyNumberFormat="0" applyProtection="0">
      <alignment horizontal="right" vertical="center"/>
    </xf>
    <xf numFmtId="4" fontId="68" fillId="116" borderId="111" applyNumberFormat="0" applyProtection="0">
      <alignment horizontal="right" vertical="center"/>
    </xf>
    <xf numFmtId="4" fontId="68" fillId="116" borderId="111" applyNumberFormat="0" applyProtection="0">
      <alignment horizontal="right" vertical="center"/>
    </xf>
    <xf numFmtId="4" fontId="64" fillId="52" borderId="100" applyNumberFormat="0" applyProtection="0">
      <alignment horizontal="right" vertical="center"/>
    </xf>
    <xf numFmtId="4" fontId="64" fillId="52" borderId="100" applyNumberFormat="0" applyProtection="0">
      <alignment horizontal="right" vertical="center"/>
    </xf>
    <xf numFmtId="4" fontId="64" fillId="52" borderId="100" applyNumberFormat="0" applyProtection="0">
      <alignment horizontal="right" vertical="center"/>
    </xf>
    <xf numFmtId="4" fontId="68" fillId="116" borderId="111" applyNumberFormat="0" applyProtection="0">
      <alignment horizontal="right" vertical="center"/>
    </xf>
    <xf numFmtId="4" fontId="64" fillId="52" borderId="100" applyNumberFormat="0" applyProtection="0">
      <alignment horizontal="right" vertical="center"/>
    </xf>
    <xf numFmtId="4" fontId="68" fillId="116" borderId="111" applyNumberFormat="0" applyProtection="0">
      <alignment horizontal="right" vertical="center"/>
    </xf>
    <xf numFmtId="4" fontId="64" fillId="52" borderId="100" applyNumberFormat="0" applyProtection="0">
      <alignment horizontal="right" vertical="center"/>
    </xf>
    <xf numFmtId="4" fontId="68" fillId="116" borderId="111" applyNumberFormat="0" applyProtection="0">
      <alignment horizontal="right" vertical="center"/>
    </xf>
    <xf numFmtId="4" fontId="68" fillId="116" borderId="111" applyNumberFormat="0" applyProtection="0">
      <alignment horizontal="right" vertical="center"/>
    </xf>
    <xf numFmtId="4" fontId="68" fillId="116" borderId="111" applyNumberFormat="0" applyProtection="0">
      <alignment horizontal="right" vertical="center"/>
    </xf>
    <xf numFmtId="4" fontId="68" fillId="116" borderId="111" applyNumberFormat="0" applyProtection="0">
      <alignment horizontal="right" vertical="center"/>
    </xf>
    <xf numFmtId="4" fontId="68" fillId="116" borderId="111" applyNumberFormat="0" applyProtection="0">
      <alignment horizontal="right" vertical="center"/>
    </xf>
    <xf numFmtId="4" fontId="68" fillId="116" borderId="111" applyNumberFormat="0" applyProtection="0">
      <alignment horizontal="right" vertical="center"/>
    </xf>
    <xf numFmtId="4" fontId="68" fillId="116" borderId="111" applyNumberFormat="0" applyProtection="0">
      <alignment horizontal="right" vertical="center"/>
    </xf>
    <xf numFmtId="4" fontId="68" fillId="116" borderId="111" applyNumberFormat="0" applyProtection="0">
      <alignment horizontal="right" vertical="center"/>
    </xf>
    <xf numFmtId="4" fontId="68" fillId="116" borderId="111" applyNumberFormat="0" applyProtection="0">
      <alignment horizontal="right" vertical="center"/>
    </xf>
    <xf numFmtId="4" fontId="64" fillId="52" borderId="100" applyNumberFormat="0" applyProtection="0">
      <alignment horizontal="right" vertical="center"/>
    </xf>
    <xf numFmtId="4" fontId="95" fillId="117" borderId="114" applyNumberFormat="0" applyProtection="0">
      <alignment horizontal="left" vertical="center" indent="1"/>
    </xf>
    <xf numFmtId="4" fontId="95" fillId="118" borderId="111" applyNumberFormat="0" applyProtection="0">
      <alignment horizontal="left" vertical="center" indent="1"/>
    </xf>
    <xf numFmtId="4" fontId="95" fillId="118" borderId="111" applyNumberFormat="0" applyProtection="0">
      <alignment horizontal="left" vertical="center" indent="1"/>
    </xf>
    <xf numFmtId="4" fontId="95" fillId="118" borderId="111" applyNumberFormat="0" applyProtection="0">
      <alignment horizontal="left" vertical="center" indent="1"/>
    </xf>
    <xf numFmtId="4" fontId="95" fillId="118" borderId="111" applyNumberFormat="0" applyProtection="0">
      <alignment horizontal="left" vertical="center" indent="1"/>
    </xf>
    <xf numFmtId="4" fontId="95" fillId="118" borderId="111" applyNumberFormat="0" applyProtection="0">
      <alignment horizontal="left" vertical="center" indent="1"/>
    </xf>
    <xf numFmtId="4" fontId="95" fillId="118" borderId="111" applyNumberFormat="0" applyProtection="0">
      <alignment horizontal="left" vertical="center" indent="1"/>
    </xf>
    <xf numFmtId="4" fontId="95" fillId="118" borderId="111" applyNumberFormat="0" applyProtection="0">
      <alignment horizontal="left" vertical="center" indent="1"/>
    </xf>
    <xf numFmtId="4" fontId="95" fillId="118" borderId="111" applyNumberFormat="0" applyProtection="0">
      <alignment horizontal="left" vertical="center" indent="1"/>
    </xf>
    <xf numFmtId="4" fontId="64" fillId="117" borderId="113" applyNumberFormat="0" applyProtection="0">
      <alignment horizontal="left" vertical="center" indent="1"/>
    </xf>
    <xf numFmtId="4" fontId="64" fillId="117" borderId="113" applyNumberFormat="0" applyProtection="0">
      <alignment horizontal="left" vertical="center" indent="1"/>
    </xf>
    <xf numFmtId="4" fontId="64" fillId="117" borderId="113" applyNumberFormat="0" applyProtection="0">
      <alignment horizontal="left" vertical="center" indent="1"/>
    </xf>
    <xf numFmtId="4" fontId="64" fillId="117" borderId="113" applyNumberFormat="0" applyProtection="0">
      <alignment horizontal="left" vertical="center" indent="1"/>
    </xf>
    <xf numFmtId="4" fontId="64" fillId="117" borderId="113" applyNumberFormat="0" applyProtection="0">
      <alignment horizontal="left" vertical="center" indent="1"/>
    </xf>
    <xf numFmtId="4" fontId="95" fillId="118" borderId="111" applyNumberFormat="0" applyProtection="0">
      <alignment horizontal="left" vertical="center" indent="1"/>
    </xf>
    <xf numFmtId="4" fontId="95" fillId="118" borderId="111" applyNumberFormat="0" applyProtection="0">
      <alignment horizontal="left" vertical="center" indent="1"/>
    </xf>
    <xf numFmtId="4" fontId="95" fillId="118" borderId="111" applyNumberFormat="0" applyProtection="0">
      <alignment horizontal="left" vertical="center" indent="1"/>
    </xf>
    <xf numFmtId="4" fontId="95" fillId="118" borderId="111" applyNumberFormat="0" applyProtection="0">
      <alignment horizontal="left" vertical="center" indent="1"/>
    </xf>
    <xf numFmtId="4" fontId="64" fillId="117" borderId="113" applyNumberFormat="0" applyProtection="0">
      <alignment horizontal="left" vertical="center" indent="1"/>
    </xf>
    <xf numFmtId="4" fontId="68" fillId="39" borderId="0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23" fillId="55" borderId="113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68" fillId="119" borderId="115" applyNumberFormat="0" applyProtection="0">
      <alignment horizontal="left" vertical="center" indent="1"/>
    </xf>
    <xf numFmtId="4" fontId="23" fillId="55" borderId="113" applyNumberFormat="0" applyProtection="0">
      <alignment horizontal="left" vertical="center" indent="1"/>
    </xf>
    <xf numFmtId="4" fontId="100" fillId="120" borderId="0" applyNumberFormat="0" applyProtection="0">
      <alignment horizontal="left" vertical="center" indent="1"/>
    </xf>
    <xf numFmtId="4" fontId="100" fillId="120" borderId="0" applyNumberFormat="0" applyProtection="0">
      <alignment horizontal="left" vertical="center" indent="1"/>
    </xf>
    <xf numFmtId="4" fontId="100" fillId="120" borderId="0" applyNumberFormat="0" applyProtection="0">
      <alignment horizontal="left" vertical="center" indent="1"/>
    </xf>
    <xf numFmtId="4" fontId="100" fillId="120" borderId="0" applyNumberFormat="0" applyProtection="0">
      <alignment horizontal="left" vertical="center" indent="1"/>
    </xf>
    <xf numFmtId="4" fontId="100" fillId="120" borderId="0" applyNumberFormat="0" applyProtection="0">
      <alignment horizontal="left" vertical="center" indent="1"/>
    </xf>
    <xf numFmtId="4" fontId="100" fillId="120" borderId="0" applyNumberFormat="0" applyProtection="0">
      <alignment horizontal="left" vertical="center" indent="1"/>
    </xf>
    <xf numFmtId="4" fontId="100" fillId="120" borderId="0" applyNumberFormat="0" applyProtection="0">
      <alignment horizontal="left" vertical="center" indent="1"/>
    </xf>
    <xf numFmtId="4" fontId="100" fillId="120" borderId="0" applyNumberFormat="0" applyProtection="0">
      <alignment horizontal="left" vertical="center" indent="1"/>
    </xf>
    <xf numFmtId="4" fontId="100" fillId="120" borderId="0" applyNumberFormat="0" applyProtection="0">
      <alignment horizontal="left" vertical="center" indent="1"/>
    </xf>
    <xf numFmtId="4" fontId="100" fillId="120" borderId="0" applyNumberFormat="0" applyProtection="0">
      <alignment horizontal="left" vertical="center" indent="1"/>
    </xf>
    <xf numFmtId="4" fontId="100" fillId="120" borderId="0" applyNumberFormat="0" applyProtection="0">
      <alignment horizontal="left" vertical="center" indent="1"/>
    </xf>
    <xf numFmtId="4" fontId="100" fillId="120" borderId="0" applyNumberFormat="0" applyProtection="0">
      <alignment horizontal="left" vertical="center" indent="1"/>
    </xf>
    <xf numFmtId="4" fontId="23" fillId="55" borderId="113" applyNumberFormat="0" applyProtection="0">
      <alignment horizontal="left" vertical="center" indent="1"/>
    </xf>
    <xf numFmtId="4" fontId="100" fillId="120" borderId="0" applyNumberFormat="0" applyProtection="0">
      <alignment horizontal="left" vertical="center" indent="1"/>
    </xf>
    <xf numFmtId="4" fontId="100" fillId="120" borderId="0" applyNumberFormat="0" applyProtection="0">
      <alignment horizontal="left" vertical="center" indent="1"/>
    </xf>
    <xf numFmtId="4" fontId="100" fillId="120" borderId="0" applyNumberFormat="0" applyProtection="0">
      <alignment horizontal="left" vertical="center" indent="1"/>
    </xf>
    <xf numFmtId="4" fontId="100" fillId="120" borderId="0" applyNumberFormat="0" applyProtection="0">
      <alignment horizontal="left" vertical="center" indent="1"/>
    </xf>
    <xf numFmtId="4" fontId="100" fillId="120" borderId="0" applyNumberFormat="0" applyProtection="0">
      <alignment horizontal="left" vertical="center" indent="1"/>
    </xf>
    <xf numFmtId="4" fontId="100" fillId="120" borderId="0" applyNumberFormat="0" applyProtection="0">
      <alignment horizontal="left" vertical="center" indent="1"/>
    </xf>
    <xf numFmtId="4" fontId="23" fillId="55" borderId="113" applyNumberFormat="0" applyProtection="0">
      <alignment horizontal="left" vertical="center" indent="1"/>
    </xf>
    <xf numFmtId="4" fontId="68" fillId="41" borderId="112" applyNumberFormat="0" applyProtection="0">
      <alignment horizontal="right" vertical="center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4" fontId="64" fillId="41" borderId="100" applyNumberFormat="0" applyProtection="0">
      <alignment horizontal="right" vertical="center"/>
    </xf>
    <xf numFmtId="4" fontId="64" fillId="41" borderId="100" applyNumberFormat="0" applyProtection="0">
      <alignment horizontal="right" vertical="center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4" fontId="64" fillId="41" borderId="100" applyNumberFormat="0" applyProtection="0">
      <alignment horizontal="right" vertical="center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4" fontId="64" fillId="41" borderId="100" applyNumberFormat="0" applyProtection="0">
      <alignment horizontal="right" vertical="center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4" fontId="64" fillId="41" borderId="100" applyNumberFormat="0" applyProtection="0">
      <alignment horizontal="right" vertical="center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4" fontId="64" fillId="41" borderId="100" applyNumberFormat="0" applyProtection="0">
      <alignment horizontal="right" vertical="center"/>
    </xf>
    <xf numFmtId="4" fontId="68" fillId="39" borderId="0" applyNumberFormat="0" applyProtection="0">
      <alignment horizontal="left" vertical="center" indent="1"/>
    </xf>
    <xf numFmtId="4" fontId="68" fillId="119" borderId="111" applyNumberFormat="0" applyProtection="0">
      <alignment horizontal="left" vertical="center" indent="1"/>
    </xf>
    <xf numFmtId="4" fontId="68" fillId="119" borderId="111" applyNumberFormat="0" applyProtection="0">
      <alignment horizontal="left" vertical="center" indent="1"/>
    </xf>
    <xf numFmtId="4" fontId="68" fillId="119" borderId="111" applyNumberFormat="0" applyProtection="0">
      <alignment horizontal="left" vertical="center" indent="1"/>
    </xf>
    <xf numFmtId="4" fontId="68" fillId="119" borderId="111" applyNumberFormat="0" applyProtection="0">
      <alignment horizontal="left" vertical="center" indent="1"/>
    </xf>
    <xf numFmtId="4" fontId="68" fillId="119" borderId="111" applyNumberFormat="0" applyProtection="0">
      <alignment horizontal="left" vertical="center" indent="1"/>
    </xf>
    <xf numFmtId="4" fontId="68" fillId="119" borderId="111" applyNumberFormat="0" applyProtection="0">
      <alignment horizontal="left" vertical="center" indent="1"/>
    </xf>
    <xf numFmtId="4" fontId="68" fillId="119" borderId="111" applyNumberFormat="0" applyProtection="0">
      <alignment horizontal="left" vertical="center" indent="1"/>
    </xf>
    <xf numFmtId="4" fontId="68" fillId="119" borderId="111" applyNumberFormat="0" applyProtection="0">
      <alignment horizontal="left" vertical="center" indent="1"/>
    </xf>
    <xf numFmtId="4" fontId="68" fillId="119" borderId="111" applyNumberFormat="0" applyProtection="0">
      <alignment horizontal="left" vertical="center" indent="1"/>
    </xf>
    <xf numFmtId="4" fontId="68" fillId="119" borderId="111" applyNumberFormat="0" applyProtection="0">
      <alignment horizontal="left" vertical="center" indent="1"/>
    </xf>
    <xf numFmtId="4" fontId="68" fillId="119" borderId="111" applyNumberFormat="0" applyProtection="0">
      <alignment horizontal="left" vertical="center" indent="1"/>
    </xf>
    <xf numFmtId="4" fontId="68" fillId="119" borderId="111" applyNumberFormat="0" applyProtection="0">
      <alignment horizontal="left" vertical="center" indent="1"/>
    </xf>
    <xf numFmtId="4" fontId="68" fillId="119" borderId="111" applyNumberFormat="0" applyProtection="0">
      <alignment horizontal="left" vertical="center" indent="1"/>
    </xf>
    <xf numFmtId="4" fontId="68" fillId="119" borderId="111" applyNumberFormat="0" applyProtection="0">
      <alignment horizontal="left" vertical="center" indent="1"/>
    </xf>
    <xf numFmtId="4" fontId="68" fillId="119" borderId="111" applyNumberFormat="0" applyProtection="0">
      <alignment horizontal="left" vertical="center" indent="1"/>
    </xf>
    <xf numFmtId="4" fontId="68" fillId="119" borderId="111" applyNumberFormat="0" applyProtection="0">
      <alignment horizontal="left" vertical="center" indent="1"/>
    </xf>
    <xf numFmtId="4" fontId="68" fillId="119" borderId="111" applyNumberFormat="0" applyProtection="0">
      <alignment horizontal="left" vertical="center" indent="1"/>
    </xf>
    <xf numFmtId="4" fontId="68" fillId="119" borderId="111" applyNumberFormat="0" applyProtection="0">
      <alignment horizontal="left" vertical="center" indent="1"/>
    </xf>
    <xf numFmtId="4" fontId="68" fillId="39" borderId="0" applyNumberFormat="0" applyProtection="0">
      <alignment horizontal="left" vertical="center" indent="1"/>
    </xf>
    <xf numFmtId="4" fontId="68" fillId="39" borderId="0" applyNumberFormat="0" applyProtection="0">
      <alignment horizontal="left" vertical="center" indent="1"/>
    </xf>
    <xf numFmtId="4" fontId="64" fillId="39" borderId="113" applyNumberFormat="0" applyProtection="0">
      <alignment horizontal="left" vertical="center" indent="1"/>
    </xf>
    <xf numFmtId="4" fontId="64" fillId="39" borderId="113" applyNumberFormat="0" applyProtection="0">
      <alignment horizontal="left" vertical="center" indent="1"/>
    </xf>
    <xf numFmtId="4" fontId="68" fillId="119" borderId="111" applyNumberFormat="0" applyProtection="0">
      <alignment horizontal="left" vertical="center" indent="1"/>
    </xf>
    <xf numFmtId="4" fontId="64" fillId="39" borderId="113" applyNumberFormat="0" applyProtection="0">
      <alignment horizontal="left" vertical="center" indent="1"/>
    </xf>
    <xf numFmtId="4" fontId="68" fillId="119" borderId="111" applyNumberFormat="0" applyProtection="0">
      <alignment horizontal="left" vertical="center" indent="1"/>
    </xf>
    <xf numFmtId="4" fontId="64" fillId="39" borderId="113" applyNumberFormat="0" applyProtection="0">
      <alignment horizontal="left" vertical="center" indent="1"/>
    </xf>
    <xf numFmtId="4" fontId="68" fillId="119" borderId="111" applyNumberFormat="0" applyProtection="0">
      <alignment horizontal="left" vertical="center" indent="1"/>
    </xf>
    <xf numFmtId="4" fontId="68" fillId="119" borderId="111" applyNumberFormat="0" applyProtection="0">
      <alignment horizontal="left" vertical="center" indent="1"/>
    </xf>
    <xf numFmtId="4" fontId="68" fillId="119" borderId="111" applyNumberFormat="0" applyProtection="0">
      <alignment horizontal="left" vertical="center" indent="1"/>
    </xf>
    <xf numFmtId="4" fontId="68" fillId="119" borderId="111" applyNumberFormat="0" applyProtection="0">
      <alignment horizontal="left" vertical="center" indent="1"/>
    </xf>
    <xf numFmtId="4" fontId="68" fillId="119" borderId="111" applyNumberFormat="0" applyProtection="0">
      <alignment horizontal="left" vertical="center" indent="1"/>
    </xf>
    <xf numFmtId="4" fontId="68" fillId="119" borderId="111" applyNumberFormat="0" applyProtection="0">
      <alignment horizontal="left" vertical="center" indent="1"/>
    </xf>
    <xf numFmtId="4" fontId="68" fillId="119" borderId="111" applyNumberFormat="0" applyProtection="0">
      <alignment horizontal="left" vertical="center" indent="1"/>
    </xf>
    <xf numFmtId="4" fontId="68" fillId="119" borderId="111" applyNumberFormat="0" applyProtection="0">
      <alignment horizontal="left" vertical="center" indent="1"/>
    </xf>
    <xf numFmtId="4" fontId="68" fillId="119" borderId="111" applyNumberFormat="0" applyProtection="0">
      <alignment horizontal="left" vertical="center" indent="1"/>
    </xf>
    <xf numFmtId="4" fontId="64" fillId="39" borderId="113" applyNumberFormat="0" applyProtection="0">
      <alignment horizontal="left" vertical="center" indent="1"/>
    </xf>
    <xf numFmtId="4" fontId="68" fillId="105" borderId="0" applyNumberFormat="0" applyProtection="0">
      <alignment horizontal="left" vertical="center" indent="1"/>
    </xf>
    <xf numFmtId="4" fontId="68" fillId="121" borderId="111" applyNumberFormat="0" applyProtection="0">
      <alignment horizontal="left" vertical="center" indent="1"/>
    </xf>
    <xf numFmtId="4" fontId="68" fillId="121" borderId="111" applyNumberFormat="0" applyProtection="0">
      <alignment horizontal="left" vertical="center" indent="1"/>
    </xf>
    <xf numFmtId="4" fontId="68" fillId="121" borderId="111" applyNumberFormat="0" applyProtection="0">
      <alignment horizontal="left" vertical="center" indent="1"/>
    </xf>
    <xf numFmtId="4" fontId="68" fillId="121" borderId="111" applyNumberFormat="0" applyProtection="0">
      <alignment horizontal="left" vertical="center" indent="1"/>
    </xf>
    <xf numFmtId="4" fontId="68" fillId="121" borderId="111" applyNumberFormat="0" applyProtection="0">
      <alignment horizontal="left" vertical="center" indent="1"/>
    </xf>
    <xf numFmtId="4" fontId="68" fillId="121" borderId="111" applyNumberFormat="0" applyProtection="0">
      <alignment horizontal="left" vertical="center" indent="1"/>
    </xf>
    <xf numFmtId="4" fontId="68" fillId="121" borderId="111" applyNumberFormat="0" applyProtection="0">
      <alignment horizontal="left" vertical="center" indent="1"/>
    </xf>
    <xf numFmtId="4" fontId="68" fillId="121" borderId="111" applyNumberFormat="0" applyProtection="0">
      <alignment horizontal="left" vertical="center" indent="1"/>
    </xf>
    <xf numFmtId="4" fontId="68" fillId="121" borderId="111" applyNumberFormat="0" applyProtection="0">
      <alignment horizontal="left" vertical="center" indent="1"/>
    </xf>
    <xf numFmtId="4" fontId="68" fillId="121" borderId="111" applyNumberFormat="0" applyProtection="0">
      <alignment horizontal="left" vertical="center" indent="1"/>
    </xf>
    <xf numFmtId="4" fontId="68" fillId="121" borderId="111" applyNumberFormat="0" applyProtection="0">
      <alignment horizontal="left" vertical="center" indent="1"/>
    </xf>
    <xf numFmtId="4" fontId="68" fillId="121" borderId="111" applyNumberFormat="0" applyProtection="0">
      <alignment horizontal="left" vertical="center" indent="1"/>
    </xf>
    <xf numFmtId="4" fontId="68" fillId="121" borderId="111" applyNumberFormat="0" applyProtection="0">
      <alignment horizontal="left" vertical="center" indent="1"/>
    </xf>
    <xf numFmtId="4" fontId="68" fillId="121" borderId="111" applyNumberFormat="0" applyProtection="0">
      <alignment horizontal="left" vertical="center" indent="1"/>
    </xf>
    <xf numFmtId="4" fontId="68" fillId="121" borderId="111" applyNumberFormat="0" applyProtection="0">
      <alignment horizontal="left" vertical="center" indent="1"/>
    </xf>
    <xf numFmtId="4" fontId="68" fillId="121" borderId="111" applyNumberFormat="0" applyProtection="0">
      <alignment horizontal="left" vertical="center" indent="1"/>
    </xf>
    <xf numFmtId="4" fontId="68" fillId="121" borderId="111" applyNumberFormat="0" applyProtection="0">
      <alignment horizontal="left" vertical="center" indent="1"/>
    </xf>
    <xf numFmtId="4" fontId="68" fillId="121" borderId="111" applyNumberFormat="0" applyProtection="0">
      <alignment horizontal="left" vertical="center" indent="1"/>
    </xf>
    <xf numFmtId="4" fontId="68" fillId="105" borderId="0" applyNumberFormat="0" applyProtection="0">
      <alignment horizontal="left" vertical="center" indent="1"/>
    </xf>
    <xf numFmtId="4" fontId="68" fillId="105" borderId="0" applyNumberFormat="0" applyProtection="0">
      <alignment horizontal="left" vertical="center" indent="1"/>
    </xf>
    <xf numFmtId="4" fontId="64" fillId="41" borderId="113" applyNumberFormat="0" applyProtection="0">
      <alignment horizontal="left" vertical="center" indent="1"/>
    </xf>
    <xf numFmtId="4" fontId="64" fillId="41" borderId="113" applyNumberFormat="0" applyProtection="0">
      <alignment horizontal="left" vertical="center" indent="1"/>
    </xf>
    <xf numFmtId="4" fontId="68" fillId="121" borderId="111" applyNumberFormat="0" applyProtection="0">
      <alignment horizontal="left" vertical="center" indent="1"/>
    </xf>
    <xf numFmtId="4" fontId="64" fillId="41" borderId="113" applyNumberFormat="0" applyProtection="0">
      <alignment horizontal="left" vertical="center" indent="1"/>
    </xf>
    <xf numFmtId="4" fontId="68" fillId="121" borderId="111" applyNumberFormat="0" applyProtection="0">
      <alignment horizontal="left" vertical="center" indent="1"/>
    </xf>
    <xf numFmtId="4" fontId="64" fillId="41" borderId="113" applyNumberFormat="0" applyProtection="0">
      <alignment horizontal="left" vertical="center" indent="1"/>
    </xf>
    <xf numFmtId="4" fontId="68" fillId="121" borderId="111" applyNumberFormat="0" applyProtection="0">
      <alignment horizontal="left" vertical="center" indent="1"/>
    </xf>
    <xf numFmtId="4" fontId="68" fillId="121" borderId="111" applyNumberFormat="0" applyProtection="0">
      <alignment horizontal="left" vertical="center" indent="1"/>
    </xf>
    <xf numFmtId="4" fontId="68" fillId="121" borderId="111" applyNumberFormat="0" applyProtection="0">
      <alignment horizontal="left" vertical="center" indent="1"/>
    </xf>
    <xf numFmtId="4" fontId="68" fillId="121" borderId="111" applyNumberFormat="0" applyProtection="0">
      <alignment horizontal="left" vertical="center" indent="1"/>
    </xf>
    <xf numFmtId="4" fontId="68" fillId="121" borderId="111" applyNumberFormat="0" applyProtection="0">
      <alignment horizontal="left" vertical="center" indent="1"/>
    </xf>
    <xf numFmtId="4" fontId="68" fillId="121" borderId="111" applyNumberFormat="0" applyProtection="0">
      <alignment horizontal="left" vertical="center" indent="1"/>
    </xf>
    <xf numFmtId="4" fontId="68" fillId="121" borderId="111" applyNumberFormat="0" applyProtection="0">
      <alignment horizontal="left" vertical="center" indent="1"/>
    </xf>
    <xf numFmtId="4" fontId="68" fillId="121" borderId="111" applyNumberFormat="0" applyProtection="0">
      <alignment horizontal="left" vertical="center" indent="1"/>
    </xf>
    <xf numFmtId="4" fontId="68" fillId="121" borderId="111" applyNumberFormat="0" applyProtection="0">
      <alignment horizontal="left" vertical="center" indent="1"/>
    </xf>
    <xf numFmtId="4" fontId="64" fillId="41" borderId="113" applyNumberFormat="0" applyProtection="0">
      <alignment horizontal="left" vertical="center" indent="1"/>
    </xf>
    <xf numFmtId="0" fontId="23" fillId="120" borderId="112" applyNumberFormat="0" applyProtection="0">
      <alignment horizontal="left" vertical="center" indent="1"/>
    </xf>
    <xf numFmtId="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0" fontId="23" fillId="121" borderId="111" applyNumberFormat="0" applyProtection="0">
      <alignment horizontal="left" vertical="center" indent="1"/>
    </xf>
    <xf numFmtId="0" fontId="23" fillId="121" borderId="111" applyNumberFormat="0" applyProtection="0">
      <alignment horizontal="left" vertical="center" indent="1"/>
    </xf>
    <xf numFmtId="0" fontId="64" fillId="51" borderId="100" applyNumberFormat="0" applyProtection="0">
      <alignment horizontal="left" vertical="center" indent="1"/>
    </xf>
    <xf numFmtId="0" fontId="64" fillId="51" borderId="100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0" fontId="64" fillId="51" borderId="100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0" fontId="64" fillId="51" borderId="100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0" fontId="64" fillId="51" borderId="100" applyNumberFormat="0" applyProtection="0">
      <alignment horizontal="left" vertical="center" indent="1"/>
    </xf>
    <xf numFmtId="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64" fillId="51" borderId="100" applyNumberFormat="0" applyProtection="0">
      <alignment horizontal="left" vertical="center" indent="1"/>
    </xf>
    <xf numFmtId="0" fontId="23" fillId="120" borderId="112" applyNumberFormat="0" applyProtection="0">
      <alignment horizontal="left" vertical="top" indent="1"/>
    </xf>
    <xf numFmtId="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0" fontId="23" fillId="121" borderId="111" applyNumberFormat="0" applyProtection="0">
      <alignment horizontal="left" vertical="center" indent="1"/>
    </xf>
    <xf numFmtId="0" fontId="23" fillId="121" borderId="111" applyNumberFormat="0" applyProtection="0">
      <alignment horizontal="left" vertical="center" indent="1"/>
    </xf>
    <xf numFmtId="0" fontId="64" fillId="55" borderId="112" applyNumberFormat="0" applyProtection="0">
      <alignment horizontal="left" vertical="top" indent="1"/>
    </xf>
    <xf numFmtId="0" fontId="64" fillId="55" borderId="112" applyNumberFormat="0" applyProtection="0">
      <alignment horizontal="left" vertical="top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0" fontId="64" fillId="55" borderId="112" applyNumberFormat="0" applyProtection="0">
      <alignment horizontal="left" vertical="top" indent="1"/>
    </xf>
    <xf numFmtId="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23" fillId="121" borderId="111" applyNumberFormat="0" applyProtection="0">
      <alignment horizontal="left" vertical="center" indent="1"/>
    </xf>
    <xf numFmtId="190" fontId="64" fillId="55" borderId="112" applyNumberFormat="0" applyProtection="0">
      <alignment horizontal="left" vertical="top" indent="1"/>
    </xf>
    <xf numFmtId="0" fontId="23" fillId="105" borderId="112" applyNumberFormat="0" applyProtection="0">
      <alignment horizontal="left" vertical="center" indent="1"/>
    </xf>
    <xf numFmtId="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0" fontId="23" fillId="122" borderId="111" applyNumberFormat="0" applyProtection="0">
      <alignment horizontal="left" vertical="center" indent="1"/>
    </xf>
    <xf numFmtId="0" fontId="23" fillId="122" borderId="111" applyNumberFormat="0" applyProtection="0">
      <alignment horizontal="left" vertical="center" indent="1"/>
    </xf>
    <xf numFmtId="0" fontId="64" fillId="123" borderId="100" applyNumberFormat="0" applyProtection="0">
      <alignment horizontal="left" vertical="center" indent="1"/>
    </xf>
    <xf numFmtId="0" fontId="64" fillId="123" borderId="100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0" fontId="64" fillId="123" borderId="100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0" fontId="64" fillId="123" borderId="100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0" fontId="64" fillId="123" borderId="100" applyNumberFormat="0" applyProtection="0">
      <alignment horizontal="left" vertical="center" indent="1"/>
    </xf>
    <xf numFmtId="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64" fillId="123" borderId="100" applyNumberFormat="0" applyProtection="0">
      <alignment horizontal="left" vertical="center" indent="1"/>
    </xf>
    <xf numFmtId="0" fontId="23" fillId="105" borderId="112" applyNumberFormat="0" applyProtection="0">
      <alignment horizontal="left" vertical="top" indent="1"/>
    </xf>
    <xf numFmtId="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0" fontId="23" fillId="122" borderId="111" applyNumberFormat="0" applyProtection="0">
      <alignment horizontal="left" vertical="center" indent="1"/>
    </xf>
    <xf numFmtId="0" fontId="23" fillId="122" borderId="111" applyNumberFormat="0" applyProtection="0">
      <alignment horizontal="left" vertical="center" indent="1"/>
    </xf>
    <xf numFmtId="0" fontId="64" fillId="41" borderId="112" applyNumberFormat="0" applyProtection="0">
      <alignment horizontal="left" vertical="top" indent="1"/>
    </xf>
    <xf numFmtId="0" fontId="64" fillId="41" borderId="112" applyNumberFormat="0" applyProtection="0">
      <alignment horizontal="left" vertical="top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0" fontId="64" fillId="41" borderId="112" applyNumberFormat="0" applyProtection="0">
      <alignment horizontal="left" vertical="top" indent="1"/>
    </xf>
    <xf numFmtId="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23" fillId="122" borderId="111" applyNumberFormat="0" applyProtection="0">
      <alignment horizontal="left" vertical="center" indent="1"/>
    </xf>
    <xf numFmtId="190" fontId="64" fillId="41" borderId="112" applyNumberFormat="0" applyProtection="0">
      <alignment horizontal="left" vertical="top" indent="1"/>
    </xf>
    <xf numFmtId="0" fontId="23" fillId="124" borderId="112" applyNumberFormat="0" applyProtection="0">
      <alignment horizontal="left" vertical="center" indent="1"/>
    </xf>
    <xf numFmtId="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0" fontId="23" fillId="125" borderId="111" applyNumberFormat="0" applyProtection="0">
      <alignment horizontal="left" vertical="center" indent="1"/>
    </xf>
    <xf numFmtId="0" fontId="23" fillId="125" borderId="111" applyNumberFormat="0" applyProtection="0">
      <alignment horizontal="left" vertical="center" indent="1"/>
    </xf>
    <xf numFmtId="0" fontId="64" fillId="48" borderId="100" applyNumberFormat="0" applyProtection="0">
      <alignment horizontal="left" vertical="center" indent="1"/>
    </xf>
    <xf numFmtId="0" fontId="64" fillId="48" borderId="100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0" fontId="64" fillId="48" borderId="100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0" fontId="64" fillId="48" borderId="100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0" fontId="64" fillId="48" borderId="100" applyNumberFormat="0" applyProtection="0">
      <alignment horizontal="left" vertical="center" indent="1"/>
    </xf>
    <xf numFmtId="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64" fillId="48" borderId="100" applyNumberFormat="0" applyProtection="0">
      <alignment horizontal="left" vertical="center" indent="1"/>
    </xf>
    <xf numFmtId="0" fontId="23" fillId="124" borderId="112" applyNumberFormat="0" applyProtection="0">
      <alignment horizontal="left" vertical="top" indent="1"/>
    </xf>
    <xf numFmtId="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0" fontId="23" fillId="125" borderId="111" applyNumberFormat="0" applyProtection="0">
      <alignment horizontal="left" vertical="center" indent="1"/>
    </xf>
    <xf numFmtId="0" fontId="23" fillId="125" borderId="111" applyNumberFormat="0" applyProtection="0">
      <alignment horizontal="left" vertical="center" indent="1"/>
    </xf>
    <xf numFmtId="0" fontId="64" fillId="48" borderId="112" applyNumberFormat="0" applyProtection="0">
      <alignment horizontal="left" vertical="top" indent="1"/>
    </xf>
    <xf numFmtId="0" fontId="64" fillId="48" borderId="112" applyNumberFormat="0" applyProtection="0">
      <alignment horizontal="left" vertical="top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0" fontId="64" fillId="48" borderId="112" applyNumberFormat="0" applyProtection="0">
      <alignment horizontal="left" vertical="top" indent="1"/>
    </xf>
    <xf numFmtId="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23" fillId="125" borderId="111" applyNumberFormat="0" applyProtection="0">
      <alignment horizontal="left" vertical="center" indent="1"/>
    </xf>
    <xf numFmtId="190" fontId="64" fillId="48" borderId="112" applyNumberFormat="0" applyProtection="0">
      <alignment horizontal="left" vertical="top" indent="1"/>
    </xf>
    <xf numFmtId="0" fontId="23" fillId="126" borderId="112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0" fontId="64" fillId="39" borderId="100" applyNumberFormat="0" applyProtection="0">
      <alignment horizontal="left" vertical="center" indent="1"/>
    </xf>
    <xf numFmtId="0" fontId="64" fillId="39" borderId="100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64" fillId="39" borderId="100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64" fillId="39" borderId="100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64" fillId="39" borderId="100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64" fillId="39" borderId="100" applyNumberFormat="0" applyProtection="0">
      <alignment horizontal="left" vertical="center" indent="1"/>
    </xf>
    <xf numFmtId="0" fontId="23" fillId="126" borderId="112" applyNumberFormat="0" applyProtection="0">
      <alignment horizontal="left" vertical="top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0" fontId="64" fillId="39" borderId="112" applyNumberFormat="0" applyProtection="0">
      <alignment horizontal="left" vertical="top" indent="1"/>
    </xf>
    <xf numFmtId="0" fontId="64" fillId="39" borderId="112" applyNumberFormat="0" applyProtection="0">
      <alignment horizontal="left" vertical="top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64" fillId="39" borderId="112" applyNumberFormat="0" applyProtection="0">
      <alignment horizontal="left" vertical="top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64" fillId="39" borderId="112" applyNumberFormat="0" applyProtection="0">
      <alignment horizontal="left" vertical="top" indent="1"/>
    </xf>
    <xf numFmtId="0" fontId="23" fillId="103" borderId="116" applyNumberFormat="0">
      <protection locked="0"/>
    </xf>
    <xf numFmtId="0" fontId="64" fillId="103" borderId="117" applyNumberFormat="0">
      <protection locked="0"/>
    </xf>
    <xf numFmtId="0" fontId="64" fillId="103" borderId="117" applyNumberFormat="0">
      <protection locked="0"/>
    </xf>
    <xf numFmtId="0" fontId="64" fillId="103" borderId="117" applyNumberFormat="0">
      <protection locked="0"/>
    </xf>
    <xf numFmtId="0" fontId="65" fillId="55" borderId="118" applyBorder="0"/>
    <xf numFmtId="190" fontId="65" fillId="55" borderId="118" applyBorder="0"/>
    <xf numFmtId="4" fontId="68" fillId="127" borderId="112" applyNumberFormat="0" applyProtection="0">
      <alignment vertical="center"/>
    </xf>
    <xf numFmtId="4" fontId="68" fillId="127" borderId="111" applyNumberFormat="0" applyProtection="0">
      <alignment vertical="center"/>
    </xf>
    <xf numFmtId="4" fontId="68" fillId="127" borderId="111" applyNumberFormat="0" applyProtection="0">
      <alignment vertical="center"/>
    </xf>
    <xf numFmtId="4" fontId="68" fillId="127" borderId="111" applyNumberFormat="0" applyProtection="0">
      <alignment vertical="center"/>
    </xf>
    <xf numFmtId="4" fontId="68" fillId="127" borderId="111" applyNumberFormat="0" applyProtection="0">
      <alignment vertical="center"/>
    </xf>
    <xf numFmtId="4" fontId="68" fillId="127" borderId="111" applyNumberFormat="0" applyProtection="0">
      <alignment vertical="center"/>
    </xf>
    <xf numFmtId="4" fontId="68" fillId="127" borderId="111" applyNumberFormat="0" applyProtection="0">
      <alignment vertical="center"/>
    </xf>
    <xf numFmtId="4" fontId="68" fillId="127" borderId="111" applyNumberFormat="0" applyProtection="0">
      <alignment vertical="center"/>
    </xf>
    <xf numFmtId="4" fontId="68" fillId="127" borderId="111" applyNumberFormat="0" applyProtection="0">
      <alignment vertical="center"/>
    </xf>
    <xf numFmtId="4" fontId="68" fillId="127" borderId="111" applyNumberFormat="0" applyProtection="0">
      <alignment vertical="center"/>
    </xf>
    <xf numFmtId="4" fontId="68" fillId="127" borderId="111" applyNumberFormat="0" applyProtection="0">
      <alignment vertical="center"/>
    </xf>
    <xf numFmtId="4" fontId="68" fillId="127" borderId="111" applyNumberFormat="0" applyProtection="0">
      <alignment vertical="center"/>
    </xf>
    <xf numFmtId="4" fontId="68" fillId="127" borderId="111" applyNumberFormat="0" applyProtection="0">
      <alignment vertical="center"/>
    </xf>
    <xf numFmtId="4" fontId="68" fillId="127" borderId="111" applyNumberFormat="0" applyProtection="0">
      <alignment vertical="center"/>
    </xf>
    <xf numFmtId="4" fontId="68" fillId="127" borderId="111" applyNumberFormat="0" applyProtection="0">
      <alignment vertical="center"/>
    </xf>
    <xf numFmtId="4" fontId="68" fillId="127" borderId="111" applyNumberFormat="0" applyProtection="0">
      <alignment vertical="center"/>
    </xf>
    <xf numFmtId="4" fontId="68" fillId="127" borderId="111" applyNumberFormat="0" applyProtection="0">
      <alignment vertical="center"/>
    </xf>
    <xf numFmtId="4" fontId="68" fillId="127" borderId="111" applyNumberFormat="0" applyProtection="0">
      <alignment vertical="center"/>
    </xf>
    <xf numFmtId="4" fontId="68" fillId="127" borderId="111" applyNumberFormat="0" applyProtection="0">
      <alignment vertical="center"/>
    </xf>
    <xf numFmtId="4" fontId="68" fillId="127" borderId="111" applyNumberFormat="0" applyProtection="0">
      <alignment vertical="center"/>
    </xf>
    <xf numFmtId="4" fontId="101" fillId="50" borderId="112" applyNumberFormat="0" applyProtection="0">
      <alignment vertical="center"/>
    </xf>
    <xf numFmtId="4" fontId="68" fillId="127" borderId="111" applyNumberFormat="0" applyProtection="0">
      <alignment vertical="center"/>
    </xf>
    <xf numFmtId="4" fontId="68" fillId="127" borderId="111" applyNumberFormat="0" applyProtection="0">
      <alignment vertical="center"/>
    </xf>
    <xf numFmtId="4" fontId="68" fillId="127" borderId="111" applyNumberFormat="0" applyProtection="0">
      <alignment vertical="center"/>
    </xf>
    <xf numFmtId="4" fontId="68" fillId="127" borderId="111" applyNumberFormat="0" applyProtection="0">
      <alignment vertical="center"/>
    </xf>
    <xf numFmtId="4" fontId="68" fillId="127" borderId="111" applyNumberFormat="0" applyProtection="0">
      <alignment vertical="center"/>
    </xf>
    <xf numFmtId="4" fontId="68" fillId="127" borderId="111" applyNumberFormat="0" applyProtection="0">
      <alignment vertical="center"/>
    </xf>
    <xf numFmtId="4" fontId="68" fillId="127" borderId="111" applyNumberFormat="0" applyProtection="0">
      <alignment vertical="center"/>
    </xf>
    <xf numFmtId="4" fontId="68" fillId="127" borderId="111" applyNumberFormat="0" applyProtection="0">
      <alignment vertical="center"/>
    </xf>
    <xf numFmtId="4" fontId="68" fillId="127" borderId="111" applyNumberFormat="0" applyProtection="0">
      <alignment vertical="center"/>
    </xf>
    <xf numFmtId="4" fontId="68" fillId="127" borderId="111" applyNumberFormat="0" applyProtection="0">
      <alignment vertical="center"/>
    </xf>
    <xf numFmtId="4" fontId="68" fillId="127" borderId="111" applyNumberFormat="0" applyProtection="0">
      <alignment vertical="center"/>
    </xf>
    <xf numFmtId="4" fontId="68" fillId="127" borderId="111" applyNumberFormat="0" applyProtection="0">
      <alignment vertical="center"/>
    </xf>
    <xf numFmtId="4" fontId="68" fillId="127" borderId="111" applyNumberFormat="0" applyProtection="0">
      <alignment vertical="center"/>
    </xf>
    <xf numFmtId="4" fontId="101" fillId="50" borderId="112" applyNumberFormat="0" applyProtection="0">
      <alignment vertical="center"/>
    </xf>
    <xf numFmtId="4" fontId="97" fillId="127" borderId="112" applyNumberFormat="0" applyProtection="0">
      <alignment vertical="center"/>
    </xf>
    <xf numFmtId="4" fontId="97" fillId="127" borderId="111" applyNumberFormat="0" applyProtection="0">
      <alignment vertical="center"/>
    </xf>
    <xf numFmtId="4" fontId="97" fillId="127" borderId="111" applyNumberFormat="0" applyProtection="0">
      <alignment vertical="center"/>
    </xf>
    <xf numFmtId="4" fontId="97" fillId="127" borderId="111" applyNumberFormat="0" applyProtection="0">
      <alignment vertical="center"/>
    </xf>
    <xf numFmtId="4" fontId="97" fillId="127" borderId="111" applyNumberFormat="0" applyProtection="0">
      <alignment vertical="center"/>
    </xf>
    <xf numFmtId="4" fontId="97" fillId="127" borderId="111" applyNumberFormat="0" applyProtection="0">
      <alignment vertical="center"/>
    </xf>
    <xf numFmtId="4" fontId="97" fillId="127" borderId="111" applyNumberFormat="0" applyProtection="0">
      <alignment vertical="center"/>
    </xf>
    <xf numFmtId="4" fontId="97" fillId="127" borderId="111" applyNumberFormat="0" applyProtection="0">
      <alignment vertical="center"/>
    </xf>
    <xf numFmtId="4" fontId="97" fillId="127" borderId="111" applyNumberFormat="0" applyProtection="0">
      <alignment vertical="center"/>
    </xf>
    <xf numFmtId="4" fontId="97" fillId="127" borderId="111" applyNumberFormat="0" applyProtection="0">
      <alignment vertical="center"/>
    </xf>
    <xf numFmtId="4" fontId="98" fillId="127" borderId="116" applyNumberFormat="0" applyProtection="0">
      <alignment vertical="center"/>
    </xf>
    <xf numFmtId="4" fontId="97" fillId="127" borderId="111" applyNumberFormat="0" applyProtection="0">
      <alignment vertical="center"/>
    </xf>
    <xf numFmtId="4" fontId="97" fillId="127" borderId="111" applyNumberFormat="0" applyProtection="0">
      <alignment vertical="center"/>
    </xf>
    <xf numFmtId="4" fontId="97" fillId="127" borderId="111" applyNumberFormat="0" applyProtection="0">
      <alignment vertical="center"/>
    </xf>
    <xf numFmtId="4" fontId="97" fillId="127" borderId="111" applyNumberFormat="0" applyProtection="0">
      <alignment vertical="center"/>
    </xf>
    <xf numFmtId="4" fontId="97" fillId="127" borderId="111" applyNumberFormat="0" applyProtection="0">
      <alignment vertical="center"/>
    </xf>
    <xf numFmtId="4" fontId="97" fillId="127" borderId="111" applyNumberFormat="0" applyProtection="0">
      <alignment vertical="center"/>
    </xf>
    <xf numFmtId="4" fontId="98" fillId="127" borderId="116" applyNumberFormat="0" applyProtection="0">
      <alignment vertical="center"/>
    </xf>
    <xf numFmtId="4" fontId="68" fillId="127" borderId="112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101" fillId="51" borderId="112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101" fillId="51" borderId="112" applyNumberFormat="0" applyProtection="0">
      <alignment horizontal="left" vertical="center" indent="1"/>
    </xf>
    <xf numFmtId="0" fontId="68" fillId="127" borderId="112" applyNumberFormat="0" applyProtection="0">
      <alignment horizontal="left" vertical="top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0" fontId="101" fillId="50" borderId="112" applyNumberFormat="0" applyProtection="0">
      <alignment horizontal="left" vertical="top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4" fontId="68" fillId="127" borderId="111" applyNumberFormat="0" applyProtection="0">
      <alignment horizontal="left" vertical="center" indent="1"/>
    </xf>
    <xf numFmtId="190" fontId="101" fillId="50" borderId="112" applyNumberFormat="0" applyProtection="0">
      <alignment horizontal="left" vertical="top" indent="1"/>
    </xf>
    <xf numFmtId="4" fontId="68" fillId="39" borderId="112" applyNumberFormat="0" applyProtection="0">
      <alignment horizontal="right" vertical="center"/>
    </xf>
    <xf numFmtId="4" fontId="68" fillId="119" borderId="111" applyNumberFormat="0" applyProtection="0">
      <alignment horizontal="right" vertical="center"/>
    </xf>
    <xf numFmtId="4" fontId="68" fillId="119" borderId="111" applyNumberFormat="0" applyProtection="0">
      <alignment horizontal="right" vertical="center"/>
    </xf>
    <xf numFmtId="4" fontId="68" fillId="119" borderId="111" applyNumberFormat="0" applyProtection="0">
      <alignment horizontal="right" vertical="center"/>
    </xf>
    <xf numFmtId="4" fontId="68" fillId="119" borderId="111" applyNumberFormat="0" applyProtection="0">
      <alignment horizontal="right" vertical="center"/>
    </xf>
    <xf numFmtId="4" fontId="68" fillId="119" borderId="111" applyNumberFormat="0" applyProtection="0">
      <alignment horizontal="right" vertical="center"/>
    </xf>
    <xf numFmtId="4" fontId="68" fillId="119" borderId="111" applyNumberFormat="0" applyProtection="0">
      <alignment horizontal="right" vertical="center"/>
    </xf>
    <xf numFmtId="4" fontId="68" fillId="119" borderId="111" applyNumberFormat="0" applyProtection="0">
      <alignment horizontal="right" vertical="center"/>
    </xf>
    <xf numFmtId="4" fontId="68" fillId="119" borderId="111" applyNumberFormat="0" applyProtection="0">
      <alignment horizontal="right" vertical="center"/>
    </xf>
    <xf numFmtId="4" fontId="68" fillId="119" borderId="111" applyNumberFormat="0" applyProtection="0">
      <alignment horizontal="right" vertical="center"/>
    </xf>
    <xf numFmtId="4" fontId="68" fillId="119" borderId="111" applyNumberFormat="0" applyProtection="0">
      <alignment horizontal="right" vertical="center"/>
    </xf>
    <xf numFmtId="4" fontId="68" fillId="119" borderId="111" applyNumberFormat="0" applyProtection="0">
      <alignment horizontal="right" vertical="center"/>
    </xf>
    <xf numFmtId="4" fontId="68" fillId="119" borderId="111" applyNumberFormat="0" applyProtection="0">
      <alignment horizontal="right" vertical="center"/>
    </xf>
    <xf numFmtId="4" fontId="68" fillId="119" borderId="111" applyNumberFormat="0" applyProtection="0">
      <alignment horizontal="right" vertical="center"/>
    </xf>
    <xf numFmtId="4" fontId="68" fillId="119" borderId="111" applyNumberFormat="0" applyProtection="0">
      <alignment horizontal="right" vertical="center"/>
    </xf>
    <xf numFmtId="4" fontId="68" fillId="119" borderId="111" applyNumberFormat="0" applyProtection="0">
      <alignment horizontal="right" vertical="center"/>
    </xf>
    <xf numFmtId="4" fontId="68" fillId="119" borderId="111" applyNumberFormat="0" applyProtection="0">
      <alignment horizontal="right" vertical="center"/>
    </xf>
    <xf numFmtId="4" fontId="68" fillId="119" borderId="111" applyNumberFormat="0" applyProtection="0">
      <alignment horizontal="right" vertical="center"/>
    </xf>
    <xf numFmtId="4" fontId="64" fillId="0" borderId="100" applyNumberFormat="0" applyProtection="0">
      <alignment horizontal="right" vertical="center"/>
    </xf>
    <xf numFmtId="4" fontId="64" fillId="0" borderId="100" applyNumberFormat="0" applyProtection="0">
      <alignment horizontal="right" vertical="center"/>
    </xf>
    <xf numFmtId="4" fontId="64" fillId="0" borderId="100" applyNumberFormat="0" applyProtection="0">
      <alignment horizontal="right" vertical="center"/>
    </xf>
    <xf numFmtId="4" fontId="68" fillId="119" borderId="111" applyNumberFormat="0" applyProtection="0">
      <alignment horizontal="right" vertical="center"/>
    </xf>
    <xf numFmtId="4" fontId="64" fillId="0" borderId="100" applyNumberFormat="0" applyProtection="0">
      <alignment horizontal="right" vertical="center"/>
    </xf>
    <xf numFmtId="4" fontId="68" fillId="119" borderId="111" applyNumberFormat="0" applyProtection="0">
      <alignment horizontal="right" vertical="center"/>
    </xf>
    <xf numFmtId="4" fontId="64" fillId="0" borderId="100" applyNumberFormat="0" applyProtection="0">
      <alignment horizontal="right" vertical="center"/>
    </xf>
    <xf numFmtId="4" fontId="68" fillId="119" borderId="111" applyNumberFormat="0" applyProtection="0">
      <alignment horizontal="right" vertical="center"/>
    </xf>
    <xf numFmtId="4" fontId="68" fillId="119" borderId="111" applyNumberFormat="0" applyProtection="0">
      <alignment horizontal="right" vertical="center"/>
    </xf>
    <xf numFmtId="4" fontId="68" fillId="119" borderId="111" applyNumberFormat="0" applyProtection="0">
      <alignment horizontal="right" vertical="center"/>
    </xf>
    <xf numFmtId="4" fontId="68" fillId="119" borderId="111" applyNumberFormat="0" applyProtection="0">
      <alignment horizontal="right" vertical="center"/>
    </xf>
    <xf numFmtId="4" fontId="68" fillId="119" borderId="111" applyNumberFormat="0" applyProtection="0">
      <alignment horizontal="right" vertical="center"/>
    </xf>
    <xf numFmtId="4" fontId="68" fillId="119" borderId="111" applyNumberFormat="0" applyProtection="0">
      <alignment horizontal="right" vertical="center"/>
    </xf>
    <xf numFmtId="4" fontId="68" fillId="119" borderId="111" applyNumberFormat="0" applyProtection="0">
      <alignment horizontal="right" vertical="center"/>
    </xf>
    <xf numFmtId="4" fontId="68" fillId="119" borderId="111" applyNumberFormat="0" applyProtection="0">
      <alignment horizontal="right" vertical="center"/>
    </xf>
    <xf numFmtId="4" fontId="68" fillId="119" borderId="111" applyNumberFormat="0" applyProtection="0">
      <alignment horizontal="right" vertical="center"/>
    </xf>
    <xf numFmtId="4" fontId="64" fillId="0" borderId="100" applyNumberFormat="0" applyProtection="0">
      <alignment horizontal="right" vertical="center"/>
    </xf>
    <xf numFmtId="4" fontId="97" fillId="39" borderId="112" applyNumberFormat="0" applyProtection="0">
      <alignment horizontal="right" vertical="center"/>
    </xf>
    <xf numFmtId="4" fontId="97" fillId="119" borderId="111" applyNumberFormat="0" applyProtection="0">
      <alignment horizontal="right" vertical="center"/>
    </xf>
    <xf numFmtId="4" fontId="97" fillId="119" borderId="111" applyNumberFormat="0" applyProtection="0">
      <alignment horizontal="right" vertical="center"/>
    </xf>
    <xf numFmtId="4" fontId="97" fillId="119" borderId="111" applyNumberFormat="0" applyProtection="0">
      <alignment horizontal="right" vertical="center"/>
    </xf>
    <xf numFmtId="4" fontId="97" fillId="119" borderId="111" applyNumberFormat="0" applyProtection="0">
      <alignment horizontal="right" vertical="center"/>
    </xf>
    <xf numFmtId="4" fontId="97" fillId="119" borderId="111" applyNumberFormat="0" applyProtection="0">
      <alignment horizontal="right" vertical="center"/>
    </xf>
    <xf numFmtId="4" fontId="97" fillId="119" borderId="111" applyNumberFormat="0" applyProtection="0">
      <alignment horizontal="right" vertical="center"/>
    </xf>
    <xf numFmtId="4" fontId="97" fillId="119" borderId="111" applyNumberFormat="0" applyProtection="0">
      <alignment horizontal="right" vertical="center"/>
    </xf>
    <xf numFmtId="4" fontId="97" fillId="119" borderId="111" applyNumberFormat="0" applyProtection="0">
      <alignment horizontal="right" vertical="center"/>
    </xf>
    <xf numFmtId="4" fontId="97" fillId="119" borderId="111" applyNumberFormat="0" applyProtection="0">
      <alignment horizontal="right" vertical="center"/>
    </xf>
    <xf numFmtId="4" fontId="98" fillId="30" borderId="100" applyNumberFormat="0" applyProtection="0">
      <alignment horizontal="right" vertical="center"/>
    </xf>
    <xf numFmtId="4" fontId="97" fillId="119" borderId="111" applyNumberFormat="0" applyProtection="0">
      <alignment horizontal="right" vertical="center"/>
    </xf>
    <xf numFmtId="4" fontId="97" fillId="119" borderId="111" applyNumberFormat="0" applyProtection="0">
      <alignment horizontal="right" vertical="center"/>
    </xf>
    <xf numFmtId="4" fontId="97" fillId="119" borderId="111" applyNumberFormat="0" applyProtection="0">
      <alignment horizontal="right" vertical="center"/>
    </xf>
    <xf numFmtId="4" fontId="97" fillId="119" borderId="111" applyNumberFormat="0" applyProtection="0">
      <alignment horizontal="right" vertical="center"/>
    </xf>
    <xf numFmtId="4" fontId="97" fillId="119" borderId="111" applyNumberFormat="0" applyProtection="0">
      <alignment horizontal="right" vertical="center"/>
    </xf>
    <xf numFmtId="4" fontId="97" fillId="119" borderId="111" applyNumberFormat="0" applyProtection="0">
      <alignment horizontal="right" vertical="center"/>
    </xf>
    <xf numFmtId="4" fontId="98" fillId="30" borderId="100" applyNumberFormat="0" applyProtection="0">
      <alignment horizontal="right" vertical="center"/>
    </xf>
    <xf numFmtId="4" fontId="68" fillId="41" borderId="112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4" fontId="64" fillId="61" borderId="100" applyNumberFormat="0" applyProtection="0">
      <alignment horizontal="left" vertical="center" indent="1"/>
    </xf>
    <xf numFmtId="4" fontId="64" fillId="61" borderId="100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4" fontId="64" fillId="61" borderId="100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4" fontId="64" fillId="61" borderId="100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4" fontId="64" fillId="61" borderId="100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4" fontId="64" fillId="61" borderId="100" applyNumberFormat="0" applyProtection="0">
      <alignment horizontal="left" vertical="center" indent="1"/>
    </xf>
    <xf numFmtId="0" fontId="68" fillId="105" borderId="112" applyNumberFormat="0" applyProtection="0">
      <alignment horizontal="left" vertical="top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101" fillId="41" borderId="112" applyNumberFormat="0" applyProtection="0">
      <alignment horizontal="left" vertical="top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23" fillId="106" borderId="111" applyNumberFormat="0" applyProtection="0">
      <alignment horizontal="left" vertical="center" indent="1"/>
    </xf>
    <xf numFmtId="190" fontId="101" fillId="41" borderId="112" applyNumberFormat="0" applyProtection="0">
      <alignment horizontal="left" vertical="top" indent="1"/>
    </xf>
    <xf numFmtId="4" fontId="102" fillId="128" borderId="0" applyNumberFormat="0" applyProtection="0">
      <alignment horizontal="left" vertical="center" indent="1"/>
    </xf>
    <xf numFmtId="0" fontId="103" fillId="0" borderId="0"/>
    <xf numFmtId="190" fontId="103" fillId="0" borderId="0"/>
    <xf numFmtId="0" fontId="103" fillId="0" borderId="0"/>
    <xf numFmtId="190" fontId="103" fillId="0" borderId="0"/>
    <xf numFmtId="0" fontId="103" fillId="0" borderId="0"/>
    <xf numFmtId="190" fontId="103" fillId="0" borderId="0"/>
    <xf numFmtId="0" fontId="103" fillId="0" borderId="0"/>
    <xf numFmtId="190" fontId="103" fillId="0" borderId="0"/>
    <xf numFmtId="0" fontId="103" fillId="0" borderId="0"/>
    <xf numFmtId="190" fontId="103" fillId="0" borderId="0"/>
    <xf numFmtId="0" fontId="103" fillId="0" borderId="0"/>
    <xf numFmtId="190" fontId="103" fillId="0" borderId="0"/>
    <xf numFmtId="0" fontId="103" fillId="0" borderId="0"/>
    <xf numFmtId="190" fontId="103" fillId="0" borderId="0"/>
    <xf numFmtId="0" fontId="103" fillId="0" borderId="0"/>
    <xf numFmtId="190" fontId="103" fillId="0" borderId="0"/>
    <xf numFmtId="0" fontId="103" fillId="0" borderId="0"/>
    <xf numFmtId="0" fontId="103" fillId="0" borderId="0"/>
    <xf numFmtId="0" fontId="103" fillId="0" borderId="0"/>
    <xf numFmtId="190" fontId="103" fillId="0" borderId="0"/>
    <xf numFmtId="4" fontId="104" fillId="128" borderId="113" applyNumberFormat="0" applyProtection="0">
      <alignment horizontal="left" vertical="center" indent="1"/>
    </xf>
    <xf numFmtId="190" fontId="103" fillId="0" borderId="0"/>
    <xf numFmtId="0" fontId="103" fillId="0" borderId="0"/>
    <xf numFmtId="190" fontId="103" fillId="0" borderId="0"/>
    <xf numFmtId="0" fontId="103" fillId="0" borderId="0"/>
    <xf numFmtId="190" fontId="103" fillId="0" borderId="0"/>
    <xf numFmtId="0" fontId="103" fillId="0" borderId="0"/>
    <xf numFmtId="190" fontId="103" fillId="0" borderId="0"/>
    <xf numFmtId="0" fontId="103" fillId="0" borderId="0"/>
    <xf numFmtId="190" fontId="103" fillId="0" borderId="0"/>
    <xf numFmtId="0" fontId="103" fillId="0" borderId="0"/>
    <xf numFmtId="190" fontId="103" fillId="0" borderId="0"/>
    <xf numFmtId="0" fontId="103" fillId="0" borderId="0"/>
    <xf numFmtId="190" fontId="103" fillId="0" borderId="0"/>
    <xf numFmtId="4" fontId="104" fillId="128" borderId="113" applyNumberFormat="0" applyProtection="0">
      <alignment horizontal="left" vertical="center" indent="1"/>
    </xf>
    <xf numFmtId="0" fontId="64" fillId="129" borderId="116"/>
    <xf numFmtId="0" fontId="64" fillId="129" borderId="116"/>
    <xf numFmtId="0" fontId="64" fillId="129" borderId="116"/>
    <xf numFmtId="0" fontId="64" fillId="129" borderId="116"/>
    <xf numFmtId="0" fontId="64" fillId="129" borderId="116"/>
    <xf numFmtId="0" fontId="64" fillId="129" borderId="116"/>
    <xf numFmtId="0" fontId="64" fillId="129" borderId="116"/>
    <xf numFmtId="4" fontId="105" fillId="39" borderId="112" applyNumberFormat="0" applyProtection="0">
      <alignment horizontal="right" vertical="center"/>
    </xf>
    <xf numFmtId="4" fontId="105" fillId="119" borderId="111" applyNumberFormat="0" applyProtection="0">
      <alignment horizontal="right" vertical="center"/>
    </xf>
    <xf numFmtId="4" fontId="105" fillId="119" borderId="111" applyNumberFormat="0" applyProtection="0">
      <alignment horizontal="right" vertical="center"/>
    </xf>
    <xf numFmtId="4" fontId="105" fillId="119" borderId="111" applyNumberFormat="0" applyProtection="0">
      <alignment horizontal="right" vertical="center"/>
    </xf>
    <xf numFmtId="4" fontId="105" fillId="119" borderId="111" applyNumberFormat="0" applyProtection="0">
      <alignment horizontal="right" vertical="center"/>
    </xf>
    <xf numFmtId="4" fontId="105" fillId="119" borderId="111" applyNumberFormat="0" applyProtection="0">
      <alignment horizontal="right" vertical="center"/>
    </xf>
    <xf numFmtId="4" fontId="105" fillId="119" borderId="111" applyNumberFormat="0" applyProtection="0">
      <alignment horizontal="right" vertical="center"/>
    </xf>
    <xf numFmtId="4" fontId="105" fillId="119" borderId="111" applyNumberFormat="0" applyProtection="0">
      <alignment horizontal="right" vertical="center"/>
    </xf>
    <xf numFmtId="4" fontId="105" fillId="119" borderId="111" applyNumberFormat="0" applyProtection="0">
      <alignment horizontal="right" vertical="center"/>
    </xf>
    <xf numFmtId="4" fontId="105" fillId="119" borderId="111" applyNumberFormat="0" applyProtection="0">
      <alignment horizontal="right" vertical="center"/>
    </xf>
    <xf numFmtId="4" fontId="106" fillId="103" borderId="100" applyNumberFormat="0" applyProtection="0">
      <alignment horizontal="right" vertical="center"/>
    </xf>
    <xf numFmtId="4" fontId="105" fillId="119" borderId="111" applyNumberFormat="0" applyProtection="0">
      <alignment horizontal="right" vertical="center"/>
    </xf>
    <xf numFmtId="4" fontId="105" fillId="119" borderId="111" applyNumberFormat="0" applyProtection="0">
      <alignment horizontal="right" vertical="center"/>
    </xf>
    <xf numFmtId="4" fontId="105" fillId="119" borderId="111" applyNumberFormat="0" applyProtection="0">
      <alignment horizontal="right" vertical="center"/>
    </xf>
    <xf numFmtId="4" fontId="105" fillId="119" borderId="111" applyNumberFormat="0" applyProtection="0">
      <alignment horizontal="right" vertical="center"/>
    </xf>
    <xf numFmtId="4" fontId="105" fillId="119" borderId="111" applyNumberFormat="0" applyProtection="0">
      <alignment horizontal="right" vertical="center"/>
    </xf>
    <xf numFmtId="4" fontId="105" fillId="119" borderId="111" applyNumberFormat="0" applyProtection="0">
      <alignment horizontal="right" vertical="center"/>
    </xf>
    <xf numFmtId="4" fontId="106" fillId="103" borderId="100" applyNumberFormat="0" applyProtection="0">
      <alignment horizontal="right" vertical="center"/>
    </xf>
    <xf numFmtId="49" fontId="107" fillId="130" borderId="0"/>
    <xf numFmtId="49" fontId="108" fillId="130" borderId="119"/>
    <xf numFmtId="49" fontId="108" fillId="130" borderId="0"/>
    <xf numFmtId="0" fontId="109" fillId="30" borderId="119">
      <protection locked="0"/>
    </xf>
    <xf numFmtId="190" fontId="109" fillId="30" borderId="119">
      <protection locked="0"/>
    </xf>
    <xf numFmtId="0" fontId="109" fillId="130" borderId="0"/>
    <xf numFmtId="190" fontId="109" fillId="130" borderId="0"/>
    <xf numFmtId="41" fontId="23" fillId="0" borderId="0" applyFont="0" applyFill="0" applyBorder="0" applyAlignment="0" applyProtection="0"/>
    <xf numFmtId="0" fontId="110" fillId="0" borderId="0" applyNumberFormat="0" applyFill="0" applyBorder="0" applyAlignment="0" applyProtection="0"/>
    <xf numFmtId="190" fontId="110" fillId="0" borderId="0" applyNumberFormat="0" applyFill="0" applyBorder="0" applyAlignment="0" applyProtection="0"/>
    <xf numFmtId="0" fontId="81" fillId="0" borderId="0"/>
    <xf numFmtId="0" fontId="67" fillId="0" borderId="0" applyNumberFormat="0" applyFont="0" applyFill="0" applyBorder="0" applyAlignment="0" applyProtection="0"/>
    <xf numFmtId="190" fontId="67" fillId="0" borderId="0" applyNumberFormat="0" applyFont="0" applyFill="0" applyBorder="0" applyAlignment="0" applyProtection="0"/>
    <xf numFmtId="190" fontId="67" fillId="0" borderId="0" applyNumberFormat="0" applyFont="0" applyFill="0" applyBorder="0" applyAlignment="0" applyProtection="0"/>
    <xf numFmtId="190" fontId="67" fillId="0" borderId="0" applyNumberFormat="0" applyFont="0" applyFill="0" applyBorder="0" applyAlignment="0" applyProtection="0"/>
    <xf numFmtId="0" fontId="80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90" fontId="6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11" fillId="0" borderId="0">
      <alignment vertical="center"/>
    </xf>
    <xf numFmtId="0" fontId="60" fillId="0" borderId="0" applyNumberFormat="0" applyFill="0" applyBorder="0" applyAlignment="0" applyProtection="0"/>
    <xf numFmtId="0" fontId="112" fillId="0" borderId="120" applyNumberFormat="0" applyFill="0" applyAlignment="0" applyProtection="0"/>
    <xf numFmtId="190" fontId="111" fillId="0" borderId="0">
      <alignment vertical="center"/>
    </xf>
    <xf numFmtId="0" fontId="113" fillId="0" borderId="121" applyNumberFormat="0" applyFill="0" applyAlignment="0" applyProtection="0"/>
    <xf numFmtId="190" fontId="111" fillId="0" borderId="0">
      <alignment vertical="center"/>
    </xf>
    <xf numFmtId="0" fontId="82" fillId="0" borderId="122" applyNumberFormat="0" applyFill="0" applyAlignment="0" applyProtection="0"/>
    <xf numFmtId="0" fontId="60" fillId="0" borderId="0" applyNumberFormat="0" applyFill="0" applyBorder="0" applyAlignment="0" applyProtection="0"/>
    <xf numFmtId="0" fontId="61" fillId="0" borderId="124" applyNumberFormat="0" applyFill="0" applyAlignment="0" applyProtection="0"/>
    <xf numFmtId="0" fontId="61" fillId="0" borderId="124" applyNumberFormat="0" applyFill="0" applyAlignment="0" applyProtection="0"/>
    <xf numFmtId="0" fontId="61" fillId="0" borderId="124" applyNumberFormat="0" applyFill="0" applyAlignment="0" applyProtection="0"/>
    <xf numFmtId="0" fontId="61" fillId="0" borderId="124" applyNumberFormat="0" applyFill="0" applyAlignment="0" applyProtection="0"/>
    <xf numFmtId="0" fontId="61" fillId="0" borderId="123" applyNumberFormat="0" applyFill="0" applyAlignment="0" applyProtection="0"/>
    <xf numFmtId="0" fontId="61" fillId="0" borderId="124" applyNumberFormat="0" applyFill="0" applyAlignment="0" applyProtection="0"/>
    <xf numFmtId="202" fontId="114" fillId="131" borderId="125" applyNumberFormat="0" applyFont="0" applyBorder="0" applyAlignment="0">
      <alignment vertical="center"/>
      <protection locked="0"/>
    </xf>
    <xf numFmtId="0" fontId="50" fillId="94" borderId="101" applyNumberFormat="0" applyAlignment="0" applyProtection="0"/>
    <xf numFmtId="190" fontId="50" fillId="94" borderId="101" applyNumberFormat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203" fontId="81" fillId="0" borderId="0" applyFont="0" applyFill="0" applyBorder="0" applyAlignment="0" applyProtection="0"/>
    <xf numFmtId="204" fontId="81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15" fillId="0" borderId="0" applyNumberFormat="0" applyFill="0" applyBorder="0" applyAlignment="0" applyProtection="0"/>
  </cellStyleXfs>
  <cellXfs count="621">
    <xf numFmtId="0" fontId="0" fillId="0" borderId="0" xfId="0"/>
    <xf numFmtId="0" fontId="7" fillId="0" borderId="0" xfId="0" applyFont="1" applyAlignment="1">
      <alignment horizontal="center" vertical="center"/>
    </xf>
    <xf numFmtId="169" fontId="9" fillId="0" borderId="0" xfId="0" applyNumberFormat="1" applyFont="1" applyAlignment="1">
      <alignment horizontal="right" vertical="center"/>
    </xf>
    <xf numFmtId="174" fontId="9" fillId="0" borderId="19" xfId="0" applyNumberFormat="1" applyFont="1" applyBorder="1" applyAlignment="1">
      <alignment horizontal="right" vertical="center"/>
    </xf>
    <xf numFmtId="174" fontId="9" fillId="0" borderId="4" xfId="0" applyNumberFormat="1" applyFont="1" applyBorder="1" applyAlignment="1">
      <alignment horizontal="right" vertical="center"/>
    </xf>
    <xf numFmtId="174" fontId="9" fillId="0" borderId="0" xfId="0" applyNumberFormat="1" applyFont="1" applyAlignment="1">
      <alignment horizontal="right" vertical="center"/>
    </xf>
    <xf numFmtId="174" fontId="8" fillId="0" borderId="0" xfId="0" applyNumberFormat="1" applyFont="1" applyAlignment="1">
      <alignment horizontal="right" vertical="center"/>
    </xf>
    <xf numFmtId="174" fontId="8" fillId="0" borderId="19" xfId="0" applyNumberFormat="1" applyFont="1" applyBorder="1" applyAlignment="1">
      <alignment horizontal="right" vertical="center"/>
    </xf>
    <xf numFmtId="174" fontId="6" fillId="2" borderId="33" xfId="0" applyNumberFormat="1" applyFont="1" applyFill="1" applyBorder="1" applyAlignment="1">
      <alignment horizontal="left" vertical="center" indent="1"/>
    </xf>
    <xf numFmtId="172" fontId="9" fillId="0" borderId="0" xfId="0" applyNumberFormat="1" applyFont="1" applyAlignment="1">
      <alignment horizontal="right" vertical="center"/>
    </xf>
    <xf numFmtId="172" fontId="9" fillId="0" borderId="19" xfId="0" applyNumberFormat="1" applyFont="1" applyBorder="1" applyAlignment="1">
      <alignment horizontal="right" vertical="center"/>
    </xf>
    <xf numFmtId="174" fontId="6" fillId="0" borderId="33" xfId="0" applyNumberFormat="1" applyFont="1" applyBorder="1" applyAlignment="1">
      <alignment vertical="center"/>
    </xf>
    <xf numFmtId="0" fontId="8" fillId="2" borderId="0" xfId="0" applyFont="1" applyFill="1" applyAlignment="1">
      <alignment horizontal="center" vertical="center"/>
    </xf>
    <xf numFmtId="173" fontId="6" fillId="0" borderId="29" xfId="0" applyNumberFormat="1" applyFont="1" applyBorder="1" applyAlignment="1">
      <alignment vertical="center"/>
    </xf>
    <xf numFmtId="173" fontId="6" fillId="0" borderId="34" xfId="0" applyNumberFormat="1" applyFont="1" applyBorder="1" applyAlignment="1">
      <alignment vertical="center"/>
    </xf>
    <xf numFmtId="174" fontId="6" fillId="2" borderId="26" xfId="0" applyNumberFormat="1" applyFont="1" applyFill="1" applyBorder="1" applyAlignment="1">
      <alignment horizontal="left" vertical="center" indent="1"/>
    </xf>
    <xf numFmtId="174" fontId="14" fillId="0" borderId="4" xfId="0" applyNumberFormat="1" applyFont="1" applyBorder="1" applyAlignment="1">
      <alignment horizontal="right" vertical="center"/>
    </xf>
    <xf numFmtId="173" fontId="9" fillId="0" borderId="4" xfId="0" applyNumberFormat="1" applyFont="1" applyBorder="1" applyAlignment="1">
      <alignment horizontal="right" vertical="center"/>
    </xf>
    <xf numFmtId="173" fontId="9" fillId="0" borderId="0" xfId="0" applyNumberFormat="1" applyFont="1" applyAlignment="1">
      <alignment horizontal="right" vertical="center"/>
    </xf>
    <xf numFmtId="173" fontId="9" fillId="0" borderId="19" xfId="0" applyNumberFormat="1" applyFont="1" applyBorder="1" applyAlignment="1">
      <alignment horizontal="right" vertical="center"/>
    </xf>
    <xf numFmtId="173" fontId="9" fillId="5" borderId="0" xfId="0" applyNumberFormat="1" applyFont="1" applyFill="1" applyAlignment="1">
      <alignment horizontal="right" vertical="center"/>
    </xf>
    <xf numFmtId="173" fontId="8" fillId="0" borderId="4" xfId="0" applyNumberFormat="1" applyFont="1" applyBorder="1" applyAlignment="1">
      <alignment horizontal="right" vertical="center"/>
    </xf>
    <xf numFmtId="173" fontId="8" fillId="0" borderId="0" xfId="0" applyNumberFormat="1" applyFont="1" applyAlignment="1">
      <alignment horizontal="right" vertical="center"/>
    </xf>
    <xf numFmtId="173" fontId="8" fillId="0" borderId="19" xfId="0" applyNumberFormat="1" applyFont="1" applyBorder="1" applyAlignment="1">
      <alignment horizontal="right" vertical="center"/>
    </xf>
    <xf numFmtId="173" fontId="8" fillId="5" borderId="0" xfId="0" applyNumberFormat="1" applyFont="1" applyFill="1" applyAlignment="1">
      <alignment horizontal="right" vertical="center"/>
    </xf>
    <xf numFmtId="0" fontId="6" fillId="0" borderId="0" xfId="0" applyFont="1" applyAlignment="1">
      <alignment vertical="center"/>
    </xf>
    <xf numFmtId="0" fontId="6" fillId="0" borderId="57" xfId="0" applyFont="1" applyBorder="1" applyAlignment="1">
      <alignment vertical="center"/>
    </xf>
    <xf numFmtId="0" fontId="6" fillId="0" borderId="58" xfId="0" applyFont="1" applyBorder="1" applyAlignment="1">
      <alignment vertical="center"/>
    </xf>
    <xf numFmtId="0" fontId="6" fillId="0" borderId="59" xfId="0" applyFont="1" applyBorder="1" applyAlignment="1">
      <alignment vertical="center"/>
    </xf>
    <xf numFmtId="169" fontId="7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172" fontId="6" fillId="0" borderId="0" xfId="0" applyNumberFormat="1" applyFont="1" applyAlignment="1">
      <alignment vertical="center"/>
    </xf>
    <xf numFmtId="3" fontId="6" fillId="0" borderId="0" xfId="0" applyNumberFormat="1" applyFont="1" applyAlignment="1">
      <alignment vertical="center"/>
    </xf>
    <xf numFmtId="174" fontId="6" fillId="0" borderId="19" xfId="0" applyNumberFormat="1" applyFont="1" applyBorder="1" applyAlignment="1">
      <alignment vertical="center"/>
    </xf>
    <xf numFmtId="166" fontId="6" fillId="2" borderId="4" xfId="0" applyNumberFormat="1" applyFont="1" applyFill="1" applyBorder="1" applyAlignment="1">
      <alignment vertical="center"/>
    </xf>
    <xf numFmtId="166" fontId="6" fillId="2" borderId="0" xfId="0" applyNumberFormat="1" applyFont="1" applyFill="1" applyAlignment="1">
      <alignment vertical="center"/>
    </xf>
    <xf numFmtId="166" fontId="6" fillId="0" borderId="0" xfId="0" applyNumberFormat="1" applyFont="1" applyAlignment="1">
      <alignment vertical="center"/>
    </xf>
    <xf numFmtId="0" fontId="6" fillId="0" borderId="19" xfId="0" applyFont="1" applyBorder="1" applyAlignment="1">
      <alignment vertical="center"/>
    </xf>
    <xf numFmtId="174" fontId="6" fillId="0" borderId="0" xfId="0" applyNumberFormat="1" applyFont="1" applyAlignment="1">
      <alignment vertical="center"/>
    </xf>
    <xf numFmtId="174" fontId="6" fillId="0" borderId="4" xfId="0" applyNumberFormat="1" applyFont="1" applyBorder="1" applyAlignment="1">
      <alignment vertical="center"/>
    </xf>
    <xf numFmtId="174" fontId="6" fillId="0" borderId="0" xfId="0" applyNumberFormat="1" applyFont="1" applyAlignment="1">
      <alignment horizontal="right" vertical="center"/>
    </xf>
    <xf numFmtId="174" fontId="6" fillId="2" borderId="4" xfId="0" applyNumberFormat="1" applyFont="1" applyFill="1" applyBorder="1" applyAlignment="1">
      <alignment horizontal="right" vertical="center"/>
    </xf>
    <xf numFmtId="174" fontId="6" fillId="2" borderId="0" xfId="0" applyNumberFormat="1" applyFont="1" applyFill="1" applyAlignment="1">
      <alignment horizontal="right" vertical="center"/>
    </xf>
    <xf numFmtId="174" fontId="6" fillId="0" borderId="4" xfId="0" applyNumberFormat="1" applyFont="1" applyBorder="1" applyAlignment="1">
      <alignment horizontal="right" vertical="center"/>
    </xf>
    <xf numFmtId="174" fontId="7" fillId="0" borderId="0" xfId="0" applyNumberFormat="1" applyFont="1" applyAlignment="1">
      <alignment vertical="center"/>
    </xf>
    <xf numFmtId="174" fontId="6" fillId="2" borderId="4" xfId="0" applyNumberFormat="1" applyFont="1" applyFill="1" applyBorder="1" applyAlignment="1">
      <alignment vertical="center"/>
    </xf>
    <xf numFmtId="174" fontId="6" fillId="2" borderId="0" xfId="0" applyNumberFormat="1" applyFont="1" applyFill="1" applyAlignment="1">
      <alignment vertical="center"/>
    </xf>
    <xf numFmtId="174" fontId="6" fillId="3" borderId="19" xfId="0" applyNumberFormat="1" applyFont="1" applyFill="1" applyBorder="1" applyAlignment="1">
      <alignment vertical="center"/>
    </xf>
    <xf numFmtId="173" fontId="6" fillId="0" borderId="4" xfId="0" applyNumberFormat="1" applyFont="1" applyBorder="1" applyAlignment="1">
      <alignment vertical="center"/>
    </xf>
    <xf numFmtId="173" fontId="6" fillId="0" borderId="0" xfId="0" applyNumberFormat="1" applyFont="1" applyAlignment="1">
      <alignment vertical="center"/>
    </xf>
    <xf numFmtId="173" fontId="6" fillId="0" borderId="19" xfId="0" applyNumberFormat="1" applyFont="1" applyBorder="1" applyAlignment="1">
      <alignment vertical="center"/>
    </xf>
    <xf numFmtId="173" fontId="6" fillId="2" borderId="4" xfId="0" applyNumberFormat="1" applyFont="1" applyFill="1" applyBorder="1" applyAlignment="1">
      <alignment vertical="center"/>
    </xf>
    <xf numFmtId="173" fontId="6" fillId="2" borderId="0" xfId="0" applyNumberFormat="1" applyFont="1" applyFill="1" applyAlignment="1">
      <alignment vertical="center"/>
    </xf>
    <xf numFmtId="173" fontId="6" fillId="3" borderId="19" xfId="0" applyNumberFormat="1" applyFont="1" applyFill="1" applyBorder="1" applyAlignment="1">
      <alignment vertical="center"/>
    </xf>
    <xf numFmtId="173" fontId="6" fillId="0" borderId="42" xfId="0" applyNumberFormat="1" applyFont="1" applyBorder="1" applyAlignment="1">
      <alignment vertical="center"/>
    </xf>
    <xf numFmtId="173" fontId="6" fillId="0" borderId="38" xfId="0" applyNumberFormat="1" applyFont="1" applyBorder="1" applyAlignment="1">
      <alignment vertical="center"/>
    </xf>
    <xf numFmtId="173" fontId="7" fillId="0" borderId="0" xfId="0" applyNumberFormat="1" applyFont="1" applyAlignment="1">
      <alignment vertical="center"/>
    </xf>
    <xf numFmtId="173" fontId="7" fillId="0" borderId="19" xfId="0" applyNumberFormat="1" applyFont="1" applyBorder="1" applyAlignment="1">
      <alignment vertical="center"/>
    </xf>
    <xf numFmtId="173" fontId="7" fillId="2" borderId="4" xfId="0" applyNumberFormat="1" applyFont="1" applyFill="1" applyBorder="1" applyAlignment="1">
      <alignment vertical="center"/>
    </xf>
    <xf numFmtId="173" fontId="7" fillId="2" borderId="0" xfId="0" applyNumberFormat="1" applyFont="1" applyFill="1" applyAlignment="1">
      <alignment vertical="center"/>
    </xf>
    <xf numFmtId="173" fontId="7" fillId="4" borderId="4" xfId="0" applyNumberFormat="1" applyFont="1" applyFill="1" applyBorder="1" applyAlignment="1">
      <alignment vertical="center"/>
    </xf>
    <xf numFmtId="173" fontId="7" fillId="4" borderId="0" xfId="0" applyNumberFormat="1" applyFont="1" applyFill="1" applyAlignment="1">
      <alignment vertical="center"/>
    </xf>
    <xf numFmtId="173" fontId="7" fillId="4" borderId="19" xfId="0" applyNumberFormat="1" applyFont="1" applyFill="1" applyBorder="1" applyAlignment="1">
      <alignment vertical="center"/>
    </xf>
    <xf numFmtId="173" fontId="7" fillId="0" borderId="4" xfId="0" applyNumberFormat="1" applyFont="1" applyBorder="1" applyAlignment="1">
      <alignment vertical="center"/>
    </xf>
    <xf numFmtId="173" fontId="6" fillId="4" borderId="4" xfId="0" applyNumberFormat="1" applyFont="1" applyFill="1" applyBorder="1" applyAlignment="1">
      <alignment vertical="center"/>
    </xf>
    <xf numFmtId="173" fontId="6" fillId="4" borderId="0" xfId="0" applyNumberFormat="1" applyFont="1" applyFill="1" applyAlignment="1">
      <alignment vertical="center"/>
    </xf>
    <xf numFmtId="173" fontId="6" fillId="4" borderId="19" xfId="0" applyNumberFormat="1" applyFont="1" applyFill="1" applyBorder="1" applyAlignment="1">
      <alignment vertical="center"/>
    </xf>
    <xf numFmtId="173" fontId="6" fillId="0" borderId="4" xfId="0" applyNumberFormat="1" applyFont="1" applyBorder="1" applyAlignment="1">
      <alignment horizontal="right" vertical="center"/>
    </xf>
    <xf numFmtId="173" fontId="6" fillId="0" borderId="0" xfId="0" applyNumberFormat="1" applyFont="1" applyAlignment="1">
      <alignment horizontal="right" vertical="center"/>
    </xf>
    <xf numFmtId="173" fontId="6" fillId="2" borderId="4" xfId="0" applyNumberFormat="1" applyFont="1" applyFill="1" applyBorder="1" applyAlignment="1">
      <alignment horizontal="right" vertical="center"/>
    </xf>
    <xf numFmtId="173" fontId="6" fillId="2" borderId="0" xfId="0" applyNumberFormat="1" applyFont="1" applyFill="1" applyAlignment="1">
      <alignment horizontal="right" vertical="center"/>
    </xf>
    <xf numFmtId="173" fontId="6" fillId="4" borderId="4" xfId="0" applyNumberFormat="1" applyFont="1" applyFill="1" applyBorder="1" applyAlignment="1">
      <alignment horizontal="right" vertical="center"/>
    </xf>
    <xf numFmtId="173" fontId="6" fillId="4" borderId="0" xfId="0" applyNumberFormat="1" applyFont="1" applyFill="1" applyAlignment="1">
      <alignment horizontal="right" vertical="center"/>
    </xf>
    <xf numFmtId="173" fontId="6" fillId="4" borderId="19" xfId="0" applyNumberFormat="1" applyFont="1" applyFill="1" applyBorder="1" applyAlignment="1">
      <alignment horizontal="right" vertical="center"/>
    </xf>
    <xf numFmtId="173" fontId="6" fillId="2" borderId="19" xfId="0" applyNumberFormat="1" applyFont="1" applyFill="1" applyBorder="1" applyAlignment="1">
      <alignment horizontal="right" vertical="center"/>
    </xf>
    <xf numFmtId="172" fontId="7" fillId="0" borderId="0" xfId="0" applyNumberFormat="1" applyFont="1" applyAlignment="1">
      <alignment vertical="center"/>
    </xf>
    <xf numFmtId="172" fontId="6" fillId="0" borderId="4" xfId="1" applyNumberFormat="1" applyFont="1" applyBorder="1" applyAlignment="1">
      <alignment vertical="center"/>
    </xf>
    <xf numFmtId="172" fontId="6" fillId="0" borderId="0" xfId="1" applyNumberFormat="1" applyFont="1" applyBorder="1" applyAlignment="1">
      <alignment vertical="center"/>
    </xf>
    <xf numFmtId="172" fontId="6" fillId="0" borderId="0" xfId="1" applyNumberFormat="1" applyFont="1" applyFill="1" applyBorder="1" applyAlignment="1">
      <alignment vertical="center"/>
    </xf>
    <xf numFmtId="172" fontId="6" fillId="0" borderId="19" xfId="1" applyNumberFormat="1" applyFont="1" applyBorder="1" applyAlignment="1">
      <alignment vertical="center"/>
    </xf>
    <xf numFmtId="172" fontId="6" fillId="4" borderId="4" xfId="1" applyNumberFormat="1" applyFont="1" applyFill="1" applyBorder="1" applyAlignment="1">
      <alignment vertical="center"/>
    </xf>
    <xf numFmtId="172" fontId="6" fillId="4" borderId="0" xfId="1" applyNumberFormat="1" applyFont="1" applyFill="1" applyBorder="1" applyAlignment="1">
      <alignment vertical="center"/>
    </xf>
    <xf numFmtId="172" fontId="6" fillId="4" borderId="19" xfId="1" applyNumberFormat="1" applyFont="1" applyFill="1" applyBorder="1" applyAlignment="1">
      <alignment vertical="center"/>
    </xf>
    <xf numFmtId="172" fontId="6" fillId="0" borderId="0" xfId="1" applyNumberFormat="1" applyFont="1" applyFill="1" applyBorder="1" applyAlignment="1">
      <alignment horizontal="right" vertical="center"/>
    </xf>
    <xf numFmtId="172" fontId="6" fillId="0" borderId="0" xfId="1" applyNumberFormat="1" applyFont="1" applyBorder="1" applyAlignment="1">
      <alignment horizontal="right" vertical="center"/>
    </xf>
    <xf numFmtId="172" fontId="6" fillId="0" borderId="19" xfId="1" applyNumberFormat="1" applyFont="1" applyBorder="1" applyAlignment="1">
      <alignment horizontal="right" vertical="center"/>
    </xf>
    <xf numFmtId="172" fontId="6" fillId="4" borderId="4" xfId="1" applyNumberFormat="1" applyFont="1" applyFill="1" applyBorder="1" applyAlignment="1">
      <alignment horizontal="right" vertical="center"/>
    </xf>
    <xf numFmtId="172" fontId="6" fillId="4" borderId="0" xfId="1" applyNumberFormat="1" applyFont="1" applyFill="1" applyBorder="1" applyAlignment="1">
      <alignment horizontal="right" vertical="center"/>
    </xf>
    <xf numFmtId="172" fontId="6" fillId="0" borderId="4" xfId="1" applyNumberFormat="1" applyFont="1" applyFill="1" applyBorder="1" applyAlignment="1">
      <alignment horizontal="right" vertical="center"/>
    </xf>
    <xf numFmtId="172" fontId="6" fillId="0" borderId="19" xfId="1" applyNumberFormat="1" applyFont="1" applyFill="1" applyBorder="1" applyAlignment="1">
      <alignment horizontal="right" vertical="center"/>
    </xf>
    <xf numFmtId="9" fontId="6" fillId="2" borderId="0" xfId="1" applyFont="1" applyFill="1" applyBorder="1" applyAlignment="1">
      <alignment horizontal="right" vertical="center"/>
    </xf>
    <xf numFmtId="9" fontId="6" fillId="2" borderId="0" xfId="1" applyFont="1" applyFill="1" applyBorder="1" applyAlignment="1">
      <alignment vertical="center"/>
    </xf>
    <xf numFmtId="9" fontId="6" fillId="2" borderId="4" xfId="1" applyFont="1" applyFill="1" applyBorder="1" applyAlignment="1">
      <alignment horizontal="right" vertical="center"/>
    </xf>
    <xf numFmtId="9" fontId="6" fillId="4" borderId="4" xfId="1" applyFont="1" applyFill="1" applyBorder="1" applyAlignment="1">
      <alignment horizontal="right" vertical="center"/>
    </xf>
    <xf numFmtId="9" fontId="6" fillId="4" borderId="0" xfId="1" applyFont="1" applyFill="1" applyBorder="1" applyAlignment="1">
      <alignment horizontal="right" vertical="center"/>
    </xf>
    <xf numFmtId="174" fontId="7" fillId="0" borderId="4" xfId="0" applyNumberFormat="1" applyFont="1" applyBorder="1" applyAlignment="1">
      <alignment vertical="center"/>
    </xf>
    <xf numFmtId="174" fontId="6" fillId="4" borderId="4" xfId="0" applyNumberFormat="1" applyFont="1" applyFill="1" applyBorder="1" applyAlignment="1">
      <alignment vertical="center"/>
    </xf>
    <xf numFmtId="174" fontId="6" fillId="4" borderId="0" xfId="0" applyNumberFormat="1" applyFont="1" applyFill="1" applyAlignment="1">
      <alignment vertical="center"/>
    </xf>
    <xf numFmtId="174" fontId="6" fillId="4" borderId="19" xfId="0" applyNumberFormat="1" applyFont="1" applyFill="1" applyBorder="1" applyAlignment="1">
      <alignment vertical="center"/>
    </xf>
    <xf numFmtId="174" fontId="6" fillId="2" borderId="19" xfId="0" applyNumberFormat="1" applyFont="1" applyFill="1" applyBorder="1" applyAlignment="1">
      <alignment horizontal="right" vertical="center"/>
    </xf>
    <xf numFmtId="0" fontId="6" fillId="0" borderId="42" xfId="0" applyFont="1" applyBorder="1" applyAlignment="1">
      <alignment vertical="center"/>
    </xf>
    <xf numFmtId="0" fontId="6" fillId="0" borderId="38" xfId="0" applyFont="1" applyBorder="1" applyAlignment="1">
      <alignment vertical="center"/>
    </xf>
    <xf numFmtId="0" fontId="6" fillId="0" borderId="43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6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62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176" fontId="6" fillId="0" borderId="0" xfId="0" applyNumberFormat="1" applyFont="1" applyAlignment="1">
      <alignment vertical="center"/>
    </xf>
    <xf numFmtId="169" fontId="6" fillId="0" borderId="0" xfId="0" applyNumberFormat="1" applyFont="1" applyAlignment="1">
      <alignment vertical="center"/>
    </xf>
    <xf numFmtId="4" fontId="6" fillId="0" borderId="0" xfId="0" applyNumberFormat="1" applyFont="1" applyAlignment="1">
      <alignment vertical="center"/>
    </xf>
    <xf numFmtId="171" fontId="6" fillId="0" borderId="0" xfId="0" applyNumberFormat="1" applyFont="1" applyAlignment="1">
      <alignment vertical="center"/>
    </xf>
    <xf numFmtId="170" fontId="6" fillId="0" borderId="0" xfId="0" applyNumberFormat="1" applyFont="1" applyAlignment="1">
      <alignment vertical="center"/>
    </xf>
    <xf numFmtId="172" fontId="6" fillId="0" borderId="33" xfId="0" applyNumberFormat="1" applyFont="1" applyBorder="1" applyAlignment="1">
      <alignment horizontal="left" vertical="center" indent="2"/>
    </xf>
    <xf numFmtId="173" fontId="6" fillId="0" borderId="17" xfId="0" applyNumberFormat="1" applyFont="1" applyBorder="1" applyAlignment="1">
      <alignment horizontal="left" vertical="center" indent="1"/>
    </xf>
    <xf numFmtId="173" fontId="6" fillId="0" borderId="39" xfId="0" applyNumberFormat="1" applyFont="1" applyBorder="1" applyAlignment="1">
      <alignment horizontal="left" vertical="center" indent="1"/>
    </xf>
    <xf numFmtId="1" fontId="6" fillId="0" borderId="0" xfId="0" applyNumberFormat="1" applyFont="1" applyAlignment="1">
      <alignment vertical="center"/>
    </xf>
    <xf numFmtId="1" fontId="6" fillId="2" borderId="0" xfId="0" applyNumberFormat="1" applyFont="1" applyFill="1" applyAlignment="1">
      <alignment vertical="center"/>
    </xf>
    <xf numFmtId="0" fontId="9" fillId="0" borderId="56" xfId="0" applyFont="1" applyBorder="1" applyAlignment="1">
      <alignment horizontal="left" vertical="center"/>
    </xf>
    <xf numFmtId="173" fontId="9" fillId="0" borderId="41" xfId="0" applyNumberFormat="1" applyFont="1" applyBorder="1" applyAlignment="1">
      <alignment horizontal="left" vertical="center"/>
    </xf>
    <xf numFmtId="173" fontId="8" fillId="0" borderId="34" xfId="0" applyNumberFormat="1" applyFont="1" applyBorder="1" applyAlignment="1">
      <alignment vertical="center"/>
    </xf>
    <xf numFmtId="173" fontId="7" fillId="0" borderId="46" xfId="0" applyNumberFormat="1" applyFont="1" applyBorder="1" applyAlignment="1">
      <alignment vertical="center"/>
    </xf>
    <xf numFmtId="173" fontId="7" fillId="0" borderId="16" xfId="0" applyNumberFormat="1" applyFont="1" applyBorder="1" applyAlignment="1">
      <alignment vertical="center"/>
    </xf>
    <xf numFmtId="173" fontId="7" fillId="0" borderId="47" xfId="0" applyNumberFormat="1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3" fontId="6" fillId="0" borderId="3" xfId="0" applyNumberFormat="1" applyFont="1" applyBorder="1" applyAlignment="1">
      <alignment vertical="center"/>
    </xf>
    <xf numFmtId="3" fontId="6" fillId="0" borderId="1" xfId="0" applyNumberFormat="1" applyFont="1" applyBorder="1" applyAlignment="1">
      <alignment vertical="center"/>
    </xf>
    <xf numFmtId="3" fontId="6" fillId="0" borderId="32" xfId="0" applyNumberFormat="1" applyFont="1" applyBorder="1" applyAlignment="1">
      <alignment vertical="center"/>
    </xf>
    <xf numFmtId="173" fontId="6" fillId="4" borderId="23" xfId="0" applyNumberFormat="1" applyFont="1" applyFill="1" applyBorder="1" applyAlignment="1">
      <alignment vertical="center"/>
    </xf>
    <xf numFmtId="173" fontId="6" fillId="0" borderId="8" xfId="0" applyNumberFormat="1" applyFont="1" applyBorder="1" applyAlignment="1">
      <alignment vertical="center"/>
    </xf>
    <xf numFmtId="173" fontId="6" fillId="0" borderId="6" xfId="0" applyNumberFormat="1" applyFont="1" applyBorder="1" applyAlignment="1">
      <alignment vertical="center"/>
    </xf>
    <xf numFmtId="173" fontId="8" fillId="0" borderId="9" xfId="0" applyNumberFormat="1" applyFont="1" applyBorder="1" applyAlignment="1">
      <alignment vertical="center"/>
    </xf>
    <xf numFmtId="173" fontId="7" fillId="0" borderId="11" xfId="0" applyNumberFormat="1" applyFont="1" applyBorder="1" applyAlignment="1">
      <alignment vertical="center"/>
    </xf>
    <xf numFmtId="173" fontId="7" fillId="0" borderId="5" xfId="0" applyNumberFormat="1" applyFont="1" applyBorder="1" applyAlignment="1">
      <alignment vertical="center"/>
    </xf>
    <xf numFmtId="173" fontId="7" fillId="0" borderId="21" xfId="0" applyNumberFormat="1" applyFont="1" applyBorder="1" applyAlignment="1">
      <alignment vertical="center"/>
    </xf>
    <xf numFmtId="0" fontId="8" fillId="0" borderId="56" xfId="0" applyFont="1" applyBorder="1" applyAlignment="1">
      <alignment vertical="center"/>
    </xf>
    <xf numFmtId="3" fontId="6" fillId="0" borderId="57" xfId="0" applyNumberFormat="1" applyFont="1" applyBorder="1" applyAlignment="1">
      <alignment vertical="center"/>
    </xf>
    <xf numFmtId="3" fontId="6" fillId="0" borderId="58" xfId="0" applyNumberFormat="1" applyFont="1" applyBorder="1" applyAlignment="1">
      <alignment vertical="center"/>
    </xf>
    <xf numFmtId="3" fontId="6" fillId="0" borderId="59" xfId="0" applyNumberFormat="1" applyFont="1" applyBorder="1" applyAlignment="1">
      <alignment vertical="center"/>
    </xf>
    <xf numFmtId="173" fontId="9" fillId="0" borderId="41" xfId="0" applyNumberFormat="1" applyFont="1" applyBorder="1" applyAlignment="1">
      <alignment vertical="center"/>
    </xf>
    <xf numFmtId="168" fontId="6" fillId="0" borderId="0" xfId="0" applyNumberFormat="1" applyFont="1" applyAlignment="1">
      <alignment vertical="center"/>
    </xf>
    <xf numFmtId="168" fontId="6" fillId="2" borderId="0" xfId="0" applyNumberFormat="1" applyFont="1" applyFill="1" applyAlignment="1">
      <alignment vertical="center"/>
    </xf>
    <xf numFmtId="0" fontId="6" fillId="2" borderId="0" xfId="0" applyFont="1" applyFill="1" applyAlignment="1">
      <alignment vertical="center"/>
    </xf>
    <xf numFmtId="173" fontId="9" fillId="0" borderId="39" xfId="0" applyNumberFormat="1" applyFont="1" applyBorder="1" applyAlignment="1">
      <alignment horizontal="left" vertical="center" indent="1"/>
    </xf>
    <xf numFmtId="173" fontId="9" fillId="0" borderId="17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173" fontId="10" fillId="0" borderId="0" xfId="0" applyNumberFormat="1" applyFont="1" applyAlignment="1">
      <alignment vertical="center"/>
    </xf>
    <xf numFmtId="173" fontId="11" fillId="0" borderId="0" xfId="0" applyNumberFormat="1" applyFont="1" applyAlignment="1">
      <alignment vertical="center"/>
    </xf>
    <xf numFmtId="173" fontId="10" fillId="2" borderId="0" xfId="0" applyNumberFormat="1" applyFont="1" applyFill="1" applyAlignment="1">
      <alignment horizontal="right" vertical="center"/>
    </xf>
    <xf numFmtId="173" fontId="7" fillId="2" borderId="0" xfId="0" applyNumberFormat="1" applyFont="1" applyFill="1" applyAlignment="1">
      <alignment horizontal="right" vertical="center"/>
    </xf>
    <xf numFmtId="173" fontId="7" fillId="2" borderId="4" xfId="0" applyNumberFormat="1" applyFont="1" applyFill="1" applyBorder="1" applyAlignment="1">
      <alignment horizontal="right" vertical="center"/>
    </xf>
    <xf numFmtId="173" fontId="7" fillId="2" borderId="8" xfId="0" applyNumberFormat="1" applyFont="1" applyFill="1" applyBorder="1" applyAlignment="1">
      <alignment horizontal="right" vertical="center"/>
    </xf>
    <xf numFmtId="173" fontId="12" fillId="0" borderId="0" xfId="0" applyNumberFormat="1" applyFont="1" applyAlignment="1">
      <alignment vertical="center"/>
    </xf>
    <xf numFmtId="173" fontId="8" fillId="0" borderId="36" xfId="0" applyNumberFormat="1" applyFont="1" applyBorder="1" applyAlignment="1">
      <alignment vertical="center"/>
    </xf>
    <xf numFmtId="173" fontId="7" fillId="0" borderId="44" xfId="0" applyNumberFormat="1" applyFont="1" applyBorder="1" applyAlignment="1">
      <alignment vertical="center"/>
    </xf>
    <xf numFmtId="173" fontId="7" fillId="0" borderId="37" xfId="0" applyNumberFormat="1" applyFont="1" applyBorder="1" applyAlignment="1">
      <alignment vertical="center"/>
    </xf>
    <xf numFmtId="173" fontId="7" fillId="0" borderId="0" xfId="0" applyNumberFormat="1" applyFont="1" applyAlignment="1">
      <alignment horizontal="right" vertical="center"/>
    </xf>
    <xf numFmtId="173" fontId="7" fillId="0" borderId="4" xfId="0" applyNumberFormat="1" applyFont="1" applyBorder="1" applyAlignment="1">
      <alignment horizontal="right" vertical="center"/>
    </xf>
    <xf numFmtId="173" fontId="8" fillId="0" borderId="0" xfId="0" applyNumberFormat="1" applyFont="1" applyAlignment="1">
      <alignment vertical="center"/>
    </xf>
    <xf numFmtId="1" fontId="7" fillId="0" borderId="0" xfId="0" applyNumberFormat="1" applyFont="1" applyAlignment="1">
      <alignment vertical="center"/>
    </xf>
    <xf numFmtId="173" fontId="6" fillId="0" borderId="40" xfId="0" applyNumberFormat="1" applyFont="1" applyBorder="1" applyAlignment="1">
      <alignment vertical="center"/>
    </xf>
    <xf numFmtId="173" fontId="6" fillId="0" borderId="3" xfId="0" applyNumberFormat="1" applyFont="1" applyBorder="1" applyAlignment="1">
      <alignment vertical="center"/>
    </xf>
    <xf numFmtId="173" fontId="6" fillId="0" borderId="2" xfId="0" applyNumberFormat="1" applyFont="1" applyBorder="1" applyAlignment="1">
      <alignment vertical="center"/>
    </xf>
    <xf numFmtId="173" fontId="8" fillId="2" borderId="36" xfId="0" applyNumberFormat="1" applyFont="1" applyFill="1" applyBorder="1" applyAlignment="1">
      <alignment horizontal="left" vertical="center"/>
    </xf>
    <xf numFmtId="173" fontId="6" fillId="2" borderId="56" xfId="0" applyNumberFormat="1" applyFont="1" applyFill="1" applyBorder="1" applyAlignment="1">
      <alignment vertical="center"/>
    </xf>
    <xf numFmtId="173" fontId="6" fillId="0" borderId="57" xfId="0" applyNumberFormat="1" applyFont="1" applyBorder="1" applyAlignment="1">
      <alignment vertical="center"/>
    </xf>
    <xf numFmtId="173" fontId="6" fillId="0" borderId="58" xfId="0" applyNumberFormat="1" applyFont="1" applyBorder="1" applyAlignment="1">
      <alignment vertical="center"/>
    </xf>
    <xf numFmtId="173" fontId="6" fillId="2" borderId="39" xfId="0" applyNumberFormat="1" applyFont="1" applyFill="1" applyBorder="1" applyAlignment="1">
      <alignment vertical="center"/>
    </xf>
    <xf numFmtId="173" fontId="9" fillId="0" borderId="4" xfId="0" applyNumberFormat="1" applyFont="1" applyBorder="1" applyAlignment="1">
      <alignment vertical="center"/>
    </xf>
    <xf numFmtId="173" fontId="9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173" fontId="9" fillId="2" borderId="39" xfId="0" applyNumberFormat="1" applyFont="1" applyFill="1" applyBorder="1" applyAlignment="1">
      <alignment horizontal="left" vertical="center" indent="1"/>
    </xf>
    <xf numFmtId="173" fontId="6" fillId="2" borderId="39" xfId="0" applyNumberFormat="1" applyFont="1" applyFill="1" applyBorder="1" applyAlignment="1">
      <alignment horizontal="left" vertical="center" indent="1"/>
    </xf>
    <xf numFmtId="173" fontId="6" fillId="0" borderId="19" xfId="0" applyNumberFormat="1" applyFont="1" applyBorder="1" applyAlignment="1">
      <alignment horizontal="right" vertical="center"/>
    </xf>
    <xf numFmtId="174" fontId="6" fillId="4" borderId="0" xfId="0" applyNumberFormat="1" applyFont="1" applyFill="1" applyAlignment="1">
      <alignment horizontal="right" vertical="center"/>
    </xf>
    <xf numFmtId="173" fontId="7" fillId="0" borderId="19" xfId="0" applyNumberFormat="1" applyFont="1" applyBorder="1" applyAlignment="1">
      <alignment horizontal="right" vertical="center"/>
    </xf>
    <xf numFmtId="173" fontId="7" fillId="4" borderId="0" xfId="0" applyNumberFormat="1" applyFont="1" applyFill="1" applyAlignment="1">
      <alignment horizontal="right" vertical="center"/>
    </xf>
    <xf numFmtId="173" fontId="7" fillId="4" borderId="4" xfId="0" applyNumberFormat="1" applyFont="1" applyFill="1" applyBorder="1" applyAlignment="1">
      <alignment horizontal="right" vertical="center"/>
    </xf>
    <xf numFmtId="173" fontId="13" fillId="0" borderId="0" xfId="0" applyNumberFormat="1" applyFont="1" applyAlignment="1">
      <alignment horizontal="right" vertical="center"/>
    </xf>
    <xf numFmtId="174" fontId="6" fillId="0" borderId="39" xfId="0" applyNumberFormat="1" applyFont="1" applyBorder="1" applyAlignment="1">
      <alignment vertical="center"/>
    </xf>
    <xf numFmtId="174" fontId="6" fillId="0" borderId="19" xfId="0" applyNumberFormat="1" applyFont="1" applyBorder="1" applyAlignment="1">
      <alignment horizontal="right" vertical="center"/>
    </xf>
    <xf numFmtId="174" fontId="6" fillId="0" borderId="38" xfId="0" applyNumberFormat="1" applyFont="1" applyBorder="1" applyAlignment="1">
      <alignment horizontal="right" vertical="center"/>
    </xf>
    <xf numFmtId="174" fontId="8" fillId="2" borderId="34" xfId="0" applyNumberFormat="1" applyFont="1" applyFill="1" applyBorder="1" applyAlignment="1">
      <alignment horizontal="left" vertical="center"/>
    </xf>
    <xf numFmtId="173" fontId="7" fillId="0" borderId="16" xfId="0" applyNumberFormat="1" applyFont="1" applyBorder="1" applyAlignment="1">
      <alignment horizontal="right" vertical="center"/>
    </xf>
    <xf numFmtId="173" fontId="7" fillId="0" borderId="47" xfId="0" applyNumberFormat="1" applyFont="1" applyBorder="1" applyAlignment="1">
      <alignment horizontal="right" vertical="center"/>
    </xf>
    <xf numFmtId="0" fontId="6" fillId="0" borderId="26" xfId="0" applyFont="1" applyBorder="1" applyAlignment="1">
      <alignment vertical="center"/>
    </xf>
    <xf numFmtId="0" fontId="6" fillId="0" borderId="66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47" xfId="0" applyFont="1" applyBorder="1" applyAlignment="1">
      <alignment vertical="center"/>
    </xf>
    <xf numFmtId="166" fontId="6" fillId="0" borderId="4" xfId="0" applyNumberFormat="1" applyFont="1" applyBorder="1" applyAlignment="1">
      <alignment vertical="center"/>
    </xf>
    <xf numFmtId="174" fontId="7" fillId="0" borderId="26" xfId="0" applyNumberFormat="1" applyFont="1" applyBorder="1" applyAlignment="1">
      <alignment vertical="center"/>
    </xf>
    <xf numFmtId="174" fontId="8" fillId="2" borderId="67" xfId="0" applyNumberFormat="1" applyFont="1" applyFill="1" applyBorder="1" applyAlignment="1">
      <alignment horizontal="left" vertical="center"/>
    </xf>
    <xf numFmtId="174" fontId="7" fillId="0" borderId="0" xfId="0" applyNumberFormat="1" applyFont="1" applyAlignment="1">
      <alignment horizontal="right" vertical="center"/>
    </xf>
    <xf numFmtId="174" fontId="6" fillId="0" borderId="26" xfId="0" applyNumberFormat="1" applyFont="1" applyBorder="1" applyAlignment="1">
      <alignment vertical="center"/>
    </xf>
    <xf numFmtId="174" fontId="6" fillId="0" borderId="68" xfId="0" applyNumberFormat="1" applyFont="1" applyBorder="1" applyAlignment="1">
      <alignment vertical="center"/>
    </xf>
    <xf numFmtId="174" fontId="6" fillId="0" borderId="58" xfId="0" applyNumberFormat="1" applyFont="1" applyBorder="1" applyAlignment="1">
      <alignment horizontal="right" vertical="center"/>
    </xf>
    <xf numFmtId="173" fontId="6" fillId="0" borderId="58" xfId="0" applyNumberFormat="1" applyFont="1" applyBorder="1" applyAlignment="1">
      <alignment horizontal="right" vertical="center"/>
    </xf>
    <xf numFmtId="173" fontId="6" fillId="0" borderId="59" xfId="0" applyNumberFormat="1" applyFont="1" applyBorder="1" applyAlignment="1">
      <alignment horizontal="right" vertical="center"/>
    </xf>
    <xf numFmtId="174" fontId="6" fillId="2" borderId="39" xfId="0" applyNumberFormat="1" applyFont="1" applyFill="1" applyBorder="1" applyAlignment="1">
      <alignment horizontal="left" vertical="center" indent="1"/>
    </xf>
    <xf numFmtId="174" fontId="7" fillId="0" borderId="39" xfId="0" applyNumberFormat="1" applyFont="1" applyBorder="1" applyAlignment="1">
      <alignment horizontal="left" vertical="center" indent="1"/>
    </xf>
    <xf numFmtId="174" fontId="8" fillId="0" borderId="39" xfId="0" applyNumberFormat="1" applyFont="1" applyBorder="1" applyAlignment="1">
      <alignment horizontal="left" vertical="center" indent="1"/>
    </xf>
    <xf numFmtId="174" fontId="6" fillId="0" borderId="67" xfId="0" applyNumberFormat="1" applyFont="1" applyBorder="1" applyAlignment="1">
      <alignment horizontal="left" vertical="center" indent="1"/>
    </xf>
    <xf numFmtId="174" fontId="7" fillId="0" borderId="19" xfId="0" applyNumberFormat="1" applyFont="1" applyBorder="1" applyAlignment="1">
      <alignment horizontal="right" vertical="center"/>
    </xf>
    <xf numFmtId="173" fontId="7" fillId="0" borderId="8" xfId="0" applyNumberFormat="1" applyFont="1" applyBorder="1" applyAlignment="1">
      <alignment vertical="center"/>
    </xf>
    <xf numFmtId="173" fontId="7" fillId="0" borderId="6" xfId="0" applyNumberFormat="1" applyFont="1" applyBorder="1" applyAlignment="1">
      <alignment vertical="center"/>
    </xf>
    <xf numFmtId="173" fontId="7" fillId="0" borderId="42" xfId="0" applyNumberFormat="1" applyFont="1" applyBorder="1" applyAlignment="1">
      <alignment vertical="center"/>
    </xf>
    <xf numFmtId="173" fontId="7" fillId="0" borderId="43" xfId="0" applyNumberFormat="1" applyFont="1" applyBorder="1" applyAlignment="1">
      <alignment vertical="center"/>
    </xf>
    <xf numFmtId="174" fontId="6" fillId="0" borderId="26" xfId="0" applyNumberFormat="1" applyFont="1" applyBorder="1" applyAlignment="1">
      <alignment horizontal="left" vertical="center" indent="1"/>
    </xf>
    <xf numFmtId="173" fontId="7" fillId="4" borderId="19" xfId="0" applyNumberFormat="1" applyFont="1" applyFill="1" applyBorder="1" applyAlignment="1">
      <alignment horizontal="right" vertical="center"/>
    </xf>
    <xf numFmtId="173" fontId="6" fillId="3" borderId="0" xfId="0" applyNumberFormat="1" applyFont="1" applyFill="1" applyAlignment="1">
      <alignment horizontal="right" vertical="center"/>
    </xf>
    <xf numFmtId="173" fontId="6" fillId="2" borderId="6" xfId="0" applyNumberFormat="1" applyFont="1" applyFill="1" applyBorder="1" applyAlignment="1">
      <alignment horizontal="right" vertical="center"/>
    </xf>
    <xf numFmtId="168" fontId="7" fillId="0" borderId="0" xfId="0" applyNumberFormat="1" applyFont="1" applyAlignment="1">
      <alignment vertical="center"/>
    </xf>
    <xf numFmtId="172" fontId="6" fillId="0" borderId="0" xfId="0" applyNumberFormat="1" applyFont="1" applyAlignment="1">
      <alignment horizontal="right" vertical="center"/>
    </xf>
    <xf numFmtId="172" fontId="6" fillId="0" borderId="19" xfId="0" applyNumberFormat="1" applyFont="1" applyBorder="1" applyAlignment="1">
      <alignment horizontal="right" vertical="center"/>
    </xf>
    <xf numFmtId="174" fontId="7" fillId="0" borderId="4" xfId="0" applyNumberFormat="1" applyFont="1" applyBorder="1" applyAlignment="1">
      <alignment horizontal="right" vertical="center"/>
    </xf>
    <xf numFmtId="174" fontId="6" fillId="4" borderId="4" xfId="0" applyNumberFormat="1" applyFont="1" applyFill="1" applyBorder="1" applyAlignment="1">
      <alignment horizontal="right" vertical="center"/>
    </xf>
    <xf numFmtId="172" fontId="9" fillId="0" borderId="0" xfId="1" applyNumberFormat="1" applyFont="1" applyBorder="1" applyAlignment="1">
      <alignment vertical="center"/>
    </xf>
    <xf numFmtId="172" fontId="9" fillId="0" borderId="4" xfId="1" applyNumberFormat="1" applyFont="1" applyBorder="1" applyAlignment="1">
      <alignment vertical="center"/>
    </xf>
    <xf numFmtId="172" fontId="9" fillId="0" borderId="19" xfId="1" applyNumberFormat="1" applyFont="1" applyBorder="1" applyAlignment="1">
      <alignment vertical="center"/>
    </xf>
    <xf numFmtId="0" fontId="6" fillId="0" borderId="33" xfId="0" applyFont="1" applyBorder="1" applyAlignment="1">
      <alignment vertical="center"/>
    </xf>
    <xf numFmtId="166" fontId="9" fillId="0" borderId="0" xfId="0" applyNumberFormat="1" applyFont="1" applyAlignment="1">
      <alignment vertical="center"/>
    </xf>
    <xf numFmtId="166" fontId="6" fillId="0" borderId="19" xfId="0" applyNumberFormat="1" applyFont="1" applyBorder="1" applyAlignment="1">
      <alignment vertical="center"/>
    </xf>
    <xf numFmtId="166" fontId="9" fillId="0" borderId="4" xfId="0" applyNumberFormat="1" applyFont="1" applyBorder="1" applyAlignment="1">
      <alignment vertical="center"/>
    </xf>
    <xf numFmtId="166" fontId="9" fillId="0" borderId="19" xfId="0" applyNumberFormat="1" applyFont="1" applyBorder="1" applyAlignment="1">
      <alignment vertical="center"/>
    </xf>
    <xf numFmtId="166" fontId="6" fillId="4" borderId="4" xfId="0" applyNumberFormat="1" applyFont="1" applyFill="1" applyBorder="1" applyAlignment="1">
      <alignment vertical="center"/>
    </xf>
    <xf numFmtId="166" fontId="6" fillId="4" borderId="0" xfId="0" applyNumberFormat="1" applyFont="1" applyFill="1" applyAlignment="1">
      <alignment vertical="center"/>
    </xf>
    <xf numFmtId="166" fontId="6" fillId="4" borderId="19" xfId="0" applyNumberFormat="1" applyFont="1" applyFill="1" applyBorder="1" applyAlignment="1">
      <alignment vertical="center"/>
    </xf>
    <xf numFmtId="173" fontId="6" fillId="0" borderId="26" xfId="0" applyNumberFormat="1" applyFont="1" applyBorder="1" applyAlignment="1">
      <alignment horizontal="left" vertical="center" indent="1"/>
    </xf>
    <xf numFmtId="173" fontId="6" fillId="0" borderId="33" xfId="0" applyNumberFormat="1" applyFont="1" applyBorder="1" applyAlignment="1">
      <alignment horizontal="left" vertical="center" indent="1"/>
    </xf>
    <xf numFmtId="0" fontId="6" fillId="0" borderId="1" xfId="0" applyFont="1" applyBorder="1" applyAlignment="1">
      <alignment vertical="center"/>
    </xf>
    <xf numFmtId="173" fontId="7" fillId="0" borderId="27" xfId="0" applyNumberFormat="1" applyFont="1" applyBorder="1" applyAlignment="1">
      <alignment vertical="center"/>
    </xf>
    <xf numFmtId="173" fontId="9" fillId="2" borderId="0" xfId="0" applyNumberFormat="1" applyFont="1" applyFill="1" applyAlignment="1">
      <alignment vertical="center"/>
    </xf>
    <xf numFmtId="0" fontId="6" fillId="0" borderId="31" xfId="0" applyFont="1" applyBorder="1" applyAlignment="1">
      <alignment vertical="center"/>
    </xf>
    <xf numFmtId="173" fontId="6" fillId="2" borderId="19" xfId="0" applyNumberFormat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6" fillId="0" borderId="30" xfId="0" applyFont="1" applyBorder="1" applyAlignment="1">
      <alignment vertical="center"/>
    </xf>
    <xf numFmtId="173" fontId="7" fillId="0" borderId="26" xfId="0" applyNumberFormat="1" applyFont="1" applyBorder="1" applyAlignment="1">
      <alignment vertical="center"/>
    </xf>
    <xf numFmtId="174" fontId="6" fillId="2" borderId="19" xfId="0" applyNumberFormat="1" applyFont="1" applyFill="1" applyBorder="1" applyAlignment="1">
      <alignment vertical="center"/>
    </xf>
    <xf numFmtId="174" fontId="8" fillId="2" borderId="26" xfId="0" applyNumberFormat="1" applyFont="1" applyFill="1" applyBorder="1" applyAlignment="1">
      <alignment vertical="center"/>
    </xf>
    <xf numFmtId="174" fontId="8" fillId="0" borderId="26" xfId="0" applyNumberFormat="1" applyFont="1" applyBorder="1" applyAlignment="1">
      <alignment vertical="center"/>
    </xf>
    <xf numFmtId="172" fontId="6" fillId="3" borderId="19" xfId="1" applyNumberFormat="1" applyFont="1" applyFill="1" applyBorder="1" applyAlignment="1">
      <alignment vertical="center"/>
    </xf>
    <xf numFmtId="166" fontId="6" fillId="3" borderId="19" xfId="0" applyNumberFormat="1" applyFont="1" applyFill="1" applyBorder="1" applyAlignment="1">
      <alignment vertical="center"/>
    </xf>
    <xf numFmtId="0" fontId="6" fillId="0" borderId="27" xfId="0" applyFont="1" applyBorder="1" applyAlignment="1">
      <alignment vertical="center"/>
    </xf>
    <xf numFmtId="0" fontId="6" fillId="2" borderId="20" xfId="0" applyFont="1" applyFill="1" applyBorder="1" applyAlignment="1">
      <alignment vertical="center"/>
    </xf>
    <xf numFmtId="175" fontId="7" fillId="0" borderId="13" xfId="0" applyNumberFormat="1" applyFont="1" applyBorder="1" applyAlignment="1">
      <alignment vertical="center"/>
    </xf>
    <xf numFmtId="175" fontId="6" fillId="0" borderId="10" xfId="0" applyNumberFormat="1" applyFont="1" applyBorder="1" applyAlignment="1">
      <alignment vertical="center"/>
    </xf>
    <xf numFmtId="175" fontId="6" fillId="0" borderId="5" xfId="0" applyNumberFormat="1" applyFont="1" applyBorder="1" applyAlignment="1">
      <alignment vertical="center"/>
    </xf>
    <xf numFmtId="175" fontId="6" fillId="2" borderId="5" xfId="0" applyNumberFormat="1" applyFont="1" applyFill="1" applyBorder="1" applyAlignment="1">
      <alignment vertical="center"/>
    </xf>
    <xf numFmtId="175" fontId="6" fillId="2" borderId="14" xfId="0" applyNumberFormat="1" applyFont="1" applyFill="1" applyBorder="1" applyAlignment="1">
      <alignment vertical="center"/>
    </xf>
    <xf numFmtId="175" fontId="6" fillId="0" borderId="0" xfId="0" applyNumberFormat="1" applyFont="1" applyAlignment="1">
      <alignment vertical="center"/>
    </xf>
    <xf numFmtId="175" fontId="6" fillId="0" borderId="13" xfId="0" applyNumberFormat="1" applyFont="1" applyBorder="1" applyAlignment="1">
      <alignment vertical="center"/>
    </xf>
    <xf numFmtId="175" fontId="6" fillId="4" borderId="15" xfId="0" applyNumberFormat="1" applyFont="1" applyFill="1" applyBorder="1" applyAlignment="1">
      <alignment horizontal="right" vertical="center"/>
    </xf>
    <xf numFmtId="175" fontId="6" fillId="4" borderId="5" xfId="0" applyNumberFormat="1" applyFont="1" applyFill="1" applyBorder="1" applyAlignment="1">
      <alignment horizontal="right" vertical="center"/>
    </xf>
    <xf numFmtId="175" fontId="6" fillId="3" borderId="14" xfId="0" applyNumberFormat="1" applyFont="1" applyFill="1" applyBorder="1" applyAlignment="1">
      <alignment vertical="center"/>
    </xf>
    <xf numFmtId="175" fontId="9" fillId="0" borderId="48" xfId="0" applyNumberFormat="1" applyFont="1" applyBorder="1" applyAlignment="1">
      <alignment vertical="center"/>
    </xf>
    <xf numFmtId="175" fontId="9" fillId="0" borderId="16" xfId="0" applyNumberFormat="1" applyFont="1" applyBorder="1" applyAlignment="1">
      <alignment vertical="center"/>
    </xf>
    <xf numFmtId="169" fontId="6" fillId="0" borderId="0" xfId="0" applyNumberFormat="1" applyFont="1" applyAlignment="1">
      <alignment horizontal="right" vertical="center"/>
    </xf>
    <xf numFmtId="169" fontId="6" fillId="0" borderId="19" xfId="0" applyNumberFormat="1" applyFont="1" applyBorder="1" applyAlignment="1">
      <alignment horizontal="right" vertical="center"/>
    </xf>
    <xf numFmtId="169" fontId="6" fillId="0" borderId="4" xfId="0" applyNumberFormat="1" applyFont="1" applyBorder="1" applyAlignment="1">
      <alignment horizontal="right" vertical="center"/>
    </xf>
    <xf numFmtId="169" fontId="6" fillId="4" borderId="0" xfId="0" applyNumberFormat="1" applyFont="1" applyFill="1" applyAlignment="1">
      <alignment horizontal="right" vertical="center"/>
    </xf>
    <xf numFmtId="174" fontId="6" fillId="2" borderId="26" xfId="0" applyNumberFormat="1" applyFont="1" applyFill="1" applyBorder="1" applyAlignment="1">
      <alignment horizontal="left" vertical="center" indent="2"/>
    </xf>
    <xf numFmtId="172" fontId="6" fillId="0" borderId="26" xfId="0" applyNumberFormat="1" applyFont="1" applyBorder="1" applyAlignment="1">
      <alignment horizontal="left" vertical="center" indent="2"/>
    </xf>
    <xf numFmtId="0" fontId="6" fillId="0" borderId="23" xfId="0" applyFont="1" applyBorder="1" applyAlignment="1">
      <alignment vertical="center"/>
    </xf>
    <xf numFmtId="0" fontId="6" fillId="2" borderId="30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19" xfId="0" applyFont="1" applyFill="1" applyBorder="1" applyAlignment="1">
      <alignment vertical="center"/>
    </xf>
    <xf numFmtId="0" fontId="6" fillId="2" borderId="18" xfId="0" applyFont="1" applyFill="1" applyBorder="1" applyAlignment="1">
      <alignment vertical="center"/>
    </xf>
    <xf numFmtId="174" fontId="6" fillId="2" borderId="26" xfId="0" applyNumberFormat="1" applyFont="1" applyFill="1" applyBorder="1" applyAlignment="1">
      <alignment vertical="center"/>
    </xf>
    <xf numFmtId="0" fontId="6" fillId="2" borderId="26" xfId="0" applyFont="1" applyFill="1" applyBorder="1" applyAlignment="1">
      <alignment vertical="center"/>
    </xf>
    <xf numFmtId="166" fontId="6" fillId="2" borderId="19" xfId="0" applyNumberFormat="1" applyFont="1" applyFill="1" applyBorder="1" applyAlignment="1">
      <alignment vertical="center"/>
    </xf>
    <xf numFmtId="169" fontId="6" fillId="4" borderId="4" xfId="0" applyNumberFormat="1" applyFont="1" applyFill="1" applyBorder="1" applyAlignment="1">
      <alignment horizontal="right" vertical="center"/>
    </xf>
    <xf numFmtId="169" fontId="6" fillId="4" borderId="19" xfId="0" applyNumberFormat="1" applyFont="1" applyFill="1" applyBorder="1" applyAlignment="1">
      <alignment vertical="center"/>
    </xf>
    <xf numFmtId="175" fontId="6" fillId="4" borderId="4" xfId="0" applyNumberFormat="1" applyFont="1" applyFill="1" applyBorder="1" applyAlignment="1">
      <alignment horizontal="right" vertical="center"/>
    </xf>
    <xf numFmtId="0" fontId="6" fillId="2" borderId="2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6" fillId="0" borderId="25" xfId="0" applyFont="1" applyBorder="1" applyAlignment="1">
      <alignment vertical="center"/>
    </xf>
    <xf numFmtId="175" fontId="9" fillId="0" borderId="13" xfId="0" applyNumberFormat="1" applyFont="1" applyBorder="1" applyAlignment="1">
      <alignment vertical="center"/>
    </xf>
    <xf numFmtId="175" fontId="9" fillId="0" borderId="5" xfId="0" applyNumberFormat="1" applyFont="1" applyBorder="1" applyAlignment="1">
      <alignment vertical="center"/>
    </xf>
    <xf numFmtId="175" fontId="6" fillId="0" borderId="0" xfId="0" applyNumberFormat="1" applyFont="1" applyAlignment="1">
      <alignment horizontal="right" vertical="center"/>
    </xf>
    <xf numFmtId="175" fontId="6" fillId="0" borderId="4" xfId="0" applyNumberFormat="1" applyFont="1" applyBorder="1" applyAlignment="1">
      <alignment horizontal="right" vertical="center"/>
    </xf>
    <xf numFmtId="175" fontId="6" fillId="0" borderId="19" xfId="0" applyNumberFormat="1" applyFont="1" applyBorder="1" applyAlignment="1">
      <alignment horizontal="right" vertical="center"/>
    </xf>
    <xf numFmtId="173" fontId="7" fillId="0" borderId="20" xfId="0" applyNumberFormat="1" applyFont="1" applyBorder="1" applyAlignment="1">
      <alignment vertical="center"/>
    </xf>
    <xf numFmtId="173" fontId="6" fillId="3" borderId="4" xfId="0" applyNumberFormat="1" applyFont="1" applyFill="1" applyBorder="1" applyAlignment="1">
      <alignment horizontal="right" vertical="center"/>
    </xf>
    <xf numFmtId="9" fontId="6" fillId="4" borderId="19" xfId="1" applyFont="1" applyFill="1" applyBorder="1" applyAlignment="1">
      <alignment vertical="center"/>
    </xf>
    <xf numFmtId="175" fontId="6" fillId="4" borderId="0" xfId="0" applyNumberFormat="1" applyFont="1" applyFill="1" applyAlignment="1">
      <alignment horizontal="right" vertical="center"/>
    </xf>
    <xf numFmtId="173" fontId="8" fillId="2" borderId="26" xfId="0" applyNumberFormat="1" applyFont="1" applyFill="1" applyBorder="1" applyAlignment="1">
      <alignment vertical="center"/>
    </xf>
    <xf numFmtId="173" fontId="7" fillId="2" borderId="19" xfId="0" applyNumberFormat="1" applyFont="1" applyFill="1" applyBorder="1" applyAlignment="1">
      <alignment horizontal="right" vertical="center"/>
    </xf>
    <xf numFmtId="173" fontId="6" fillId="2" borderId="26" xfId="0" applyNumberFormat="1" applyFont="1" applyFill="1" applyBorder="1" applyAlignment="1">
      <alignment horizontal="left" vertical="center" indent="1"/>
    </xf>
    <xf numFmtId="173" fontId="14" fillId="2" borderId="4" xfId="0" applyNumberFormat="1" applyFont="1" applyFill="1" applyBorder="1" applyAlignment="1">
      <alignment horizontal="right" vertical="center"/>
    </xf>
    <xf numFmtId="173" fontId="6" fillId="2" borderId="65" xfId="0" applyNumberFormat="1" applyFont="1" applyFill="1" applyBorder="1" applyAlignment="1">
      <alignment horizontal="right" vertical="center"/>
    </xf>
    <xf numFmtId="173" fontId="6" fillId="2" borderId="26" xfId="0" applyNumberFormat="1" applyFont="1" applyFill="1" applyBorder="1" applyAlignment="1">
      <alignment horizontal="left" vertical="center" indent="2"/>
    </xf>
    <xf numFmtId="173" fontId="6" fillId="2" borderId="33" xfId="0" applyNumberFormat="1" applyFont="1" applyFill="1" applyBorder="1" applyAlignment="1">
      <alignment horizontal="left" vertical="center" indent="1"/>
    </xf>
    <xf numFmtId="173" fontId="7" fillId="2" borderId="26" xfId="0" applyNumberFormat="1" applyFont="1" applyFill="1" applyBorder="1" applyAlignment="1">
      <alignment vertical="center"/>
    </xf>
    <xf numFmtId="173" fontId="6" fillId="0" borderId="26" xfId="0" applyNumberFormat="1" applyFont="1" applyBorder="1" applyAlignment="1">
      <alignment vertical="center"/>
    </xf>
    <xf numFmtId="173" fontId="8" fillId="0" borderId="26" xfId="0" applyNumberFormat="1" applyFont="1" applyBorder="1" applyAlignment="1">
      <alignment vertical="center"/>
    </xf>
    <xf numFmtId="175" fontId="6" fillId="2" borderId="26" xfId="0" applyNumberFormat="1" applyFont="1" applyFill="1" applyBorder="1" applyAlignment="1">
      <alignment horizontal="left" vertical="center" indent="1"/>
    </xf>
    <xf numFmtId="175" fontId="6" fillId="2" borderId="4" xfId="0" applyNumberFormat="1" applyFont="1" applyFill="1" applyBorder="1" applyAlignment="1">
      <alignment horizontal="right" vertical="center"/>
    </xf>
    <xf numFmtId="175" fontId="6" fillId="2" borderId="0" xfId="0" applyNumberFormat="1" applyFont="1" applyFill="1" applyAlignment="1">
      <alignment horizontal="right" vertical="center"/>
    </xf>
    <xf numFmtId="175" fontId="6" fillId="2" borderId="19" xfId="0" applyNumberFormat="1" applyFont="1" applyFill="1" applyBorder="1" applyAlignment="1">
      <alignment horizontal="right" vertical="center"/>
    </xf>
    <xf numFmtId="175" fontId="6" fillId="2" borderId="0" xfId="0" applyNumberFormat="1" applyFont="1" applyFill="1" applyAlignment="1">
      <alignment vertical="center"/>
    </xf>
    <xf numFmtId="175" fontId="6" fillId="4" borderId="19" xfId="0" applyNumberFormat="1" applyFont="1" applyFill="1" applyBorder="1" applyAlignment="1">
      <alignment vertical="center"/>
    </xf>
    <xf numFmtId="9" fontId="6" fillId="2" borderId="26" xfId="0" applyNumberFormat="1" applyFont="1" applyFill="1" applyBorder="1" applyAlignment="1">
      <alignment horizontal="left" vertical="center" indent="2"/>
    </xf>
    <xf numFmtId="9" fontId="6" fillId="2" borderId="4" xfId="1" applyFont="1" applyFill="1" applyBorder="1" applyAlignment="1">
      <alignment vertical="center"/>
    </xf>
    <xf numFmtId="9" fontId="6" fillId="2" borderId="19" xfId="1" applyFont="1" applyFill="1" applyBorder="1" applyAlignment="1">
      <alignment vertical="center"/>
    </xf>
    <xf numFmtId="9" fontId="6" fillId="2" borderId="19" xfId="1" applyFont="1" applyFill="1" applyBorder="1" applyAlignment="1">
      <alignment horizontal="right" vertical="center"/>
    </xf>
    <xf numFmtId="173" fontId="6" fillId="3" borderId="19" xfId="0" applyNumberFormat="1" applyFont="1" applyFill="1" applyBorder="1" applyAlignment="1">
      <alignment horizontal="right" vertical="center"/>
    </xf>
    <xf numFmtId="173" fontId="7" fillId="3" borderId="19" xfId="0" applyNumberFormat="1" applyFont="1" applyFill="1" applyBorder="1" applyAlignment="1">
      <alignment horizontal="right" vertical="center"/>
    </xf>
    <xf numFmtId="173" fontId="6" fillId="2" borderId="26" xfId="0" applyNumberFormat="1" applyFont="1" applyFill="1" applyBorder="1" applyAlignment="1">
      <alignment horizontal="left" vertical="center"/>
    </xf>
    <xf numFmtId="173" fontId="7" fillId="3" borderId="19" xfId="0" applyNumberFormat="1" applyFont="1" applyFill="1" applyBorder="1" applyAlignment="1">
      <alignment vertical="center"/>
    </xf>
    <xf numFmtId="173" fontId="6" fillId="0" borderId="24" xfId="0" applyNumberFormat="1" applyFont="1" applyBorder="1" applyAlignment="1">
      <alignment horizontal="left" vertical="center" indent="1"/>
    </xf>
    <xf numFmtId="173" fontId="7" fillId="3" borderId="8" xfId="0" applyNumberFormat="1" applyFont="1" applyFill="1" applyBorder="1" applyAlignment="1">
      <alignment vertical="center"/>
    </xf>
    <xf numFmtId="173" fontId="7" fillId="3" borderId="6" xfId="0" applyNumberFormat="1" applyFont="1" applyFill="1" applyBorder="1" applyAlignment="1">
      <alignment vertical="center"/>
    </xf>
    <xf numFmtId="173" fontId="7" fillId="3" borderId="20" xfId="0" applyNumberFormat="1" applyFont="1" applyFill="1" applyBorder="1" applyAlignment="1">
      <alignment vertical="center"/>
    </xf>
    <xf numFmtId="173" fontId="7" fillId="6" borderId="38" xfId="0" applyNumberFormat="1" applyFont="1" applyFill="1" applyBorder="1" applyAlignment="1">
      <alignment vertical="center"/>
    </xf>
    <xf numFmtId="173" fontId="7" fillId="3" borderId="38" xfId="0" applyNumberFormat="1" applyFont="1" applyFill="1" applyBorder="1" applyAlignment="1">
      <alignment vertical="center"/>
    </xf>
    <xf numFmtId="173" fontId="9" fillId="2" borderId="4" xfId="0" applyNumberFormat="1" applyFont="1" applyFill="1" applyBorder="1" applyAlignment="1">
      <alignment vertical="center"/>
    </xf>
    <xf numFmtId="173" fontId="9" fillId="2" borderId="19" xfId="0" applyNumberFormat="1" applyFont="1" applyFill="1" applyBorder="1" applyAlignment="1">
      <alignment vertical="center"/>
    </xf>
    <xf numFmtId="173" fontId="9" fillId="0" borderId="19" xfId="0" applyNumberFormat="1" applyFont="1" applyBorder="1" applyAlignment="1">
      <alignment vertical="center"/>
    </xf>
    <xf numFmtId="173" fontId="8" fillId="0" borderId="4" xfId="0" applyNumberFormat="1" applyFont="1" applyBorder="1" applyAlignment="1">
      <alignment vertical="center"/>
    </xf>
    <xf numFmtId="173" fontId="8" fillId="0" borderId="19" xfId="0" applyNumberFormat="1" applyFont="1" applyBorder="1" applyAlignment="1">
      <alignment vertical="center"/>
    </xf>
    <xf numFmtId="173" fontId="8" fillId="2" borderId="33" xfId="0" applyNumberFormat="1" applyFont="1" applyFill="1" applyBorder="1" applyAlignment="1">
      <alignment vertical="center"/>
    </xf>
    <xf numFmtId="173" fontId="6" fillId="2" borderId="33" xfId="0" applyNumberFormat="1" applyFont="1" applyFill="1" applyBorder="1" applyAlignment="1">
      <alignment horizontal="left" vertical="center"/>
    </xf>
    <xf numFmtId="173" fontId="6" fillId="2" borderId="33" xfId="0" applyNumberFormat="1" applyFont="1" applyFill="1" applyBorder="1" applyAlignment="1">
      <alignment horizontal="left" vertical="center" indent="2"/>
    </xf>
    <xf numFmtId="173" fontId="6" fillId="0" borderId="33" xfId="0" applyNumberFormat="1" applyFont="1" applyBorder="1" applyAlignment="1">
      <alignment vertical="center"/>
    </xf>
    <xf numFmtId="173" fontId="8" fillId="0" borderId="33" xfId="0" applyNumberFormat="1" applyFont="1" applyBorder="1" applyAlignment="1">
      <alignment vertical="center"/>
    </xf>
    <xf numFmtId="173" fontId="7" fillId="0" borderId="0" xfId="0" quotePrefix="1" applyNumberFormat="1" applyFont="1" applyAlignment="1">
      <alignment vertical="center"/>
    </xf>
    <xf numFmtId="173" fontId="8" fillId="0" borderId="33" xfId="0" applyNumberFormat="1" applyFont="1" applyBorder="1" applyAlignment="1">
      <alignment horizontal="left" vertical="center"/>
    </xf>
    <xf numFmtId="0" fontId="8" fillId="7" borderId="63" xfId="0" applyFont="1" applyFill="1" applyBorder="1" applyAlignment="1">
      <alignment horizontal="center" vertical="center"/>
    </xf>
    <xf numFmtId="0" fontId="8" fillId="7" borderId="52" xfId="0" applyFont="1" applyFill="1" applyBorder="1" applyAlignment="1">
      <alignment horizontal="center" vertical="center"/>
    </xf>
    <xf numFmtId="0" fontId="8" fillId="7" borderId="53" xfId="0" applyFont="1" applyFill="1" applyBorder="1" applyAlignment="1">
      <alignment horizontal="center" vertical="center"/>
    </xf>
    <xf numFmtId="0" fontId="8" fillId="7" borderId="54" xfId="0" applyFont="1" applyFill="1" applyBorder="1" applyAlignment="1">
      <alignment horizontal="center" vertical="center"/>
    </xf>
    <xf numFmtId="0" fontId="8" fillId="7" borderId="55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left" vertical="center"/>
    </xf>
    <xf numFmtId="0" fontId="8" fillId="7" borderId="34" xfId="0" applyFont="1" applyFill="1" applyBorder="1" applyAlignment="1">
      <alignment horizontal="left" vertical="center"/>
    </xf>
    <xf numFmtId="0" fontId="8" fillId="7" borderId="69" xfId="0" applyFont="1" applyFill="1" applyBorder="1" applyAlignment="1">
      <alignment horizontal="center" vertical="center"/>
    </xf>
    <xf numFmtId="0" fontId="8" fillId="7" borderId="35" xfId="0" applyFont="1" applyFill="1" applyBorder="1" applyAlignment="1">
      <alignment horizontal="left" vertical="center"/>
    </xf>
    <xf numFmtId="1" fontId="8" fillId="7" borderId="52" xfId="0" applyNumberFormat="1" applyFont="1" applyFill="1" applyBorder="1" applyAlignment="1">
      <alignment horizontal="center" vertical="center"/>
    </xf>
    <xf numFmtId="1" fontId="8" fillId="7" borderId="53" xfId="0" applyNumberFormat="1" applyFont="1" applyFill="1" applyBorder="1" applyAlignment="1">
      <alignment horizontal="center" vertical="center"/>
    </xf>
    <xf numFmtId="1" fontId="8" fillId="7" borderId="60" xfId="0" applyNumberFormat="1" applyFont="1" applyFill="1" applyBorder="1" applyAlignment="1">
      <alignment horizontal="left" vertical="center"/>
    </xf>
    <xf numFmtId="0" fontId="7" fillId="7" borderId="64" xfId="0" applyFont="1" applyFill="1" applyBorder="1" applyAlignment="1">
      <alignment horizontal="center" vertical="center"/>
    </xf>
    <xf numFmtId="0" fontId="7" fillId="7" borderId="52" xfId="0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left" vertical="center"/>
    </xf>
    <xf numFmtId="0" fontId="7" fillId="7" borderId="50" xfId="0" applyFont="1" applyFill="1" applyBorder="1" applyAlignment="1">
      <alignment horizontal="center" vertical="center"/>
    </xf>
    <xf numFmtId="0" fontId="7" fillId="7" borderId="51" xfId="0" applyFont="1" applyFill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174" fontId="6" fillId="4" borderId="23" xfId="0" applyNumberFormat="1" applyFont="1" applyFill="1" applyBorder="1" applyAlignment="1">
      <alignment vertical="center"/>
    </xf>
    <xf numFmtId="0" fontId="8" fillId="7" borderId="70" xfId="0" applyFont="1" applyFill="1" applyBorder="1" applyAlignment="1">
      <alignment horizontal="center" vertical="center"/>
    </xf>
    <xf numFmtId="0" fontId="6" fillId="0" borderId="71" xfId="0" applyFont="1" applyBorder="1" applyAlignment="1">
      <alignment vertical="center"/>
    </xf>
    <xf numFmtId="173" fontId="7" fillId="4" borderId="23" xfId="0" applyNumberFormat="1" applyFont="1" applyFill="1" applyBorder="1" applyAlignment="1">
      <alignment horizontal="right" vertical="center"/>
    </xf>
    <xf numFmtId="173" fontId="6" fillId="4" borderId="23" xfId="0" applyNumberFormat="1" applyFont="1" applyFill="1" applyBorder="1" applyAlignment="1">
      <alignment horizontal="right" vertical="center"/>
    </xf>
    <xf numFmtId="172" fontId="6" fillId="4" borderId="23" xfId="1" applyNumberFormat="1" applyFont="1" applyFill="1" applyBorder="1" applyAlignment="1">
      <alignment vertical="center"/>
    </xf>
    <xf numFmtId="166" fontId="6" fillId="4" borderId="23" xfId="0" applyNumberFormat="1" applyFont="1" applyFill="1" applyBorder="1" applyAlignment="1">
      <alignment vertical="center"/>
    </xf>
    <xf numFmtId="173" fontId="7" fillId="4" borderId="23" xfId="0" applyNumberFormat="1" applyFont="1" applyFill="1" applyBorder="1" applyAlignment="1">
      <alignment vertical="center"/>
    </xf>
    <xf numFmtId="9" fontId="6" fillId="4" borderId="23" xfId="1" applyFont="1" applyFill="1" applyBorder="1" applyAlignment="1">
      <alignment vertical="center"/>
    </xf>
    <xf numFmtId="173" fontId="6" fillId="3" borderId="23" xfId="0" applyNumberFormat="1" applyFont="1" applyFill="1" applyBorder="1" applyAlignment="1">
      <alignment vertical="center"/>
    </xf>
    <xf numFmtId="173" fontId="6" fillId="3" borderId="23" xfId="0" applyNumberFormat="1" applyFont="1" applyFill="1" applyBorder="1" applyAlignment="1">
      <alignment horizontal="right" vertical="center"/>
    </xf>
    <xf numFmtId="173" fontId="7" fillId="3" borderId="23" xfId="0" applyNumberFormat="1" applyFont="1" applyFill="1" applyBorder="1" applyAlignment="1">
      <alignment horizontal="right" vertical="center"/>
    </xf>
    <xf numFmtId="174" fontId="6" fillId="3" borderId="23" xfId="0" applyNumberFormat="1" applyFont="1" applyFill="1" applyBorder="1" applyAlignment="1">
      <alignment vertical="center"/>
    </xf>
    <xf numFmtId="172" fontId="6" fillId="3" borderId="23" xfId="1" applyNumberFormat="1" applyFont="1" applyFill="1" applyBorder="1" applyAlignment="1">
      <alignment vertical="center"/>
    </xf>
    <xf numFmtId="166" fontId="6" fillId="3" borderId="23" xfId="0" applyNumberFormat="1" applyFont="1" applyFill="1" applyBorder="1" applyAlignment="1">
      <alignment vertical="center"/>
    </xf>
    <xf numFmtId="173" fontId="7" fillId="3" borderId="25" xfId="0" applyNumberFormat="1" applyFont="1" applyFill="1" applyBorder="1" applyAlignment="1">
      <alignment vertical="center"/>
    </xf>
    <xf numFmtId="169" fontId="6" fillId="4" borderId="23" xfId="0" applyNumberFormat="1" applyFont="1" applyFill="1" applyBorder="1" applyAlignment="1">
      <alignment vertical="center"/>
    </xf>
    <xf numFmtId="175" fontId="6" fillId="4" borderId="23" xfId="0" applyNumberFormat="1" applyFont="1" applyFill="1" applyBorder="1" applyAlignment="1">
      <alignment vertical="center"/>
    </xf>
    <xf numFmtId="173" fontId="6" fillId="0" borderId="71" xfId="0" applyNumberFormat="1" applyFont="1" applyBorder="1" applyAlignment="1">
      <alignment vertical="center"/>
    </xf>
    <xf numFmtId="0" fontId="8" fillId="7" borderId="72" xfId="0" applyFont="1" applyFill="1" applyBorder="1" applyAlignment="1">
      <alignment horizontal="left" vertical="center"/>
    </xf>
    <xf numFmtId="0" fontId="8" fillId="7" borderId="73" xfId="0" applyFont="1" applyFill="1" applyBorder="1" applyAlignment="1">
      <alignment horizontal="left" vertical="center"/>
    </xf>
    <xf numFmtId="0" fontId="15" fillId="8" borderId="56" xfId="0" applyFont="1" applyFill="1" applyBorder="1" applyAlignment="1">
      <alignment horizontal="left" vertical="center"/>
    </xf>
    <xf numFmtId="0" fontId="15" fillId="8" borderId="57" xfId="0" applyFont="1" applyFill="1" applyBorder="1" applyAlignment="1">
      <alignment vertical="center"/>
    </xf>
    <xf numFmtId="0" fontId="15" fillId="8" borderId="58" xfId="0" applyFont="1" applyFill="1" applyBorder="1" applyAlignment="1">
      <alignment vertical="center"/>
    </xf>
    <xf numFmtId="173" fontId="16" fillId="2" borderId="33" xfId="0" applyNumberFormat="1" applyFont="1" applyFill="1" applyBorder="1" applyAlignment="1">
      <alignment horizontal="left" vertical="center" indent="1"/>
    </xf>
    <xf numFmtId="173" fontId="17" fillId="0" borderId="4" xfId="0" applyNumberFormat="1" applyFont="1" applyBorder="1" applyAlignment="1">
      <alignment horizontal="right" vertical="center"/>
    </xf>
    <xf numFmtId="173" fontId="17" fillId="0" borderId="0" xfId="0" applyNumberFormat="1" applyFont="1" applyAlignment="1">
      <alignment horizontal="right" vertical="center"/>
    </xf>
    <xf numFmtId="173" fontId="18" fillId="0" borderId="4" xfId="0" applyNumberFormat="1" applyFont="1" applyBorder="1" applyAlignment="1">
      <alignment horizontal="right" vertical="center"/>
    </xf>
    <xf numFmtId="173" fontId="18" fillId="0" borderId="0" xfId="0" applyNumberFormat="1" applyFont="1" applyAlignment="1">
      <alignment horizontal="right" vertical="center"/>
    </xf>
    <xf numFmtId="173" fontId="19" fillId="0" borderId="0" xfId="0" applyNumberFormat="1" applyFont="1" applyAlignment="1">
      <alignment horizontal="right" vertical="center"/>
    </xf>
    <xf numFmtId="173" fontId="18" fillId="0" borderId="4" xfId="0" applyNumberFormat="1" applyFont="1" applyBorder="1" applyAlignment="1">
      <alignment vertical="center"/>
    </xf>
    <xf numFmtId="173" fontId="18" fillId="0" borderId="0" xfId="0" applyNumberFormat="1" applyFont="1" applyAlignment="1">
      <alignment vertical="center"/>
    </xf>
    <xf numFmtId="173" fontId="16" fillId="2" borderId="33" xfId="0" applyNumberFormat="1" applyFont="1" applyFill="1" applyBorder="1" applyAlignment="1">
      <alignment horizontal="left" vertical="center" indent="2"/>
    </xf>
    <xf numFmtId="173" fontId="8" fillId="2" borderId="74" xfId="0" applyNumberFormat="1" applyFont="1" applyFill="1" applyBorder="1" applyAlignment="1">
      <alignment vertical="center"/>
    </xf>
    <xf numFmtId="173" fontId="16" fillId="0" borderId="75" xfId="0" applyNumberFormat="1" applyFont="1" applyBorder="1" applyAlignment="1">
      <alignment vertical="center"/>
    </xf>
    <xf numFmtId="173" fontId="17" fillId="0" borderId="76" xfId="0" applyNumberFormat="1" applyFont="1" applyBorder="1" applyAlignment="1">
      <alignment horizontal="right" vertical="center"/>
    </xf>
    <xf numFmtId="173" fontId="17" fillId="0" borderId="75" xfId="0" applyNumberFormat="1" applyFont="1" applyBorder="1" applyAlignment="1">
      <alignment horizontal="right" vertical="center"/>
    </xf>
    <xf numFmtId="173" fontId="8" fillId="0" borderId="74" xfId="0" applyNumberFormat="1" applyFont="1" applyBorder="1" applyAlignment="1">
      <alignment vertical="center"/>
    </xf>
    <xf numFmtId="173" fontId="8" fillId="0" borderId="75" xfId="0" applyNumberFormat="1" applyFont="1" applyBorder="1" applyAlignment="1">
      <alignment horizontal="right" vertical="center"/>
    </xf>
    <xf numFmtId="0" fontId="8" fillId="7" borderId="77" xfId="0" applyFont="1" applyFill="1" applyBorder="1" applyAlignment="1">
      <alignment horizontal="left" vertical="center"/>
    </xf>
    <xf numFmtId="0" fontId="7" fillId="7" borderId="78" xfId="0" applyFont="1" applyFill="1" applyBorder="1" applyAlignment="1">
      <alignment horizontal="center" vertical="center"/>
    </xf>
    <xf numFmtId="0" fontId="7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0" fontId="8" fillId="7" borderId="85" xfId="0" applyFont="1" applyFill="1" applyBorder="1" applyAlignment="1">
      <alignment horizontal="left" vertical="center"/>
    </xf>
    <xf numFmtId="0" fontId="7" fillId="7" borderId="80" xfId="0" applyFont="1" applyFill="1" applyBorder="1" applyAlignment="1">
      <alignment horizontal="center" vertical="center"/>
    </xf>
    <xf numFmtId="173" fontId="16" fillId="0" borderId="0" xfId="0" applyNumberFormat="1" applyFont="1" applyAlignment="1">
      <alignment vertical="center"/>
    </xf>
    <xf numFmtId="0" fontId="8" fillId="7" borderId="86" xfId="0" applyFont="1" applyFill="1" applyBorder="1" applyAlignment="1">
      <alignment horizontal="center" vertical="center"/>
    </xf>
    <xf numFmtId="0" fontId="8" fillId="7" borderId="25" xfId="0" applyFont="1" applyFill="1" applyBorder="1" applyAlignment="1">
      <alignment horizontal="center" vertical="center"/>
    </xf>
    <xf numFmtId="173" fontId="8" fillId="2" borderId="0" xfId="0" applyNumberFormat="1" applyFont="1" applyFill="1" applyAlignment="1">
      <alignment vertical="center"/>
    </xf>
    <xf numFmtId="173" fontId="20" fillId="0" borderId="4" xfId="0" applyNumberFormat="1" applyFont="1" applyBorder="1" applyAlignment="1">
      <alignment vertical="center"/>
    </xf>
    <xf numFmtId="173" fontId="18" fillId="0" borderId="19" xfId="0" applyNumberFormat="1" applyFont="1" applyBorder="1" applyAlignment="1">
      <alignment vertical="center"/>
    </xf>
    <xf numFmtId="173" fontId="18" fillId="2" borderId="0" xfId="0" applyNumberFormat="1" applyFont="1" applyFill="1" applyAlignment="1">
      <alignment horizontal="right" vertical="center"/>
    </xf>
    <xf numFmtId="173" fontId="18" fillId="3" borderId="0" xfId="0" applyNumberFormat="1" applyFont="1" applyFill="1" applyAlignment="1">
      <alignment vertical="center"/>
    </xf>
    <xf numFmtId="173" fontId="18" fillId="5" borderId="0" xfId="0" applyNumberFormat="1" applyFont="1" applyFill="1" applyAlignment="1">
      <alignment vertical="center"/>
    </xf>
    <xf numFmtId="173" fontId="18" fillId="0" borderId="19" xfId="0" applyNumberFormat="1" applyFont="1" applyBorder="1" applyAlignment="1">
      <alignment horizontal="right" vertical="center"/>
    </xf>
    <xf numFmtId="173" fontId="18" fillId="4" borderId="4" xfId="0" applyNumberFormat="1" applyFont="1" applyFill="1" applyBorder="1" applyAlignment="1">
      <alignment horizontal="right" vertical="center"/>
    </xf>
    <xf numFmtId="173" fontId="18" fillId="4" borderId="0" xfId="0" applyNumberFormat="1" applyFont="1" applyFill="1" applyAlignment="1">
      <alignment horizontal="right" vertical="center"/>
    </xf>
    <xf numFmtId="174" fontId="18" fillId="0" borderId="42" xfId="0" applyNumberFormat="1" applyFont="1" applyBorder="1" applyAlignment="1">
      <alignment vertical="center"/>
    </xf>
    <xf numFmtId="174" fontId="18" fillId="0" borderId="38" xfId="0" applyNumberFormat="1" applyFont="1" applyBorder="1" applyAlignment="1">
      <alignment vertical="center"/>
    </xf>
    <xf numFmtId="174" fontId="18" fillId="0" borderId="38" xfId="0" applyNumberFormat="1" applyFont="1" applyBorder="1" applyAlignment="1">
      <alignment horizontal="right" vertical="center"/>
    </xf>
    <xf numFmtId="174" fontId="18" fillId="0" borderId="8" xfId="0" applyNumberFormat="1" applyFont="1" applyBorder="1" applyAlignment="1">
      <alignment horizontal="right" vertical="center"/>
    </xf>
    <xf numFmtId="174" fontId="18" fillId="0" borderId="6" xfId="0" applyNumberFormat="1" applyFont="1" applyBorder="1" applyAlignment="1">
      <alignment horizontal="right" vertical="center"/>
    </xf>
    <xf numFmtId="174" fontId="18" fillId="0" borderId="20" xfId="0" applyNumberFormat="1" applyFont="1" applyBorder="1" applyAlignment="1">
      <alignment horizontal="right" vertical="center"/>
    </xf>
    <xf numFmtId="174" fontId="19" fillId="4" borderId="6" xfId="0" applyNumberFormat="1" applyFont="1" applyFill="1" applyBorder="1" applyAlignment="1">
      <alignment horizontal="right" vertical="center"/>
    </xf>
    <xf numFmtId="174" fontId="18" fillId="4" borderId="6" xfId="0" applyNumberFormat="1" applyFont="1" applyFill="1" applyBorder="1" applyAlignment="1">
      <alignment horizontal="right" vertical="center"/>
    </xf>
    <xf numFmtId="173" fontId="16" fillId="0" borderId="4" xfId="0" applyNumberFormat="1" applyFont="1" applyBorder="1" applyAlignment="1">
      <alignment horizontal="right" vertical="center"/>
    </xf>
    <xf numFmtId="173" fontId="16" fillId="0" borderId="0" xfId="0" applyNumberFormat="1" applyFont="1" applyAlignment="1">
      <alignment horizontal="right" vertical="center"/>
    </xf>
    <xf numFmtId="173" fontId="17" fillId="0" borderId="19" xfId="0" applyNumberFormat="1" applyFont="1" applyBorder="1" applyAlignment="1">
      <alignment horizontal="right" vertical="center"/>
    </xf>
    <xf numFmtId="173" fontId="17" fillId="5" borderId="0" xfId="0" applyNumberFormat="1" applyFont="1" applyFill="1" applyAlignment="1">
      <alignment horizontal="right" vertical="center"/>
    </xf>
    <xf numFmtId="173" fontId="16" fillId="0" borderId="4" xfId="0" applyNumberFormat="1" applyFont="1" applyBorder="1" applyAlignment="1">
      <alignment vertical="center"/>
    </xf>
    <xf numFmtId="174" fontId="18" fillId="0" borderId="11" xfId="0" applyNumberFormat="1" applyFont="1" applyBorder="1" applyAlignment="1">
      <alignment horizontal="right" vertical="center"/>
    </xf>
    <xf numFmtId="174" fontId="18" fillId="0" borderId="5" xfId="0" applyNumberFormat="1" applyFont="1" applyBorder="1" applyAlignment="1">
      <alignment horizontal="right" vertical="center"/>
    </xf>
    <xf numFmtId="174" fontId="18" fillId="0" borderId="21" xfId="0" applyNumberFormat="1" applyFont="1" applyBorder="1" applyAlignment="1">
      <alignment horizontal="right" vertical="center"/>
    </xf>
    <xf numFmtId="174" fontId="18" fillId="5" borderId="11" xfId="0" applyNumberFormat="1" applyFont="1" applyFill="1" applyBorder="1" applyAlignment="1">
      <alignment horizontal="right" vertical="center"/>
    </xf>
    <xf numFmtId="174" fontId="18" fillId="5" borderId="5" xfId="0" applyNumberFormat="1" applyFont="1" applyFill="1" applyBorder="1" applyAlignment="1">
      <alignment horizontal="right" vertical="center"/>
    </xf>
    <xf numFmtId="173" fontId="18" fillId="0" borderId="6" xfId="0" applyNumberFormat="1" applyFont="1" applyBorder="1" applyAlignment="1">
      <alignment vertical="center"/>
    </xf>
    <xf numFmtId="173" fontId="18" fillId="0" borderId="6" xfId="0" applyNumberFormat="1" applyFont="1" applyBorder="1" applyAlignment="1">
      <alignment horizontal="right" vertical="center"/>
    </xf>
    <xf numFmtId="173" fontId="18" fillId="0" borderId="8" xfId="0" applyNumberFormat="1" applyFont="1" applyBorder="1" applyAlignment="1">
      <alignment horizontal="right" vertical="center"/>
    </xf>
    <xf numFmtId="173" fontId="18" fillId="0" borderId="20" xfId="0" applyNumberFormat="1" applyFont="1" applyBorder="1" applyAlignment="1">
      <alignment horizontal="right" vertical="center"/>
    </xf>
    <xf numFmtId="173" fontId="18" fillId="4" borderId="8" xfId="0" applyNumberFormat="1" applyFont="1" applyFill="1" applyBorder="1" applyAlignment="1">
      <alignment horizontal="right" vertical="center"/>
    </xf>
    <xf numFmtId="173" fontId="18" fillId="4" borderId="6" xfId="0" applyNumberFormat="1" applyFont="1" applyFill="1" applyBorder="1" applyAlignment="1">
      <alignment horizontal="right" vertical="center"/>
    </xf>
    <xf numFmtId="173" fontId="18" fillId="2" borderId="8" xfId="0" applyNumberFormat="1" applyFont="1" applyFill="1" applyBorder="1" applyAlignment="1">
      <alignment horizontal="right" vertical="center"/>
    </xf>
    <xf numFmtId="174" fontId="18" fillId="0" borderId="0" xfId="0" applyNumberFormat="1" applyFont="1" applyAlignment="1">
      <alignment horizontal="right" vertical="center"/>
    </xf>
    <xf numFmtId="174" fontId="18" fillId="0" borderId="4" xfId="0" applyNumberFormat="1" applyFont="1" applyBorder="1" applyAlignment="1">
      <alignment horizontal="right" vertical="center"/>
    </xf>
    <xf numFmtId="174" fontId="18" fillId="0" borderId="19" xfId="0" applyNumberFormat="1" applyFont="1" applyBorder="1" applyAlignment="1">
      <alignment horizontal="right" vertical="center"/>
    </xf>
    <xf numFmtId="174" fontId="18" fillId="4" borderId="4" xfId="0" applyNumberFormat="1" applyFont="1" applyFill="1" applyBorder="1" applyAlignment="1">
      <alignment horizontal="right" vertical="center"/>
    </xf>
    <xf numFmtId="174" fontId="18" fillId="4" borderId="0" xfId="0" applyNumberFormat="1" applyFont="1" applyFill="1" applyAlignment="1">
      <alignment horizontal="right" vertical="center"/>
    </xf>
    <xf numFmtId="173" fontId="18" fillId="0" borderId="37" xfId="0" applyNumberFormat="1" applyFont="1" applyBorder="1" applyAlignment="1">
      <alignment vertical="center"/>
    </xf>
    <xf numFmtId="173" fontId="18" fillId="0" borderId="44" xfId="0" applyNumberFormat="1" applyFont="1" applyBorder="1" applyAlignment="1">
      <alignment vertical="center"/>
    </xf>
    <xf numFmtId="173" fontId="18" fillId="0" borderId="45" xfId="0" applyNumberFormat="1" applyFont="1" applyBorder="1" applyAlignment="1">
      <alignment vertical="center"/>
    </xf>
    <xf numFmtId="173" fontId="18" fillId="5" borderId="44" xfId="0" applyNumberFormat="1" applyFont="1" applyFill="1" applyBorder="1" applyAlignment="1">
      <alignment vertical="center"/>
    </xf>
    <xf numFmtId="173" fontId="18" fillId="5" borderId="37" xfId="0" applyNumberFormat="1" applyFont="1" applyFill="1" applyBorder="1" applyAlignment="1">
      <alignment vertical="center"/>
    </xf>
    <xf numFmtId="173" fontId="18" fillId="2" borderId="6" xfId="0" applyNumberFormat="1" applyFont="1" applyFill="1" applyBorder="1" applyAlignment="1">
      <alignment horizontal="right" vertical="center"/>
    </xf>
    <xf numFmtId="174" fontId="18" fillId="4" borderId="8" xfId="0" applyNumberFormat="1" applyFont="1" applyFill="1" applyBorder="1" applyAlignment="1">
      <alignment horizontal="right" vertical="center"/>
    </xf>
    <xf numFmtId="173" fontId="6" fillId="2" borderId="33" xfId="0" applyNumberFormat="1" applyFont="1" applyFill="1" applyBorder="1" applyAlignment="1">
      <alignment horizontal="right" vertical="center" indent="1"/>
    </xf>
    <xf numFmtId="10" fontId="21" fillId="0" borderId="0" xfId="1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2" fontId="21" fillId="0" borderId="0" xfId="1" applyNumberFormat="1" applyFont="1" applyAlignment="1">
      <alignment vertical="center"/>
    </xf>
    <xf numFmtId="10" fontId="0" fillId="0" borderId="0" xfId="1" applyNumberFormat="1" applyFont="1"/>
    <xf numFmtId="0" fontId="8" fillId="7" borderId="0" xfId="0" applyFont="1" applyFill="1" applyAlignment="1">
      <alignment horizontal="center" vertical="center"/>
    </xf>
    <xf numFmtId="165" fontId="19" fillId="0" borderId="0" xfId="1" applyNumberFormat="1" applyFont="1" applyBorder="1" applyAlignment="1">
      <alignment horizontal="right" vertical="center"/>
    </xf>
    <xf numFmtId="10" fontId="19" fillId="0" borderId="0" xfId="1" applyNumberFormat="1" applyFont="1" applyBorder="1" applyAlignment="1">
      <alignment horizontal="right" vertical="center"/>
    </xf>
    <xf numFmtId="10" fontId="9" fillId="0" borderId="4" xfId="1" applyNumberFormat="1" applyFont="1" applyBorder="1" applyAlignment="1">
      <alignment horizontal="right" vertical="center"/>
    </xf>
    <xf numFmtId="10" fontId="19" fillId="0" borderId="19" xfId="1" applyNumberFormat="1" applyFont="1" applyBorder="1" applyAlignment="1">
      <alignment horizontal="right" vertical="center"/>
    </xf>
    <xf numFmtId="173" fontId="19" fillId="0" borderId="19" xfId="0" applyNumberFormat="1" applyFont="1" applyBorder="1" applyAlignment="1">
      <alignment horizontal="right" vertical="center"/>
    </xf>
    <xf numFmtId="10" fontId="17" fillId="0" borderId="4" xfId="1" applyNumberFormat="1" applyFont="1" applyBorder="1" applyAlignment="1">
      <alignment horizontal="right" vertical="center"/>
    </xf>
    <xf numFmtId="173" fontId="9" fillId="2" borderId="39" xfId="0" applyNumberFormat="1" applyFont="1" applyFill="1" applyBorder="1" applyAlignment="1">
      <alignment horizontal="right" vertical="center" indent="1"/>
    </xf>
    <xf numFmtId="10" fontId="6" fillId="0" borderId="0" xfId="1" applyNumberFormat="1" applyFont="1" applyAlignment="1">
      <alignment vertical="center"/>
    </xf>
    <xf numFmtId="173" fontId="6" fillId="0" borderId="33" xfId="0" applyNumberFormat="1" applyFont="1" applyBorder="1" applyAlignment="1">
      <alignment horizontal="right" vertical="center" indent="1"/>
    </xf>
    <xf numFmtId="10" fontId="9" fillId="0" borderId="19" xfId="1" applyNumberFormat="1" applyFont="1" applyBorder="1" applyAlignment="1">
      <alignment horizontal="right" vertical="center"/>
    </xf>
    <xf numFmtId="10" fontId="18" fillId="0" borderId="0" xfId="1" applyNumberFormat="1" applyFont="1" applyAlignment="1">
      <alignment vertical="center"/>
    </xf>
    <xf numFmtId="165" fontId="6" fillId="0" borderId="19" xfId="1" applyNumberFormat="1" applyFont="1" applyBorder="1" applyAlignment="1">
      <alignment vertical="center"/>
    </xf>
    <xf numFmtId="10" fontId="6" fillId="0" borderId="19" xfId="1" applyNumberFormat="1" applyFont="1" applyBorder="1" applyAlignment="1">
      <alignment vertical="center"/>
    </xf>
    <xf numFmtId="173" fontId="16" fillId="0" borderId="19" xfId="0" applyNumberFormat="1" applyFont="1" applyBorder="1" applyAlignment="1">
      <alignment vertical="center"/>
    </xf>
    <xf numFmtId="173" fontId="16" fillId="0" borderId="47" xfId="0" applyNumberFormat="1" applyFont="1" applyBorder="1" applyAlignment="1">
      <alignment vertical="center"/>
    </xf>
    <xf numFmtId="165" fontId="18" fillId="0" borderId="0" xfId="1" applyNumberFormat="1" applyFont="1" applyAlignment="1">
      <alignment horizontal="right" vertical="center"/>
    </xf>
    <xf numFmtId="173" fontId="16" fillId="0" borderId="39" xfId="0" applyNumberFormat="1" applyFont="1" applyBorder="1" applyAlignment="1">
      <alignment horizontal="left" vertical="center" indent="1"/>
    </xf>
    <xf numFmtId="10" fontId="18" fillId="0" borderId="0" xfId="1" applyNumberFormat="1" applyFont="1" applyAlignment="1">
      <alignment horizontal="right" vertical="center"/>
    </xf>
    <xf numFmtId="173" fontId="17" fillId="0" borderId="0" xfId="0" applyNumberFormat="1" applyFont="1" applyAlignment="1">
      <alignment vertical="center"/>
    </xf>
    <xf numFmtId="10" fontId="9" fillId="0" borderId="0" xfId="1" applyNumberFormat="1" applyFont="1" applyBorder="1" applyAlignment="1">
      <alignment horizontal="right" vertical="center"/>
    </xf>
    <xf numFmtId="43" fontId="6" fillId="0" borderId="0" xfId="7" applyFont="1" applyFill="1" applyAlignment="1">
      <alignment vertical="center"/>
    </xf>
    <xf numFmtId="43" fontId="9" fillId="0" borderId="19" xfId="7" applyFont="1" applyFill="1" applyBorder="1" applyAlignment="1">
      <alignment horizontal="right" vertical="center"/>
    </xf>
    <xf numFmtId="179" fontId="9" fillId="0" borderId="19" xfId="0" applyNumberFormat="1" applyFont="1" applyBorder="1" applyAlignment="1">
      <alignment horizontal="right" vertical="center"/>
    </xf>
    <xf numFmtId="174" fontId="8" fillId="2" borderId="39" xfId="0" applyNumberFormat="1" applyFont="1" applyFill="1" applyBorder="1" applyAlignment="1">
      <alignment horizontal="left" vertical="center"/>
    </xf>
    <xf numFmtId="0" fontId="24" fillId="0" borderId="90" xfId="8" applyFont="1" applyBorder="1" applyAlignment="1">
      <alignment horizontal="left" vertical="center" wrapText="1"/>
    </xf>
    <xf numFmtId="180" fontId="25" fillId="30" borderId="90" xfId="9" applyNumberFormat="1" applyFont="1" applyFill="1" applyBorder="1" applyAlignment="1">
      <alignment horizontal="center" vertical="center" wrapText="1"/>
    </xf>
    <xf numFmtId="180" fontId="26" fillId="2" borderId="90" xfId="9" quotePrefix="1" applyNumberFormat="1" applyFont="1" applyFill="1" applyBorder="1" applyAlignment="1">
      <alignment horizontal="center" vertical="center" wrapText="1"/>
    </xf>
    <xf numFmtId="0" fontId="27" fillId="30" borderId="0" xfId="9" applyFont="1" applyFill="1" applyAlignment="1">
      <alignment horizontal="left"/>
    </xf>
    <xf numFmtId="180" fontId="28" fillId="2" borderId="91" xfId="9" quotePrefix="1" applyNumberFormat="1" applyFont="1" applyFill="1" applyBorder="1" applyAlignment="1">
      <alignment horizontal="center" vertical="center"/>
    </xf>
    <xf numFmtId="0" fontId="29" fillId="30" borderId="0" xfId="9" applyFont="1" applyFill="1" applyAlignment="1">
      <alignment horizontal="left"/>
    </xf>
    <xf numFmtId="0" fontId="28" fillId="2" borderId="0" xfId="9" quotePrefix="1" applyFont="1" applyFill="1" applyAlignment="1">
      <alignment horizontal="center" vertical="center"/>
    </xf>
    <xf numFmtId="0" fontId="30" fillId="30" borderId="90" xfId="9" applyFont="1" applyFill="1" applyBorder="1" applyAlignment="1">
      <alignment horizontal="left"/>
    </xf>
    <xf numFmtId="49" fontId="31" fillId="2" borderId="90" xfId="9" quotePrefix="1" applyNumberFormat="1" applyFont="1" applyFill="1" applyBorder="1" applyAlignment="1">
      <alignment horizontal="right" vertical="top" wrapText="1"/>
    </xf>
    <xf numFmtId="0" fontId="28" fillId="0" borderId="92" xfId="8" applyFont="1" applyBorder="1" applyAlignment="1">
      <alignment vertical="center" wrapText="1"/>
    </xf>
    <xf numFmtId="181" fontId="28" fillId="0" borderId="93" xfId="9" applyNumberFormat="1" applyFont="1" applyBorder="1" applyAlignment="1">
      <alignment horizontal="right" vertical="center"/>
    </xf>
    <xf numFmtId="0" fontId="28" fillId="0" borderId="93" xfId="8" applyFont="1" applyBorder="1" applyAlignment="1">
      <alignment vertical="center" wrapText="1"/>
    </xf>
    <xf numFmtId="181" fontId="24" fillId="0" borderId="75" xfId="9" applyNumberFormat="1" applyFont="1" applyBorder="1" applyAlignment="1">
      <alignment horizontal="right" vertical="center"/>
    </xf>
    <xf numFmtId="0" fontId="28" fillId="2" borderId="75" xfId="9" applyFont="1" applyFill="1" applyBorder="1" applyAlignment="1">
      <alignment horizontal="left" vertical="center"/>
    </xf>
    <xf numFmtId="181" fontId="28" fillId="31" borderId="75" xfId="9" applyNumberFormat="1" applyFont="1" applyFill="1" applyBorder="1" applyAlignment="1">
      <alignment horizontal="right" vertical="center"/>
    </xf>
    <xf numFmtId="181" fontId="28" fillId="30" borderId="75" xfId="9" applyNumberFormat="1" applyFont="1" applyFill="1" applyBorder="1" applyAlignment="1">
      <alignment horizontal="right" vertical="center"/>
    </xf>
    <xf numFmtId="0" fontId="24" fillId="2" borderId="75" xfId="9" applyFont="1" applyFill="1" applyBorder="1" applyAlignment="1">
      <alignment horizontal="left" vertical="center"/>
    </xf>
    <xf numFmtId="181" fontId="24" fillId="31" borderId="75" xfId="9" applyNumberFormat="1" applyFont="1" applyFill="1" applyBorder="1" applyAlignment="1">
      <alignment horizontal="right" vertical="center"/>
    </xf>
    <xf numFmtId="181" fontId="24" fillId="30" borderId="75" xfId="9" applyNumberFormat="1" applyFont="1" applyFill="1" applyBorder="1" applyAlignment="1">
      <alignment horizontal="right" vertical="center"/>
    </xf>
    <xf numFmtId="0" fontId="24" fillId="2" borderId="93" xfId="9" applyFont="1" applyFill="1" applyBorder="1" applyAlignment="1">
      <alignment horizontal="left" vertical="center" indent="1"/>
    </xf>
    <xf numFmtId="0" fontId="24" fillId="2" borderId="75" xfId="9" applyFont="1" applyFill="1" applyBorder="1" applyAlignment="1">
      <alignment horizontal="left" vertical="center" wrapText="1"/>
    </xf>
    <xf numFmtId="181" fontId="28" fillId="0" borderId="75" xfId="9" applyNumberFormat="1" applyFont="1" applyBorder="1" applyAlignment="1">
      <alignment horizontal="right" vertical="center"/>
    </xf>
    <xf numFmtId="0" fontId="24" fillId="0" borderId="75" xfId="9" applyFont="1" applyBorder="1" applyAlignment="1">
      <alignment horizontal="left" vertical="center"/>
    </xf>
    <xf numFmtId="0" fontId="24" fillId="0" borderId="93" xfId="9" applyFont="1" applyBorder="1" applyAlignment="1">
      <alignment horizontal="left" vertical="center" indent="1"/>
    </xf>
    <xf numFmtId="0" fontId="24" fillId="0" borderId="75" xfId="9" applyFont="1" applyBorder="1" applyAlignment="1">
      <alignment horizontal="left" vertical="center" indent="1"/>
    </xf>
    <xf numFmtId="0" fontId="28" fillId="2" borderId="94" xfId="9" applyFont="1" applyFill="1" applyBorder="1" applyAlignment="1">
      <alignment horizontal="left" vertical="center"/>
    </xf>
    <xf numFmtId="0" fontId="32" fillId="0" borderId="0" xfId="8" applyFont="1"/>
    <xf numFmtId="0" fontId="28" fillId="0" borderId="75" xfId="9" applyFont="1" applyBorder="1" applyAlignment="1">
      <alignment horizontal="left" vertical="center"/>
    </xf>
    <xf numFmtId="0" fontId="24" fillId="0" borderId="93" xfId="9" applyFont="1" applyBorder="1" applyAlignment="1">
      <alignment horizontal="left" vertical="center"/>
    </xf>
    <xf numFmtId="0" fontId="24" fillId="0" borderId="75" xfId="9" applyFont="1" applyBorder="1" applyAlignment="1">
      <alignment horizontal="left" vertical="center" wrapText="1"/>
    </xf>
    <xf numFmtId="0" fontId="32" fillId="0" borderId="88" xfId="8" applyFont="1" applyBorder="1"/>
    <xf numFmtId="0" fontId="28" fillId="30" borderId="75" xfId="9" applyFont="1" applyFill="1" applyBorder="1" applyAlignment="1">
      <alignment horizontal="left" vertical="center"/>
    </xf>
    <xf numFmtId="0" fontId="28" fillId="30" borderId="93" xfId="9" applyFont="1" applyFill="1" applyBorder="1" applyAlignment="1">
      <alignment horizontal="left" vertical="center"/>
    </xf>
    <xf numFmtId="181" fontId="28" fillId="31" borderId="93" xfId="9" applyNumberFormat="1" applyFont="1" applyFill="1" applyBorder="1" applyAlignment="1">
      <alignment horizontal="right" vertical="center"/>
    </xf>
    <xf numFmtId="181" fontId="28" fillId="30" borderId="93" xfId="9" applyNumberFormat="1" applyFont="1" applyFill="1" applyBorder="1" applyAlignment="1">
      <alignment horizontal="right" vertical="center"/>
    </xf>
    <xf numFmtId="0" fontId="24" fillId="30" borderId="75" xfId="9" applyFont="1" applyFill="1" applyBorder="1" applyAlignment="1">
      <alignment horizontal="left" vertical="center" indent="1"/>
    </xf>
    <xf numFmtId="0" fontId="24" fillId="30" borderId="75" xfId="9" applyFont="1" applyFill="1" applyBorder="1" applyAlignment="1">
      <alignment horizontal="left" vertical="center"/>
    </xf>
    <xf numFmtId="0" fontId="24" fillId="0" borderId="0" xfId="9" applyFont="1" applyAlignment="1">
      <alignment horizontal="left" vertical="center"/>
    </xf>
    <xf numFmtId="181" fontId="24" fillId="0" borderId="0" xfId="9" applyNumberFormat="1" applyFont="1" applyAlignment="1">
      <alignment horizontal="right" vertical="center"/>
    </xf>
    <xf numFmtId="3" fontId="38" fillId="35" borderId="0" xfId="16" applyNumberFormat="1" applyFont="1" applyFill="1" applyAlignment="1">
      <alignment horizontal="center"/>
    </xf>
    <xf numFmtId="0" fontId="39" fillId="9" borderId="0" xfId="17" applyFont="1" applyFill="1" applyAlignment="1">
      <alignment horizontal="right"/>
    </xf>
    <xf numFmtId="0" fontId="38" fillId="35" borderId="0" xfId="16" applyFont="1" applyFill="1" applyAlignment="1">
      <alignment horizontal="center"/>
    </xf>
    <xf numFmtId="3" fontId="40" fillId="0" borderId="0" xfId="14" applyNumberFormat="1" applyFont="1" applyFill="1" applyBorder="1" applyAlignment="1">
      <alignment horizontal="left"/>
    </xf>
    <xf numFmtId="3" fontId="36" fillId="0" borderId="0" xfId="17" applyNumberFormat="1" applyFont="1"/>
    <xf numFmtId="3" fontId="40" fillId="36" borderId="0" xfId="14" applyNumberFormat="1" applyFont="1" applyFill="1" applyBorder="1" applyAlignment="1">
      <alignment horizontal="left"/>
    </xf>
    <xf numFmtId="3" fontId="40" fillId="0" borderId="0" xfId="14" applyNumberFormat="1" applyFont="1" applyFill="1" applyBorder="1" applyAlignment="1">
      <alignment horizontal="left" indent="1"/>
    </xf>
    <xf numFmtId="3" fontId="40" fillId="0" borderId="0" xfId="14" applyNumberFormat="1" applyFont="1" applyFill="1" applyBorder="1" applyAlignment="1"/>
    <xf numFmtId="3" fontId="37" fillId="0" borderId="0" xfId="14" applyNumberFormat="1" applyFont="1" applyFill="1" applyBorder="1" applyAlignment="1">
      <alignment horizontal="left" indent="2"/>
    </xf>
    <xf numFmtId="3" fontId="37" fillId="0" borderId="0" xfId="14" applyNumberFormat="1" applyFont="1" applyFill="1" applyBorder="1" applyAlignment="1"/>
    <xf numFmtId="3" fontId="40" fillId="36" borderId="0" xfId="14" applyNumberFormat="1" applyFont="1" applyFill="1" applyBorder="1" applyAlignment="1"/>
    <xf numFmtId="3" fontId="41" fillId="0" borderId="0" xfId="14" applyNumberFormat="1" applyFont="1" applyFill="1" applyBorder="1" applyAlignment="1"/>
    <xf numFmtId="3" fontId="5" fillId="0" borderId="0" xfId="14" applyNumberFormat="1" applyFont="1" applyFill="1" applyBorder="1" applyAlignment="1"/>
    <xf numFmtId="3" fontId="40" fillId="9" borderId="0" xfId="14" applyNumberFormat="1" applyFont="1" applyFill="1" applyBorder="1" applyAlignment="1"/>
    <xf numFmtId="184" fontId="38" fillId="35" borderId="0" xfId="16" applyNumberFormat="1" applyFont="1" applyFill="1" applyAlignment="1">
      <alignment horizontal="center" vertical="center"/>
    </xf>
    <xf numFmtId="0" fontId="36" fillId="9" borderId="0" xfId="17" applyFont="1" applyFill="1"/>
    <xf numFmtId="3" fontId="36" fillId="9" borderId="0" xfId="17" applyNumberFormat="1" applyFont="1" applyFill="1"/>
    <xf numFmtId="184" fontId="43" fillId="0" borderId="0" xfId="16" applyNumberFormat="1" applyFont="1"/>
    <xf numFmtId="3" fontId="41" fillId="37" borderId="0" xfId="14" applyNumberFormat="1" applyFont="1" applyFill="1" applyBorder="1" applyAlignment="1"/>
    <xf numFmtId="3" fontId="42" fillId="33" borderId="0" xfId="16" applyNumberFormat="1" applyFont="1" applyFill="1"/>
    <xf numFmtId="3" fontId="41" fillId="36" borderId="0" xfId="14" applyNumberFormat="1" applyFont="1" applyFill="1"/>
    <xf numFmtId="3" fontId="40" fillId="0" borderId="0" xfId="14" applyNumberFormat="1" applyFont="1" applyAlignment="1">
      <alignment horizontal="right"/>
    </xf>
    <xf numFmtId="3" fontId="37" fillId="0" borderId="0" xfId="14" applyNumberFormat="1" applyFont="1" applyAlignment="1">
      <alignment horizontal="right"/>
    </xf>
    <xf numFmtId="3" fontId="37" fillId="0" borderId="0" xfId="14" applyNumberFormat="1" applyFont="1"/>
    <xf numFmtId="3" fontId="40" fillId="36" borderId="0" xfId="14" applyNumberFormat="1" applyFont="1" applyFill="1"/>
    <xf numFmtId="3" fontId="40" fillId="0" borderId="0" xfId="14" applyNumberFormat="1" applyFont="1"/>
    <xf numFmtId="3" fontId="38" fillId="35" borderId="0" xfId="16" applyNumberFormat="1" applyFont="1" applyFill="1"/>
    <xf numFmtId="0" fontId="37" fillId="30" borderId="0" xfId="21" applyFont="1" applyFill="1"/>
    <xf numFmtId="49" fontId="38" fillId="35" borderId="0" xfId="21" applyNumberFormat="1" applyFont="1" applyFill="1" applyAlignment="1">
      <alignment horizontal="center" vertical="center" wrapText="1"/>
    </xf>
    <xf numFmtId="0" fontId="40" fillId="30" borderId="0" xfId="21" applyFont="1" applyFill="1" applyAlignment="1">
      <alignment vertical="center"/>
    </xf>
    <xf numFmtId="182" fontId="40" fillId="34" borderId="0" xfId="21" applyNumberFormat="1" applyFont="1" applyFill="1" applyAlignment="1">
      <alignment horizontal="center" vertical="center"/>
    </xf>
    <xf numFmtId="0" fontId="37" fillId="30" borderId="0" xfId="21" applyFont="1" applyFill="1" applyAlignment="1">
      <alignment vertical="center"/>
    </xf>
    <xf numFmtId="182" fontId="37" fillId="34" borderId="0" xfId="21" applyNumberFormat="1" applyFont="1" applyFill="1" applyAlignment="1">
      <alignment horizontal="center" vertical="center"/>
    </xf>
    <xf numFmtId="0" fontId="44" fillId="32" borderId="0" xfId="21" applyFont="1" applyFill="1" applyAlignment="1">
      <alignment vertical="center"/>
    </xf>
    <xf numFmtId="183" fontId="38" fillId="35" borderId="0" xfId="21" applyNumberFormat="1" applyFont="1" applyFill="1" applyAlignment="1">
      <alignment horizontal="center" vertical="center"/>
    </xf>
    <xf numFmtId="0" fontId="45" fillId="30" borderId="0" xfId="21" applyFont="1" applyFill="1" applyAlignment="1">
      <alignment vertical="center"/>
    </xf>
    <xf numFmtId="182" fontId="45" fillId="34" borderId="0" xfId="21" applyNumberFormat="1" applyFont="1" applyFill="1" applyAlignment="1">
      <alignment horizontal="center" vertical="center"/>
    </xf>
    <xf numFmtId="166" fontId="45" fillId="34" borderId="0" xfId="21" applyNumberFormat="1" applyFont="1" applyFill="1" applyAlignment="1">
      <alignment horizontal="center" vertical="center"/>
    </xf>
    <xf numFmtId="182" fontId="38" fillId="35" borderId="0" xfId="21" applyNumberFormat="1" applyFont="1" applyFill="1" applyAlignment="1">
      <alignment horizontal="center" vertical="center"/>
    </xf>
    <xf numFmtId="0" fontId="127" fillId="0" borderId="131" xfId="34" quotePrefix="1" applyNumberFormat="1" applyFont="1" applyBorder="1" applyAlignment="1">
      <alignment horizontal="left" vertical="top" wrapText="1"/>
    </xf>
    <xf numFmtId="0" fontId="121" fillId="0" borderId="0" xfId="34" quotePrefix="1" applyNumberFormat="1" applyFont="1" applyAlignment="1">
      <alignment vertical="center"/>
    </xf>
    <xf numFmtId="0" fontId="121" fillId="0" borderId="126" xfId="34" quotePrefix="1" applyNumberFormat="1" applyFont="1" applyBorder="1" applyAlignment="1">
      <alignment horizontal="left" vertical="center"/>
    </xf>
    <xf numFmtId="0" fontId="116" fillId="0" borderId="127" xfId="34" applyNumberFormat="1" applyFont="1" applyBorder="1" applyAlignment="1">
      <alignment horizontal="center" vertical="center"/>
    </xf>
    <xf numFmtId="0" fontId="123" fillId="0" borderId="129" xfId="34" applyNumberFormat="1" applyFont="1" applyBorder="1" applyAlignment="1">
      <alignment horizontal="left" vertical="center" wrapText="1" indent="1"/>
    </xf>
    <xf numFmtId="0" fontId="121" fillId="0" borderId="129" xfId="34" applyNumberFormat="1" applyFont="1" applyBorder="1" applyAlignment="1">
      <alignment horizontal="left" vertical="center" wrapText="1" indent="1"/>
    </xf>
    <xf numFmtId="0" fontId="125" fillId="0" borderId="0" xfId="29" applyFont="1"/>
    <xf numFmtId="0" fontId="121" fillId="0" borderId="129" xfId="40" quotePrefix="1" applyNumberFormat="1" applyFont="1" applyBorder="1" applyAlignment="1">
      <alignment horizontal="left" vertical="center" wrapText="1" indent="1"/>
    </xf>
    <xf numFmtId="0" fontId="126" fillId="0" borderId="0" xfId="29" applyFont="1"/>
    <xf numFmtId="0" fontId="121" fillId="0" borderId="129" xfId="34" applyNumberFormat="1" applyFont="1" applyBorder="1" applyAlignment="1">
      <alignment horizontal="left" vertical="center" wrapText="1" indent="3"/>
    </xf>
    <xf numFmtId="0" fontId="121" fillId="0" borderId="126" xfId="34" quotePrefix="1" applyNumberFormat="1" applyFont="1" applyBorder="1" applyAlignment="1">
      <alignment horizontal="left" vertical="center" wrapText="1"/>
    </xf>
    <xf numFmtId="0" fontId="121" fillId="0" borderId="132" xfId="34" applyNumberFormat="1" applyFont="1" applyBorder="1" applyAlignment="1">
      <alignment horizontal="left" vertical="center" wrapText="1" indent="3"/>
    </xf>
    <xf numFmtId="186" fontId="123" fillId="0" borderId="126" xfId="40" applyNumberFormat="1" applyFont="1" applyBorder="1" applyAlignment="1">
      <alignment horizontal="left" vertical="center" indent="1"/>
    </xf>
    <xf numFmtId="0" fontId="123" fillId="0" borderId="128" xfId="40" quotePrefix="1" applyNumberFormat="1" applyFont="1" applyBorder="1" applyAlignment="1">
      <alignment horizontal="right" vertical="center" wrapText="1" indent="1"/>
    </xf>
    <xf numFmtId="0" fontId="121" fillId="10" borderId="129" xfId="40" quotePrefix="1" applyNumberFormat="1" applyFont="1" applyFill="1" applyBorder="1" applyAlignment="1">
      <alignment horizontal="left" vertical="center" wrapText="1" indent="1"/>
    </xf>
    <xf numFmtId="0" fontId="123" fillId="0" borderId="129" xfId="40" quotePrefix="1" applyNumberFormat="1" applyFont="1" applyBorder="1" applyAlignment="1">
      <alignment horizontal="right" vertical="center"/>
    </xf>
    <xf numFmtId="0" fontId="124" fillId="0" borderId="129" xfId="40" quotePrefix="1" applyNumberFormat="1" applyFont="1" applyBorder="1" applyAlignment="1">
      <alignment horizontal="left" vertical="center" wrapText="1" indent="1"/>
    </xf>
    <xf numFmtId="0" fontId="121" fillId="0" borderId="129" xfId="40" quotePrefix="1" applyNumberFormat="1" applyFont="1" applyBorder="1" applyAlignment="1">
      <alignment horizontal="left" vertical="center" indent="1"/>
    </xf>
    <xf numFmtId="0" fontId="123" fillId="0" borderId="130" xfId="40" quotePrefix="1" applyNumberFormat="1" applyFont="1" applyBorder="1" applyAlignment="1">
      <alignment horizontal="right" vertical="center" wrapText="1"/>
    </xf>
    <xf numFmtId="186" fontId="0" fillId="0" borderId="0" xfId="0" applyNumberFormat="1"/>
    <xf numFmtId="0" fontId="122" fillId="0" borderId="127" xfId="34" quotePrefix="1" applyNumberFormat="1" applyFont="1" applyBorder="1" applyAlignment="1">
      <alignment vertical="center"/>
    </xf>
    <xf numFmtId="174" fontId="16" fillId="0" borderId="38" xfId="0" applyNumberFormat="1" applyFont="1" applyBorder="1" applyAlignment="1">
      <alignment horizontal="right" vertical="center"/>
    </xf>
    <xf numFmtId="43" fontId="0" fillId="0" borderId="0" xfId="7" applyFont="1"/>
    <xf numFmtId="165" fontId="0" fillId="0" borderId="0" xfId="1" applyNumberFormat="1" applyFont="1"/>
    <xf numFmtId="0" fontId="0" fillId="0" borderId="133" xfId="0" applyBorder="1"/>
    <xf numFmtId="0" fontId="128" fillId="0" borderId="92" xfId="0" applyFont="1" applyBorder="1" applyAlignment="1">
      <alignment horizontal="center"/>
    </xf>
    <xf numFmtId="0" fontId="128" fillId="0" borderId="92" xfId="0" applyFont="1" applyBorder="1" applyAlignment="1">
      <alignment horizontal="centerContinuous"/>
    </xf>
    <xf numFmtId="178" fontId="0" fillId="0" borderId="0" xfId="0" applyNumberFormat="1"/>
    <xf numFmtId="10" fontId="18" fillId="0" borderId="0" xfId="1" applyNumberFormat="1" applyFont="1" applyBorder="1" applyAlignment="1">
      <alignment vertical="center"/>
    </xf>
    <xf numFmtId="174" fontId="16" fillId="0" borderId="0" xfId="0" applyNumberFormat="1" applyFont="1" applyAlignment="1">
      <alignment horizontal="right" vertical="center"/>
    </xf>
    <xf numFmtId="174" fontId="6" fillId="0" borderId="41" xfId="0" applyNumberFormat="1" applyFont="1" applyBorder="1" applyAlignment="1">
      <alignment vertical="center"/>
    </xf>
    <xf numFmtId="10" fontId="6" fillId="0" borderId="135" xfId="1" applyNumberFormat="1" applyFont="1" applyBorder="1" applyAlignment="1">
      <alignment horizontal="right" vertical="center"/>
    </xf>
    <xf numFmtId="174" fontId="8" fillId="2" borderId="136" xfId="0" applyNumberFormat="1" applyFont="1" applyFill="1" applyBorder="1" applyAlignment="1">
      <alignment horizontal="left" vertical="center"/>
    </xf>
    <xf numFmtId="10" fontId="6" fillId="0" borderId="137" xfId="1" applyNumberFormat="1" applyFont="1" applyBorder="1" applyAlignment="1">
      <alignment horizontal="right" vertical="center"/>
    </xf>
    <xf numFmtId="174" fontId="6" fillId="0" borderId="137" xfId="0" applyNumberFormat="1" applyFont="1" applyBorder="1" applyAlignment="1">
      <alignment horizontal="right" vertical="center"/>
    </xf>
    <xf numFmtId="174" fontId="8" fillId="2" borderId="138" xfId="0" applyNumberFormat="1" applyFont="1" applyFill="1" applyBorder="1" applyAlignment="1">
      <alignment horizontal="left" vertical="center"/>
    </xf>
    <xf numFmtId="174" fontId="19" fillId="2" borderId="134" xfId="0" applyNumberFormat="1" applyFont="1" applyFill="1" applyBorder="1" applyAlignment="1">
      <alignment horizontal="left" vertical="center"/>
    </xf>
    <xf numFmtId="174" fontId="19" fillId="2" borderId="136" xfId="0" applyNumberFormat="1" applyFont="1" applyFill="1" applyBorder="1" applyAlignment="1">
      <alignment horizontal="left" vertical="center"/>
    </xf>
    <xf numFmtId="0" fontId="0" fillId="0" borderId="134" xfId="0" applyBorder="1"/>
    <xf numFmtId="10" fontId="0" fillId="0" borderId="135" xfId="0" applyNumberFormat="1" applyBorder="1"/>
    <xf numFmtId="0" fontId="0" fillId="0" borderId="136" xfId="0" applyBorder="1"/>
    <xf numFmtId="10" fontId="0" fillId="0" borderId="137" xfId="0" applyNumberFormat="1" applyBorder="1"/>
    <xf numFmtId="0" fontId="0" fillId="0" borderId="137" xfId="0" applyBorder="1"/>
    <xf numFmtId="0" fontId="129" fillId="0" borderId="138" xfId="0" applyFont="1" applyBorder="1"/>
    <xf numFmtId="0" fontId="129" fillId="0" borderId="139" xfId="0" applyFont="1" applyBorder="1"/>
    <xf numFmtId="0" fontId="0" fillId="0" borderId="135" xfId="0" applyBorder="1"/>
    <xf numFmtId="178" fontId="0" fillId="0" borderId="137" xfId="0" applyNumberFormat="1" applyBorder="1" applyAlignment="1">
      <alignment horizontal="center"/>
    </xf>
    <xf numFmtId="0" fontId="0" fillId="0" borderId="137" xfId="0" applyBorder="1" applyAlignment="1">
      <alignment horizontal="center"/>
    </xf>
    <xf numFmtId="178" fontId="129" fillId="0" borderId="139" xfId="0" applyNumberFormat="1" applyFont="1" applyBorder="1"/>
    <xf numFmtId="10" fontId="0" fillId="0" borderId="135" xfId="1" applyNumberFormat="1" applyFont="1" applyBorder="1"/>
    <xf numFmtId="165" fontId="0" fillId="0" borderId="137" xfId="1" applyNumberFormat="1" applyFont="1" applyBorder="1"/>
    <xf numFmtId="0" fontId="129" fillId="0" borderId="136" xfId="0" applyFont="1" applyBorder="1"/>
    <xf numFmtId="0" fontId="129" fillId="0" borderId="137" xfId="0" applyFont="1" applyBorder="1"/>
    <xf numFmtId="10" fontId="129" fillId="0" borderId="139" xfId="0" applyNumberFormat="1" applyFont="1" applyBorder="1"/>
    <xf numFmtId="10" fontId="19" fillId="0" borderId="4" xfId="1" applyNumberFormat="1" applyFont="1" applyBorder="1" applyAlignment="1">
      <alignment horizontal="right" vertical="center"/>
    </xf>
    <xf numFmtId="174" fontId="16" fillId="0" borderId="139" xfId="0" applyNumberFormat="1" applyFont="1" applyBorder="1" applyAlignment="1">
      <alignment horizontal="right" vertical="center"/>
    </xf>
    <xf numFmtId="0" fontId="129" fillId="0" borderId="0" xfId="0" applyFont="1"/>
    <xf numFmtId="205" fontId="9" fillId="0" borderId="19" xfId="0" applyNumberFormat="1" applyFont="1" applyBorder="1" applyAlignment="1">
      <alignment horizontal="right" vertical="center"/>
    </xf>
    <xf numFmtId="0" fontId="8" fillId="7" borderId="82" xfId="0" applyFont="1" applyFill="1" applyBorder="1" applyAlignment="1">
      <alignment horizontal="center" vertical="center"/>
    </xf>
    <xf numFmtId="0" fontId="8" fillId="7" borderId="83" xfId="0" applyFont="1" applyFill="1" applyBorder="1" applyAlignment="1">
      <alignment horizontal="center" vertical="center"/>
    </xf>
    <xf numFmtId="0" fontId="8" fillId="7" borderId="84" xfId="0" applyFont="1" applyFill="1" applyBorder="1" applyAlignment="1">
      <alignment horizontal="center" vertical="center"/>
    </xf>
    <xf numFmtId="0" fontId="8" fillId="7" borderId="140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30" fillId="0" borderId="0" xfId="0" applyFont="1" applyAlignment="1">
      <alignment horizontal="center"/>
    </xf>
  </cellXfs>
  <cellStyles count="3104">
    <cellStyle name="%" xfId="39" xr:uid="{4B24494C-98FB-4B3A-AB02-D7E9D87B639E}"/>
    <cellStyle name="% 2" xfId="44" xr:uid="{9584A112-EEC0-4A3E-8E82-8BC6FE1063FA}"/>
    <cellStyle name="?_x001d_?'&amp;Oy—&amp;Hy_x000b__x0008_?_x0005_v_x0006__x000f__x0001__x0001_" xfId="34" xr:uid="{7C8DB9D1-36FC-4551-AF1C-B621B75F49B7}"/>
    <cellStyle name="?_x001d_?'&amp;Oy—&amp;Hy_x000b__x0008_?_x0005_v_x0006__x000f__x0001__x0001_ 2" xfId="36" xr:uid="{50EC395A-D351-47F6-AF7A-DF5601105C7A}"/>
    <cellStyle name="?_x001d_?'&amp;Oy—&amp;Hy_x000b__x0008_?_x0005_v_x0006__x000f__x0001__x0001_ 2 2" xfId="41" xr:uid="{B3175622-6FE8-4251-BF62-9445F910511F}"/>
    <cellStyle name="?_x001d_?'&amp;Oy—&amp;Hy_x000b__x0008_?_x0005_v_x0006__x000f__x0001__x0001_ 2 2 2" xfId="33" xr:uid="{0C249E3F-EF5C-422B-970F-FC3F66FC142D}"/>
    <cellStyle name="?_x001d_?'&amp;Oy—&amp;Hy_x000b__x0008_?_x0005_v_x0006__x000f__x0001__x0001_ 2 3" xfId="43" xr:uid="{554AFD76-A67C-4984-9378-23DD1083C110}"/>
    <cellStyle name="?_x001d_?'&amp;Oy—&amp;Hy_x000b__x0008_?_x0005_v_x0006__x000f__x0001__x0001_ 2 4" xfId="40" xr:uid="{07CEE698-052C-493E-94CD-17365F1BD297}"/>
    <cellStyle name="?_x001d_?'&amp;Oy—&amp;Hy_x000b__x0008_?_x0005_v_x0006__x000f__x0001__x0001_ 3" xfId="38" xr:uid="{57480505-72BD-44BE-AFD6-EE7A77A1E0B2}"/>
    <cellStyle name="?_x001d_?'&amp;Oy—&amp;Hy_x000b__x0008_?_x0005_v_x0006__x000f__x0001__x0001_ 3 2" xfId="46" xr:uid="{8A1144F4-9B50-402C-B026-224AEBA12150}"/>
    <cellStyle name="?_x001d_?'&amp;Oy—&amp;Hy_x000b__x0008_?_x0005_v_x0006__x000f__x0001__x0001_ 3 3" xfId="31" xr:uid="{0A8466B0-38F2-4FE2-ACDB-CF813C82C9D1}"/>
    <cellStyle name="?_x001d_?'&amp;Oy—&amp;Hy_x000b__x0008_?_x0005_v_x0006__x000f__x0001__x0001_ 4" xfId="35" xr:uid="{6B47D588-2686-4C98-94F9-A3942D64911C}"/>
    <cellStyle name="?_x001d_?'&amp;Oy—&amp;Hy_x000b__x0008_?_x0005_v_x0006__x000f__x0001__x0001_ 5" xfId="37" xr:uid="{61377391-DE52-47A7-BAB7-789236DFA999}"/>
    <cellStyle name="_(B) R&amp;M" xfId="47" xr:uid="{39FACFFB-6E43-42FD-A08C-9E2C30EED5E2}"/>
    <cellStyle name="_(B) R&amp;M 2" xfId="45" xr:uid="{F7DA892B-1307-4244-A57C-37AB7A5A2DD7}"/>
    <cellStyle name="_(G.1) CAPEX" xfId="32" xr:uid="{E2054734-43DE-439F-BB39-BE4F21C3D2EB}"/>
    <cellStyle name="_(G.1) CAPEX 2" xfId="42" xr:uid="{DAB51443-ACDB-4180-9CB3-4727E279440C}"/>
    <cellStyle name="_(H) Main Control Sheet" xfId="48" xr:uid="{88062C08-4BD6-4CB9-AEA0-D47E2B953088}"/>
    <cellStyle name="_(H) Main Control Sheet 2" xfId="49" xr:uid="{AB63F6E7-0733-4A4B-8F28-955A2D8D9291}"/>
    <cellStyle name="_(H) Main Control Sheet 2 2" xfId="50" xr:uid="{90B87AE7-FE40-444F-A441-0BDBB890AEEC}"/>
    <cellStyle name="_(H) Main Control Sheet 3" xfId="51" xr:uid="{4B14B9D5-CFB4-4892-BC5D-259099D3C0C6}"/>
    <cellStyle name="_(H) Main Control Sheet_(A) E&amp;P" xfId="52" xr:uid="{4712C2C1-173E-459C-A060-39C1B1F61AF7}"/>
    <cellStyle name="_(H) Main Control Sheet_(A) E&amp;P 2" xfId="53" xr:uid="{533AEE65-A3AA-40A0-91A0-284941D7BD81}"/>
    <cellStyle name="_(H) Main Control Sheet_(A) E&amp;P 2 2" xfId="54" xr:uid="{E9508297-F3DF-4B50-9D2D-4CDA339DB30A}"/>
    <cellStyle name="_(H) Main Control Sheet_(A) E&amp;P 3" xfId="55" xr:uid="{2FC3259F-D55A-44AD-AD81-884C17C03019}"/>
    <cellStyle name="_(H) Main Control Sheet_(B) R&amp;M" xfId="56" xr:uid="{8047041B-F167-4ED0-AF3E-9DCA4AB7751C}"/>
    <cellStyle name="_(H) Main Control Sheet_(C) G&amp;P" xfId="57" xr:uid="{B4851DDA-A44C-4391-B2EF-F841CE814883}"/>
    <cellStyle name="_(H) Main Control Sheet_(C) G&amp;P 2" xfId="58" xr:uid="{BCD7411A-7035-403D-8339-E4A3F70C1E89}"/>
    <cellStyle name="_(H) Main Control Sheet_(C) G&amp;P 2 2" xfId="59" xr:uid="{F54352FE-A6C9-41AC-83E5-F6155118F0D6}"/>
    <cellStyle name="_(H) Main Control Sheet_(C) G&amp;P 3" xfId="60" xr:uid="{F278E2D5-656D-4817-95B7-C5C9FDADA661}"/>
    <cellStyle name="_(H) Main Control Sheet_(H) Main Control Sheet" xfId="61" xr:uid="{098D7950-A96B-4C3C-B2D1-E4DBA8C341EC}"/>
    <cellStyle name="_(H) Main Control Sheet_(H) Main Control Sheet 2" xfId="62" xr:uid="{F135D628-BF25-4C8F-A3A5-C733ADBC1F69}"/>
    <cellStyle name="_(H) Main Control Sheet_(H) Main Control Sheet 2 2" xfId="63" xr:uid="{48CCA594-67C7-40DC-A243-DBB26C36A3AC}"/>
    <cellStyle name="_(H) Main Control Sheet_(H) Main Control Sheet 3" xfId="64" xr:uid="{B6CE5905-D89B-4FBD-BABC-39CD26A34C76}"/>
    <cellStyle name="_(H) Main Control Sheet_Cenários Venda IR GN" xfId="65" xr:uid="{089394DB-F059-415F-98DE-9F605842EA88}"/>
    <cellStyle name="_(H) Main Control Sheet_E&amp;P_alterado" xfId="66" xr:uid="{D8D551AA-4B35-4AB3-A0D7-1A2658D170CB}"/>
    <cellStyle name="_(H) Main Control Sheet_E&amp;P_alterado 2" xfId="67" xr:uid="{B34455B2-9029-4F9A-AA1D-9BB60F89D93B}"/>
    <cellStyle name="_(H) Main Control Sheet_E&amp;P_alterado 2 2" xfId="68" xr:uid="{2C9FAAE2-0FA9-4F32-9D0C-7A7F4095D190}"/>
    <cellStyle name="_(H) Main Control Sheet_E&amp;P_alterado 3" xfId="69" xr:uid="{B5F319B8-FBE1-4FCC-80D1-4927DDF7DC97}"/>
    <cellStyle name="_(H) Main Control Sheet_Modelo O&amp;P 2011-15 v30_08" xfId="70" xr:uid="{ECE7370D-1F8C-4CA1-9C0B-68C3D79AD487}"/>
    <cellStyle name="_Cenários Venda IR GN" xfId="71" xr:uid="{ED6AC244-41A6-4D42-A522-540FAA2F48EF}"/>
    <cellStyle name="_III Forecast 2010_base resultados 8M10_EP" xfId="72" xr:uid="{38DCFC72-C2E6-4337-B2D8-DC0C84C18C8F}"/>
    <cellStyle name="_III Forecast 2010_base resultados 8M10_EP 2" xfId="73" xr:uid="{645D489D-E2D3-4D7F-9C34-8ED1898C2BC5}"/>
    <cellStyle name="_Resumo - Proveitos. Permitidos 2010-2014_AC" xfId="74" xr:uid="{12267BF7-C7B3-4E7A-B352-BE87E35D7DF0}"/>
    <cellStyle name="_Resumo - Proveitos. Permitidos 2010-2014_AC 2" xfId="75" xr:uid="{278DA0D6-A4FA-49E7-8719-7B53F94C7864}"/>
    <cellStyle name="_Sheet1" xfId="76" xr:uid="{15653BBE-B092-40FF-B0CC-3C30841BC9D4}"/>
    <cellStyle name="=C:\WINNT\SYSTEM32\COMMAND.COM" xfId="25" xr:uid="{C47FFFF8-CEAE-4738-84D6-EC14350DC394}"/>
    <cellStyle name="=C:\WINNT\SYSTEM32\COMMAND.COM 2" xfId="14" xr:uid="{9E0245B7-CE86-43E1-B0A6-7F0F08F32E80}"/>
    <cellStyle name="20% - Accent1 10" xfId="77" xr:uid="{AEB08C1E-C93F-4DA9-B386-3240ACDE7F4B}"/>
    <cellStyle name="20% - Accent1 11" xfId="78" xr:uid="{CC01CDC7-9172-4401-9507-C5881D954500}"/>
    <cellStyle name="20% - Accent1 12" xfId="79" xr:uid="{D91B47DE-BD54-4F27-8378-D43EE4781036}"/>
    <cellStyle name="20% - Accent1 13" xfId="80" xr:uid="{4C84ED62-7D95-4290-A39E-9617AD67B13C}"/>
    <cellStyle name="20% - Accent1 14" xfId="81" xr:uid="{90A2658B-88DC-442E-B259-86BDFD3F10C6}"/>
    <cellStyle name="20% - Accent1 15" xfId="82" xr:uid="{32B0CE65-36B1-41F0-98C9-E401EBEC02DA}"/>
    <cellStyle name="20% - Accent1 16" xfId="83" xr:uid="{FC78C8F7-1714-42BF-BAA5-DA887CE5B0A7}"/>
    <cellStyle name="20% - Accent1 17" xfId="84" xr:uid="{F0671354-C655-4098-BAD9-E5930E3CCC5A}"/>
    <cellStyle name="20% - Accent1 2" xfId="85" xr:uid="{540485E3-1280-43B4-AB21-6A13EC85922C}"/>
    <cellStyle name="20% - Accent1 2 2" xfId="86" xr:uid="{4023E139-15E3-4DE8-8462-41D99C0B5958}"/>
    <cellStyle name="20% - Accent1 2 3" xfId="87" xr:uid="{1DA4C34F-F688-4A75-A374-EA2E00EDEE1E}"/>
    <cellStyle name="20% - Accent1 3" xfId="88" xr:uid="{063598FC-FD18-4EDD-B90F-B835822E8ED8}"/>
    <cellStyle name="20% - Accent1 4" xfId="89" xr:uid="{A44598DB-ED3B-4431-AB6D-20EA1A36BBFB}"/>
    <cellStyle name="20% - Accent1 5" xfId="90" xr:uid="{2DF58B77-D14D-4740-BB6F-8E17F2187D2A}"/>
    <cellStyle name="20% - Accent1 6" xfId="91" xr:uid="{2788EB7E-BAE4-4C30-981B-6DB575AE616E}"/>
    <cellStyle name="20% - Accent1 7" xfId="92" xr:uid="{A9691880-CFDB-436B-883A-CA31859FD344}"/>
    <cellStyle name="20% - Accent1 8" xfId="93" xr:uid="{97FA4682-E389-4303-B3FF-E3F8380EC29E}"/>
    <cellStyle name="20% - Accent1 9" xfId="94" xr:uid="{48A29BCC-C218-450D-BAF8-D4870A935536}"/>
    <cellStyle name="20% - Accent2 10" xfId="95" xr:uid="{2505551C-ECCC-4EA1-9478-EE7D6DA25C5F}"/>
    <cellStyle name="20% - Accent2 11" xfId="96" xr:uid="{E7B618B1-6D9C-4630-8753-9771CC40C2AA}"/>
    <cellStyle name="20% - Accent2 12" xfId="97" xr:uid="{7F8D3E57-3590-4E51-85FF-41EF7956C6A9}"/>
    <cellStyle name="20% - Accent2 13" xfId="98" xr:uid="{DD622078-8E48-4CD7-ABE5-F96FCDA9CF9B}"/>
    <cellStyle name="20% - Accent2 14" xfId="99" xr:uid="{CB5F8C6F-D760-431E-B3A2-59C04FE985F8}"/>
    <cellStyle name="20% - Accent2 15" xfId="100" xr:uid="{8EDC6C79-779D-436D-82B6-4A4170E6D8CD}"/>
    <cellStyle name="20% - Accent2 16" xfId="101" xr:uid="{23AB72B7-0A69-43C4-B140-E3EAF70AFF8C}"/>
    <cellStyle name="20% - Accent2 17" xfId="102" xr:uid="{B59E6BBD-FB01-4106-B432-8A402C0BD245}"/>
    <cellStyle name="20% - Accent2 2" xfId="103" xr:uid="{E8F86144-C5D0-4D76-8AB7-63AA738478B0}"/>
    <cellStyle name="20% - Accent2 2 2" xfId="104" xr:uid="{92C1CDD5-AD65-49C3-A9A4-0573B3B18CF5}"/>
    <cellStyle name="20% - Accent2 2 3" xfId="105" xr:uid="{05C920A1-0076-4E7B-84D7-616C95477540}"/>
    <cellStyle name="20% - Accent2 3" xfId="106" xr:uid="{6748248E-CA8E-4D6C-B05F-D47CE3F9C0CB}"/>
    <cellStyle name="20% - Accent2 4" xfId="107" xr:uid="{250A1764-C0B3-495A-8750-8E07E39D8B04}"/>
    <cellStyle name="20% - Accent2 5" xfId="108" xr:uid="{F4F64616-E0FF-4801-A807-F06E6481A598}"/>
    <cellStyle name="20% - Accent2 6" xfId="109" xr:uid="{F2A420D2-CAE0-45F7-9726-DD8A09109919}"/>
    <cellStyle name="20% - Accent2 7" xfId="110" xr:uid="{01F7C715-73C2-4D4D-8CD2-ACF0CE05FC79}"/>
    <cellStyle name="20% - Accent2 8" xfId="111" xr:uid="{3CD6943E-E0AB-4A4E-AF66-516B5EC44BCD}"/>
    <cellStyle name="20% - Accent2 9" xfId="112" xr:uid="{92D5EFF4-CAB5-4342-BEE1-46DA8E2D925B}"/>
    <cellStyle name="20% - Accent3 10" xfId="113" xr:uid="{87C7EC54-F9A4-4C7A-83B0-73164360AC8D}"/>
    <cellStyle name="20% - Accent3 11" xfId="114" xr:uid="{2982BEFD-98B5-4EB9-910C-36354E989F9A}"/>
    <cellStyle name="20% - Accent3 12" xfId="115" xr:uid="{AEF3043F-0F74-48A8-8E05-417E3A0FE20D}"/>
    <cellStyle name="20% - Accent3 13" xfId="116" xr:uid="{ECD55231-626A-4C4E-BA44-F6F42E8DD3D3}"/>
    <cellStyle name="20% - Accent3 14" xfId="117" xr:uid="{D737474D-F820-4090-AA05-5899F5B75A18}"/>
    <cellStyle name="20% - Accent3 15" xfId="118" xr:uid="{97DCF996-FD91-4030-BE66-E06F945C6B0A}"/>
    <cellStyle name="20% - Accent3 16" xfId="119" xr:uid="{6AE01558-8116-45BC-AFE2-D1FFCE9E7B68}"/>
    <cellStyle name="20% - Accent3 17" xfId="120" xr:uid="{F300824D-0B53-4958-A3DF-BA1C3A33F886}"/>
    <cellStyle name="20% - Accent3 2" xfId="121" xr:uid="{78265885-BCB4-4A41-99BF-5611BE8B3322}"/>
    <cellStyle name="20% - Accent3 2 2" xfId="122" xr:uid="{BB33AFB6-4057-4579-9E36-175E910227EC}"/>
    <cellStyle name="20% - Accent3 2 3" xfId="123" xr:uid="{B233E67D-B819-4B4F-94BF-3A0366BA8572}"/>
    <cellStyle name="20% - Accent3 3" xfId="124" xr:uid="{E0303E2C-6954-4C33-A52B-52F9D3B22ACE}"/>
    <cellStyle name="20% - Accent3 4" xfId="125" xr:uid="{0590D31F-1AE9-4F33-A1B8-96DDD648BB38}"/>
    <cellStyle name="20% - Accent3 5" xfId="126" xr:uid="{06BE1F53-E25C-4413-89A2-DE11D3D823AB}"/>
    <cellStyle name="20% - Accent3 6" xfId="127" xr:uid="{67FFA62B-7BDF-44E7-BCE0-4E96D421B6ED}"/>
    <cellStyle name="20% - Accent3 7" xfId="128" xr:uid="{07E41619-1C2C-48A6-B9FB-8D255D04E063}"/>
    <cellStyle name="20% - Accent3 8" xfId="129" xr:uid="{329758C4-0FA4-4469-A444-C6AE13D5CA98}"/>
    <cellStyle name="20% - Accent3 9" xfId="130" xr:uid="{4CF9DCB0-2F00-4E6A-AD8A-22F578F4FCE1}"/>
    <cellStyle name="20% - Accent4 10" xfId="131" xr:uid="{A9FB3E32-7DB2-4EF9-94FA-C57CCAA257C9}"/>
    <cellStyle name="20% - Accent4 11" xfId="132" xr:uid="{A2C7D28F-C8D4-47EC-AA08-A7E20327AF62}"/>
    <cellStyle name="20% - Accent4 12" xfId="133" xr:uid="{33346212-7ABB-490A-BCBD-ED62DF1165FD}"/>
    <cellStyle name="20% - Accent4 13" xfId="134" xr:uid="{69B11992-E2F5-488E-A92F-E7D51C36E990}"/>
    <cellStyle name="20% - Accent4 14" xfId="135" xr:uid="{B5876C19-26A9-454C-BA0E-7ED0319528DC}"/>
    <cellStyle name="20% - Accent4 15" xfId="136" xr:uid="{F1FA819C-9A15-4A4C-8378-87595DAF298C}"/>
    <cellStyle name="20% - Accent4 16" xfId="137" xr:uid="{C91794AD-94E5-47C2-8E61-7670BA644E70}"/>
    <cellStyle name="20% - Accent4 17" xfId="138" xr:uid="{B9B80013-06F7-4D7D-AE26-6CEE47A7EC8D}"/>
    <cellStyle name="20% - Accent4 2" xfId="139" xr:uid="{0F907242-887B-44DB-B73B-8A61B1EE78DB}"/>
    <cellStyle name="20% - Accent4 2 2" xfId="140" xr:uid="{14AE7438-A31D-42C5-BF65-184995CEA147}"/>
    <cellStyle name="20% - Accent4 2 3" xfId="141" xr:uid="{E8D1E932-8DBB-4581-A744-6CF0D8C24A04}"/>
    <cellStyle name="20% - Accent4 3" xfId="142" xr:uid="{40D89EDA-8B39-4EED-9FB0-BEB553FF73E2}"/>
    <cellStyle name="20% - Accent4 4" xfId="143" xr:uid="{F62C54EA-94BC-4646-A6C3-9C74BB7EF4DC}"/>
    <cellStyle name="20% - Accent4 5" xfId="144" xr:uid="{449EC7A8-35D0-487B-AEE3-C3B950229F8F}"/>
    <cellStyle name="20% - Accent4 6" xfId="145" xr:uid="{F89CA768-BFC1-46A2-8F59-BAD2673054B1}"/>
    <cellStyle name="20% - Accent4 7" xfId="146" xr:uid="{CA851604-FCE6-487C-896E-C23271F68259}"/>
    <cellStyle name="20% - Accent4 8" xfId="147" xr:uid="{1FF772E2-ED81-4AC0-86E0-23E7F314C318}"/>
    <cellStyle name="20% - Accent4 9" xfId="148" xr:uid="{36DEBF14-B6E2-41B4-A1F4-FB32EDBB20BE}"/>
    <cellStyle name="20% - Accent5 10" xfId="149" xr:uid="{BB15FB0C-5F02-4909-BDF1-5EAE8CA782F0}"/>
    <cellStyle name="20% - Accent5 11" xfId="150" xr:uid="{CF5E1804-1733-4598-A48F-141FA2D8BFA5}"/>
    <cellStyle name="20% - Accent5 12" xfId="151" xr:uid="{F2D69973-2349-4FF1-A5CA-C1C830BE185B}"/>
    <cellStyle name="20% - Accent5 13" xfId="152" xr:uid="{C97BA941-DFAE-4B85-A9B5-2479119B6853}"/>
    <cellStyle name="20% - Accent5 14" xfId="153" xr:uid="{92E292F1-0D6C-49A9-A7BF-51CA14EBB589}"/>
    <cellStyle name="20% - Accent5 15" xfId="154" xr:uid="{C84725F9-8B95-42DC-AE6A-A20D772E2391}"/>
    <cellStyle name="20% - Accent5 16" xfId="155" xr:uid="{25221A12-D59D-4042-8208-9A01CB71813D}"/>
    <cellStyle name="20% - Accent5 17" xfId="156" xr:uid="{5492625E-4C33-4E2A-B4D9-08DF68BF734B}"/>
    <cellStyle name="20% - Accent5 2" xfId="157" xr:uid="{F59A07D6-D9FE-410B-A9E5-7F06B4AD1F4F}"/>
    <cellStyle name="20% - Accent5 2 2" xfId="158" xr:uid="{E332E088-7E6C-4015-BA4E-DBC02DACF34B}"/>
    <cellStyle name="20% - Accent5 2 3" xfId="159" xr:uid="{A84C5521-FADA-4202-87AA-B5EF6E526FAA}"/>
    <cellStyle name="20% - Accent5 3" xfId="160" xr:uid="{B50614A7-F173-4776-BD1B-201D4477FBC3}"/>
    <cellStyle name="20% - Accent5 4" xfId="161" xr:uid="{79BF4BA3-A326-465D-AEE4-EF6833595B1A}"/>
    <cellStyle name="20% - Accent5 5" xfId="162" xr:uid="{43FE6C1B-A196-45D0-B9BA-302D7497865C}"/>
    <cellStyle name="20% - Accent5 6" xfId="163" xr:uid="{9538441A-E835-4C71-99B7-041410B3BAAB}"/>
    <cellStyle name="20% - Accent5 7" xfId="164" xr:uid="{9A1FEC01-BD80-4327-AD0F-53C6152D9C4B}"/>
    <cellStyle name="20% - Accent5 8" xfId="165" xr:uid="{21A47374-9B48-4668-AB73-C707ED554323}"/>
    <cellStyle name="20% - Accent5 9" xfId="166" xr:uid="{7ACB1996-25F6-461C-A0AC-9CCB30675677}"/>
    <cellStyle name="20% - Accent6 10" xfId="167" xr:uid="{C14E5FC1-21E6-4A78-A4DE-FE15E2A950CF}"/>
    <cellStyle name="20% - Accent6 11" xfId="168" xr:uid="{8651F352-2CD4-4C67-90EC-CB6A828F84ED}"/>
    <cellStyle name="20% - Accent6 12" xfId="169" xr:uid="{FE6AAD73-4C10-478A-8320-ACA9633D3E2A}"/>
    <cellStyle name="20% - Accent6 13" xfId="170" xr:uid="{243CD265-2A9C-49B5-83E2-551AF7ABEF3E}"/>
    <cellStyle name="20% - Accent6 14" xfId="171" xr:uid="{7D776F5F-79C8-4DAE-BEA6-7AA880A4CF91}"/>
    <cellStyle name="20% - Accent6 15" xfId="172" xr:uid="{3CF1EDDF-CCA2-4B85-8D94-591DCA572DC1}"/>
    <cellStyle name="20% - Accent6 16" xfId="173" xr:uid="{B39BA490-6048-4B6E-818C-A27B6B035BBF}"/>
    <cellStyle name="20% - Accent6 17" xfId="174" xr:uid="{FC3E2608-1FE6-4237-A3CD-A91CDD4231EC}"/>
    <cellStyle name="20% - Accent6 2" xfId="175" xr:uid="{100AA322-D777-4C7C-A239-9417BAC9B2D3}"/>
    <cellStyle name="20% - Accent6 2 2" xfId="176" xr:uid="{8E520EF7-5B41-4E9E-973E-BAC407212AEF}"/>
    <cellStyle name="20% - Accent6 2 3" xfId="177" xr:uid="{1A86FF1B-8434-4049-821F-E061EBF496B0}"/>
    <cellStyle name="20% - Accent6 3" xfId="178" xr:uid="{5FE0CDA7-E18B-4EF0-8833-120CC7410FA4}"/>
    <cellStyle name="20% - Accent6 4" xfId="179" xr:uid="{B2FF5C6C-2D2C-44E3-8D90-2F497F3CEEAF}"/>
    <cellStyle name="20% - Accent6 5" xfId="180" xr:uid="{897A3B5F-2020-4C3C-A2D6-C4C29E24231A}"/>
    <cellStyle name="20% - Accent6 6" xfId="181" xr:uid="{1AA4DCC6-0584-40EF-A278-52F8C44B6DBF}"/>
    <cellStyle name="20% - Accent6 7" xfId="182" xr:uid="{101B0976-18F0-43B5-A1D8-A3DA06E2C14D}"/>
    <cellStyle name="20% - Accent6 8" xfId="183" xr:uid="{86C790D9-079E-47CD-BB3E-08864A3D315A}"/>
    <cellStyle name="20% - Accent6 9" xfId="184" xr:uid="{78D5A5F4-CFFD-40E0-A1BF-662F54C46A39}"/>
    <cellStyle name="20% - Cor1" xfId="185" xr:uid="{4EE766F1-210C-4A9F-B29C-13C34EFE0F41}"/>
    <cellStyle name="20% - Cor1 2" xfId="186" xr:uid="{DA25FEA0-972B-4F18-A266-186F50C42CA6}"/>
    <cellStyle name="20% - Cor2" xfId="187" xr:uid="{23AD3226-6F72-483F-9A88-AD5A53D87854}"/>
    <cellStyle name="20% - Cor2 2" xfId="188" xr:uid="{4768C1EA-6CC2-4499-8111-9FB199A5C808}"/>
    <cellStyle name="20% - Cor3" xfId="189" xr:uid="{64030ABE-350C-44E9-AD30-B2FB61001182}"/>
    <cellStyle name="20% - Cor3 2" xfId="190" xr:uid="{23F3941B-60D9-4581-BEB3-E547D1378FB4}"/>
    <cellStyle name="20% - Cor4" xfId="191" xr:uid="{4FF45951-066B-4E83-A880-8E28381B6274}"/>
    <cellStyle name="20% - Cor4 2" xfId="192" xr:uid="{8103E997-5A52-462C-A868-D12CDFD4437C}"/>
    <cellStyle name="20% - Cor5" xfId="193" xr:uid="{3010C36B-570C-4AE2-A9AE-E55D76E28741}"/>
    <cellStyle name="20% - Cor5 2" xfId="194" xr:uid="{D66D7A0E-3F79-494C-9905-F315C6EEBEE4}"/>
    <cellStyle name="20% - Cor6" xfId="195" xr:uid="{9C055100-D9C7-4F4F-AF46-3F61BE157467}"/>
    <cellStyle name="20% - Cor6 2" xfId="196" xr:uid="{DFA0F6F7-76E2-4402-930D-E557947C50A4}"/>
    <cellStyle name="20% - Énfasis1" xfId="197" xr:uid="{DB0B9727-1794-45F3-A4A4-4FAD7A2FB984}"/>
    <cellStyle name="20% - Énfasis1 2" xfId="198" xr:uid="{4EFE415C-6EEE-493B-B9C1-8939DB8E7326}"/>
    <cellStyle name="20% - Énfasis2" xfId="199" xr:uid="{5311FD91-DF16-464B-B0DA-F885AC22BF13}"/>
    <cellStyle name="20% - Énfasis2 2" xfId="200" xr:uid="{3E6ADD16-1D31-4C79-804A-55055BC8DE53}"/>
    <cellStyle name="20% - Énfasis3" xfId="201" xr:uid="{FF61EB36-BED7-411B-B3B6-00283FC3976E}"/>
    <cellStyle name="20% - Énfasis3 2" xfId="202" xr:uid="{94B81D6E-759C-44C8-A769-D104531C8538}"/>
    <cellStyle name="20% - Énfasis4" xfId="203" xr:uid="{8B02E89E-C1A9-4D18-B577-A484A52EB09D}"/>
    <cellStyle name="20% - Énfasis4 2" xfId="204" xr:uid="{FE898A1A-289E-4ED2-B372-51C3D75B85BB}"/>
    <cellStyle name="20% - Énfasis5" xfId="205" xr:uid="{92712086-DFB4-4A74-A585-7CEDD4941E35}"/>
    <cellStyle name="20% - Énfasis5 2" xfId="206" xr:uid="{B4114546-F01C-4FAC-9D96-8A3C7A4B2B31}"/>
    <cellStyle name="20% - Énfasis6" xfId="207" xr:uid="{220E92DA-BD7B-4DC4-8409-C927E7AE8D90}"/>
    <cellStyle name="20% - Énfasis6 2" xfId="208" xr:uid="{EAF009DB-206A-42AF-ADD6-0CB2FBA1046C}"/>
    <cellStyle name="40% - Accent1 10" xfId="209" xr:uid="{E3DE401D-E450-49AD-816D-92D078DB5D96}"/>
    <cellStyle name="40% - Accent1 11" xfId="210" xr:uid="{7EEB478B-95E4-462D-ABD9-115F2485F098}"/>
    <cellStyle name="40% - Accent1 12" xfId="211" xr:uid="{F350DB07-087C-4B9F-9675-D9D3D4C8553B}"/>
    <cellStyle name="40% - Accent1 13" xfId="212" xr:uid="{5D938505-FE8B-4D53-82FE-EC1831DF87D1}"/>
    <cellStyle name="40% - Accent1 14" xfId="213" xr:uid="{30CEBEFB-AEE0-489A-A67A-908D1C65F04A}"/>
    <cellStyle name="40% - Accent1 15" xfId="214" xr:uid="{257FD92D-9A06-46DF-BF0F-87AF8BDC663A}"/>
    <cellStyle name="40% - Accent1 16" xfId="215" xr:uid="{2A1A3187-D2B0-4CF7-9AAA-23ACA71DAA73}"/>
    <cellStyle name="40% - Accent1 17" xfId="216" xr:uid="{D972428F-BE2F-4938-804F-4DB59C607AC0}"/>
    <cellStyle name="40% - Accent1 2" xfId="217" xr:uid="{406D15E3-E569-4228-9C7D-184E59AF0900}"/>
    <cellStyle name="40% - Accent1 2 2" xfId="218" xr:uid="{039918E1-9F9B-4646-8AC8-62C33A1431BE}"/>
    <cellStyle name="40% - Accent1 2 3" xfId="219" xr:uid="{2778AC45-E298-4F2D-8D79-BEA8EED42D1C}"/>
    <cellStyle name="40% - Accent1 3" xfId="220" xr:uid="{8BE7A0B0-85D5-4DCC-9B01-8F232630A509}"/>
    <cellStyle name="40% - Accent1 4" xfId="221" xr:uid="{EE08AB4E-CC3D-4342-B456-1587B7D4260A}"/>
    <cellStyle name="40% - Accent1 5" xfId="222" xr:uid="{5187331E-56F5-4978-90C3-E9839DC5F149}"/>
    <cellStyle name="40% - Accent1 6" xfId="223" xr:uid="{5426991C-9FEF-4FCB-A2F7-D1F8F05F0BA1}"/>
    <cellStyle name="40% - Accent1 7" xfId="224" xr:uid="{EB389F20-158A-4302-BE8F-7955739345BE}"/>
    <cellStyle name="40% - Accent1 8" xfId="225" xr:uid="{FDC73115-0978-4AA1-ACEB-9F3142BE4E9B}"/>
    <cellStyle name="40% - Accent1 9" xfId="226" xr:uid="{1252A88E-A681-4393-B5A4-1CAF11342E85}"/>
    <cellStyle name="40% - Accent2 10" xfId="227" xr:uid="{2234D005-35B7-469F-9638-FA9845036094}"/>
    <cellStyle name="40% - Accent2 11" xfId="228" xr:uid="{D355A6A8-F6DD-46C1-802F-E0ED2DE6D33F}"/>
    <cellStyle name="40% - Accent2 12" xfId="229" xr:uid="{001FDE16-926D-4FED-8542-61217D5BEC71}"/>
    <cellStyle name="40% - Accent2 13" xfId="230" xr:uid="{FA16D1F1-22CC-4077-A99E-2CA4197B6F2B}"/>
    <cellStyle name="40% - Accent2 14" xfId="231" xr:uid="{F07ACE68-A8B2-408B-998F-15A782CF429D}"/>
    <cellStyle name="40% - Accent2 15" xfId="232" xr:uid="{02B0151B-D722-4575-88C0-1D4680F76200}"/>
    <cellStyle name="40% - Accent2 16" xfId="233" xr:uid="{D799519C-3C03-4E5A-B6B2-7CF92D025B27}"/>
    <cellStyle name="40% - Accent2 17" xfId="234" xr:uid="{3B850C24-1D3B-473A-9DC3-04CA5AFCB46D}"/>
    <cellStyle name="40% - Accent2 2" xfId="235" xr:uid="{6646A9DA-7C4C-48C4-AF50-3D08BBA7CF02}"/>
    <cellStyle name="40% - Accent2 2 2" xfId="236" xr:uid="{7ACF63CB-AD28-4F44-9A9F-0D82718DD2C5}"/>
    <cellStyle name="40% - Accent2 2 3" xfId="237" xr:uid="{5FF2A61E-EFA8-4171-B767-132C4E3F215C}"/>
    <cellStyle name="40% - Accent2 3" xfId="238" xr:uid="{4F4DAEE3-41AF-41EC-8E4B-3B491CC6C93F}"/>
    <cellStyle name="40% - Accent2 4" xfId="239" xr:uid="{54BB0A08-1F88-43E0-91F4-099DC06B2481}"/>
    <cellStyle name="40% - Accent2 5" xfId="240" xr:uid="{ED3AE737-7F97-4899-910E-A4FB57E2C855}"/>
    <cellStyle name="40% - Accent2 6" xfId="241" xr:uid="{CBD61C76-D4C9-44E0-BBD7-EB794AEDFA40}"/>
    <cellStyle name="40% - Accent2 7" xfId="242" xr:uid="{03ABACA5-C22C-43DA-9B17-98075AD1477F}"/>
    <cellStyle name="40% - Accent2 8" xfId="243" xr:uid="{79467F3B-9C36-490F-BD3D-4E76C0302D9B}"/>
    <cellStyle name="40% - Accent2 9" xfId="244" xr:uid="{2677B456-32CF-4755-AB83-988B0A8FFED1}"/>
    <cellStyle name="40% - Accent3 10" xfId="245" xr:uid="{E8F41BF9-F4AE-4343-A6F0-C3EBBE32CD8B}"/>
    <cellStyle name="40% - Accent3 11" xfId="246" xr:uid="{403B056B-C5AB-493C-A632-E1CD20BE5765}"/>
    <cellStyle name="40% - Accent3 12" xfId="247" xr:uid="{A337D607-2153-4F3B-B898-CAAC2FFE9C8A}"/>
    <cellStyle name="40% - Accent3 13" xfId="248" xr:uid="{9BE7C373-1CFC-4D6C-8C96-77DB505FE2E1}"/>
    <cellStyle name="40% - Accent3 14" xfId="249" xr:uid="{0262882F-7904-48F8-9002-92CC4FF28CE9}"/>
    <cellStyle name="40% - Accent3 15" xfId="250" xr:uid="{6858BBE4-9F0A-457E-A0DD-EDF068E2B052}"/>
    <cellStyle name="40% - Accent3 16" xfId="251" xr:uid="{6EBD4188-9A6D-4741-BD17-D091D53E6178}"/>
    <cellStyle name="40% - Accent3 17" xfId="252" xr:uid="{26ADAA74-94FC-4912-B5D0-93FB2465F6B8}"/>
    <cellStyle name="40% - Accent3 2" xfId="253" xr:uid="{40853457-C8CE-4AED-A224-47E23F91A091}"/>
    <cellStyle name="40% - Accent3 2 2" xfId="254" xr:uid="{92DB7BD4-6E71-4155-BCAF-8DE1551D233B}"/>
    <cellStyle name="40% - Accent3 2 3" xfId="255" xr:uid="{B15DD8D4-970A-4502-81F1-D966A167E53F}"/>
    <cellStyle name="40% - Accent3 3" xfId="256" xr:uid="{89F0EBA1-42AD-4D76-9F53-8AF0192C69DC}"/>
    <cellStyle name="40% - Accent3 4" xfId="257" xr:uid="{08E848CD-1B8A-4120-AF94-DFC9CCBAA75E}"/>
    <cellStyle name="40% - Accent3 5" xfId="258" xr:uid="{84C14849-C7CB-4B2B-BD95-D2A728B2C667}"/>
    <cellStyle name="40% - Accent3 6" xfId="259" xr:uid="{3E3C343B-BC4C-41C5-B8EF-F7B975C56E9A}"/>
    <cellStyle name="40% - Accent3 7" xfId="260" xr:uid="{61ACFCF0-48BF-4377-A4FD-67D3520FB854}"/>
    <cellStyle name="40% - Accent3 8" xfId="261" xr:uid="{3BBE18A5-7D65-4EFF-9222-D8DD5FC77033}"/>
    <cellStyle name="40% - Accent3 9" xfId="262" xr:uid="{6279CE2B-8F91-49A3-B731-2A4F2F722A72}"/>
    <cellStyle name="40% - Accent4 10" xfId="263" xr:uid="{DE313BF3-300A-4BA2-BD70-CCEB97BD205C}"/>
    <cellStyle name="40% - Accent4 11" xfId="264" xr:uid="{A041FBF8-9B8A-4CCF-99DB-587D0C4F85E9}"/>
    <cellStyle name="40% - Accent4 12" xfId="265" xr:uid="{468AA8CF-FD80-47EB-93DB-8348B7185AC8}"/>
    <cellStyle name="40% - Accent4 13" xfId="266" xr:uid="{D5690499-7C30-4584-BA1E-FA1AE79C22A6}"/>
    <cellStyle name="40% - Accent4 14" xfId="267" xr:uid="{CD74BD07-260B-4FF5-8C3C-8B55A88AC2B0}"/>
    <cellStyle name="40% - Accent4 15" xfId="268" xr:uid="{0E861480-8F5C-4803-ACCB-8AB7508656F3}"/>
    <cellStyle name="40% - Accent4 16" xfId="269" xr:uid="{9C6212E8-0E62-4079-B85F-A50F79BA0CA5}"/>
    <cellStyle name="40% - Accent4 17" xfId="270" xr:uid="{46767255-2A37-485B-8211-3CAE201BAE1E}"/>
    <cellStyle name="40% - Accent4 2" xfId="271" xr:uid="{2D4A6023-62D1-4C37-A7EE-F28666C850C2}"/>
    <cellStyle name="40% - Accent4 2 2" xfId="272" xr:uid="{01E02BB1-6D8D-45D1-AC0B-B34AD1750832}"/>
    <cellStyle name="40% - Accent4 2 3" xfId="273" xr:uid="{5F29450F-5209-451B-A034-F3AF550C5D1E}"/>
    <cellStyle name="40% - Accent4 3" xfId="274" xr:uid="{B7CA1B8E-28CF-4A4F-8D0E-773797F42C68}"/>
    <cellStyle name="40% - Accent4 4" xfId="275" xr:uid="{6D1389A2-AD42-4576-A9AC-38C1730D87C1}"/>
    <cellStyle name="40% - Accent4 5" xfId="276" xr:uid="{58DE4721-5A39-4D22-850E-6683E62942DA}"/>
    <cellStyle name="40% - Accent4 6" xfId="277" xr:uid="{9D48542D-EC52-4769-BBC2-C2AFD86F31E0}"/>
    <cellStyle name="40% - Accent4 7" xfId="278" xr:uid="{A69F3571-0887-411B-B814-D4A38CD09597}"/>
    <cellStyle name="40% - Accent4 8" xfId="279" xr:uid="{5AF03E85-7F08-40A9-849E-02C3B5B132E8}"/>
    <cellStyle name="40% - Accent4 9" xfId="280" xr:uid="{F04451F4-DD6D-4569-B008-846D4CC51E9B}"/>
    <cellStyle name="40% - Accent5 10" xfId="281" xr:uid="{03C58112-A4AC-4E96-8878-92F9DACAFB3A}"/>
    <cellStyle name="40% - Accent5 11" xfId="282" xr:uid="{78432A16-38D1-41D5-B2C5-89E1F50DFF4A}"/>
    <cellStyle name="40% - Accent5 12" xfId="283" xr:uid="{5B16617F-ACDE-4221-91BC-E3DF7356CE43}"/>
    <cellStyle name="40% - Accent5 13" xfId="284" xr:uid="{9F19A8B3-DBAB-4118-BC92-D0189ED152DA}"/>
    <cellStyle name="40% - Accent5 14" xfId="285" xr:uid="{6BB206DC-F49D-4A25-AA30-D17CD19020A8}"/>
    <cellStyle name="40% - Accent5 15" xfId="286" xr:uid="{30EBDCE0-38F0-4F38-A05A-2D8C5BE2A0D7}"/>
    <cellStyle name="40% - Accent5 16" xfId="287" xr:uid="{4477C27D-4256-40AB-9DA5-B1A89AA31600}"/>
    <cellStyle name="40% - Accent5 17" xfId="288" xr:uid="{F47853EC-5351-48F5-86D3-9827F260DE31}"/>
    <cellStyle name="40% - Accent5 2" xfId="289" xr:uid="{C5E090E8-0261-46C3-8AB1-5AA114C30493}"/>
    <cellStyle name="40% - Accent5 2 2" xfId="290" xr:uid="{F06F7A6A-80C7-4930-B37F-3CBBEE6B25F3}"/>
    <cellStyle name="40% - Accent5 2 3" xfId="291" xr:uid="{E1998AA9-ED93-4B38-8994-61F0FF9BB3AE}"/>
    <cellStyle name="40% - Accent5 3" xfId="292" xr:uid="{0C96A25A-776C-4F6E-A8D2-83A9C9340ED1}"/>
    <cellStyle name="40% - Accent5 4" xfId="293" xr:uid="{057F9BDB-025E-4268-AE9A-6A0E0E514501}"/>
    <cellStyle name="40% - Accent5 5" xfId="294" xr:uid="{D6E804BF-EAD5-4489-A895-03AFA45AC5CC}"/>
    <cellStyle name="40% - Accent5 6" xfId="295" xr:uid="{44239B4C-49FF-4832-968D-7FEA6F879CF2}"/>
    <cellStyle name="40% - Accent5 7" xfId="296" xr:uid="{186D2103-DCCE-45F1-9934-ADE6B5B28AB2}"/>
    <cellStyle name="40% - Accent5 8" xfId="297" xr:uid="{B0F2FFDD-9163-4B2B-A729-23794772CA0A}"/>
    <cellStyle name="40% - Accent5 9" xfId="298" xr:uid="{9F291EA3-1F2B-4693-8C44-F689ECE2BF45}"/>
    <cellStyle name="40% - Accent6 10" xfId="299" xr:uid="{855EAE9A-234B-4F6C-968E-2AB44122BA3A}"/>
    <cellStyle name="40% - Accent6 11" xfId="300" xr:uid="{38F4C129-4225-4DC7-AF38-1CDD7CB44D11}"/>
    <cellStyle name="40% - Accent6 12" xfId="301" xr:uid="{970B387A-E957-4205-ADDE-1F6B7D40B95A}"/>
    <cellStyle name="40% - Accent6 13" xfId="302" xr:uid="{9A2334C8-21F7-41EF-B413-AC2D9D6443D5}"/>
    <cellStyle name="40% - Accent6 14" xfId="303" xr:uid="{CDF834BF-845C-4936-9C68-91234FAD86CB}"/>
    <cellStyle name="40% - Accent6 15" xfId="304" xr:uid="{EBBB8B90-70E8-4CF5-8E80-7F3DEF7BC6C0}"/>
    <cellStyle name="40% - Accent6 16" xfId="305" xr:uid="{DD69465C-F5B8-4328-ADCD-9C090916A262}"/>
    <cellStyle name="40% - Accent6 17" xfId="306" xr:uid="{444998F6-D7B5-4376-B7E7-8FD77FA0993F}"/>
    <cellStyle name="40% - Accent6 2" xfId="307" xr:uid="{2E6325DF-258D-43CF-99C7-4CDD2E63A39D}"/>
    <cellStyle name="40% - Accent6 2 2" xfId="308" xr:uid="{25DC08BD-E993-4F40-9359-7D0E7B1A2CE1}"/>
    <cellStyle name="40% - Accent6 2 3" xfId="309" xr:uid="{DE51E527-BB65-4E6D-AFB7-68A8233B5CC9}"/>
    <cellStyle name="40% - Accent6 3" xfId="310" xr:uid="{7538645E-7759-4D26-AACF-668C8CE7932A}"/>
    <cellStyle name="40% - Accent6 4" xfId="311" xr:uid="{CB89B4D5-D856-4C2C-9631-A52CBDE720CB}"/>
    <cellStyle name="40% - Accent6 5" xfId="312" xr:uid="{2D7F4E4B-D10D-4D7E-A5CA-D950DA659F8C}"/>
    <cellStyle name="40% - Accent6 6" xfId="313" xr:uid="{10912FC5-9D9B-4542-8BEE-0B248CEDC2DF}"/>
    <cellStyle name="40% - Accent6 7" xfId="314" xr:uid="{FF003A44-D4F9-44BC-89FF-47B3C943A091}"/>
    <cellStyle name="40% - Accent6 8" xfId="315" xr:uid="{4B1F7BC4-4130-4695-920A-FF551232D74D}"/>
    <cellStyle name="40% - Accent6 9" xfId="316" xr:uid="{E1430065-3252-4E9B-BC88-C02C333AAF3B}"/>
    <cellStyle name="40% - Cor1" xfId="317" xr:uid="{2A70E153-6CD3-49FC-B779-DBB1E48A0841}"/>
    <cellStyle name="40% - Cor1 2" xfId="318" xr:uid="{763834F6-B9F9-45A5-B652-639BBC086828}"/>
    <cellStyle name="40% - Cor2" xfId="319" xr:uid="{5A43B042-2D3C-40F5-9895-683AC2BF3C3F}"/>
    <cellStyle name="40% - Cor2 2" xfId="320" xr:uid="{CB2D2032-657E-4F1D-9433-159BC72D6D46}"/>
    <cellStyle name="40% - Cor3" xfId="321" xr:uid="{1A0FCCF1-A38D-4188-8A14-FE21E911394A}"/>
    <cellStyle name="40% - Cor3 2" xfId="322" xr:uid="{ADC2252A-119F-4657-BB8E-0640C28665AE}"/>
    <cellStyle name="40% - Cor4" xfId="323" xr:uid="{FF61C4D8-7BAD-41D2-A449-B5C74CCA825B}"/>
    <cellStyle name="40% - Cor4 2" xfId="324" xr:uid="{F65304AA-E7E8-44AB-B847-6857962F7B90}"/>
    <cellStyle name="40% - Cor5" xfId="325" xr:uid="{7A7DDE87-46F0-49E6-BE68-8FE3846DB143}"/>
    <cellStyle name="40% - Cor5 2" xfId="326" xr:uid="{EB950A31-F5EC-4D09-98C4-562B42122A97}"/>
    <cellStyle name="40% - Cor6" xfId="327" xr:uid="{3C189DD8-2CED-47C3-87BD-978615E3E13F}"/>
    <cellStyle name="40% - Cor6 2" xfId="328" xr:uid="{8DBBE477-1943-4F82-B749-4047522731C0}"/>
    <cellStyle name="40% - Énfasis1" xfId="329" xr:uid="{EAB89044-FDB7-4096-98C7-ADE59596BF0E}"/>
    <cellStyle name="40% - Énfasis1 2" xfId="330" xr:uid="{9D5F8D28-81A7-46C1-954C-9BFF6C705AD3}"/>
    <cellStyle name="40% - Énfasis2" xfId="331" xr:uid="{DEA3A5D7-D28A-4E42-9DBE-A7C0A13E3C0F}"/>
    <cellStyle name="40% - Énfasis2 2" xfId="332" xr:uid="{7479E009-F187-4346-8C0F-9930CDA04062}"/>
    <cellStyle name="40% - Énfasis3" xfId="333" xr:uid="{9EE97787-BC1E-4C06-B771-816413999517}"/>
    <cellStyle name="40% - Énfasis3 2" xfId="334" xr:uid="{FDF1BBDD-D1F4-4A15-B0BF-CD361C191A22}"/>
    <cellStyle name="40% - Énfasis4" xfId="335" xr:uid="{48F4E929-2B6A-4A3D-9250-1AD0FE3C2232}"/>
    <cellStyle name="40% - Énfasis4 2" xfId="336" xr:uid="{82F217E8-9CD1-4A69-8EC7-636623B9D97F}"/>
    <cellStyle name="40% - Énfasis5" xfId="337" xr:uid="{88DEC6E0-A29D-4C0D-BF35-868D8C8DDC11}"/>
    <cellStyle name="40% - Énfasis5 2" xfId="338" xr:uid="{490CAAAA-E473-4212-8264-6081CE7B6C2F}"/>
    <cellStyle name="40% - Énfasis6" xfId="339" xr:uid="{8021F0F6-D1EB-4F02-825B-E616BC90DC47}"/>
    <cellStyle name="40% - Énfasis6 2" xfId="340" xr:uid="{FC2D9B2A-0959-4C82-B052-70379AD602F0}"/>
    <cellStyle name="60% - Accent1 2" xfId="341" xr:uid="{4D9130BB-3D20-4DD5-B7DF-1772430E50DB}"/>
    <cellStyle name="60% - Accent1 2 2" xfId="342" xr:uid="{D269D118-9EF7-44A3-984A-9419EAF9F711}"/>
    <cellStyle name="60% - Accent1 2 3" xfId="343" xr:uid="{AC0A8050-6DB1-42E8-BF57-850CE69A3AC2}"/>
    <cellStyle name="60% - Accent1 3" xfId="344" xr:uid="{EDF1BA66-4AA9-4970-A939-698D4FCB9716}"/>
    <cellStyle name="60% - Accent1 4" xfId="345" xr:uid="{37428AD7-193A-4BF3-A626-6D950FBB0CE5}"/>
    <cellStyle name="60% - Accent2 2" xfId="346" xr:uid="{297E7D24-999D-4278-8666-FF193CE08949}"/>
    <cellStyle name="60% - Accent2 2 2" xfId="347" xr:uid="{31D6CF33-36E8-48FD-ACBC-F6E780AE623E}"/>
    <cellStyle name="60% - Accent2 2 3" xfId="348" xr:uid="{0323D190-99F7-4495-8F74-4EDC2D2DAEA5}"/>
    <cellStyle name="60% - Accent2 3" xfId="349" xr:uid="{646A5A90-2BA8-4EE0-842D-D7DF41CDBD4A}"/>
    <cellStyle name="60% - Accent2 4" xfId="350" xr:uid="{75F7748B-3CB6-480B-ACAE-F2E2F05C7392}"/>
    <cellStyle name="60% - Accent3 2" xfId="351" xr:uid="{E2A5CD92-65D0-483E-A4BD-8D7E280E0F2E}"/>
    <cellStyle name="60% - Accent3 2 2" xfId="352" xr:uid="{5F177AD7-7AA9-4E46-B285-E4D70F1920EF}"/>
    <cellStyle name="60% - Accent3 2 3" xfId="353" xr:uid="{DACB1899-745D-4CA2-9B7E-A055B1029392}"/>
    <cellStyle name="60% - Accent3 3" xfId="354" xr:uid="{E54EAEC3-980E-4848-8214-32B7288A3B7E}"/>
    <cellStyle name="60% - Accent3 4" xfId="355" xr:uid="{BB627AE5-06DB-4D9B-8DFC-53318575052F}"/>
    <cellStyle name="60% - Accent4 2" xfId="356" xr:uid="{ED3EDFDE-F292-4CE1-9DD6-AE43A5EAE38B}"/>
    <cellStyle name="60% - Accent4 2 2" xfId="357" xr:uid="{C8B8DBF9-19F2-4625-92C9-2E12275D5662}"/>
    <cellStyle name="60% - Accent4 2 3" xfId="358" xr:uid="{49894DC3-3C7C-490A-9DF6-248C459DE3A2}"/>
    <cellStyle name="60% - Accent4 3" xfId="359" xr:uid="{3A4EF63A-EEE3-405A-9EC8-1341CAAA864F}"/>
    <cellStyle name="60% - Accent4 4" xfId="360" xr:uid="{65D66C0C-1765-4DB8-9A4B-BAB803C493F2}"/>
    <cellStyle name="60% - Accent5 2" xfId="361" xr:uid="{F99EC8B4-BCDE-433F-88F8-8F7EF2414E06}"/>
    <cellStyle name="60% - Accent5 2 2" xfId="362" xr:uid="{68864B3E-CFE2-4F56-BF2B-F2B3C0341CBE}"/>
    <cellStyle name="60% - Accent5 2 3" xfId="363" xr:uid="{AB654E79-8BB3-4BCA-BE64-F202E2C344A1}"/>
    <cellStyle name="60% - Accent5 3" xfId="364" xr:uid="{192C5586-F047-4173-85E8-D370FFE7E05F}"/>
    <cellStyle name="60% - Accent5 4" xfId="365" xr:uid="{1E55A10B-7069-4A27-B323-3ECF9A51D51E}"/>
    <cellStyle name="60% - Accent6 2" xfId="366" xr:uid="{8F449EE7-E5A9-4B65-B878-1F681E9C634A}"/>
    <cellStyle name="60% - Accent6 2 2" xfId="367" xr:uid="{65379819-639A-4F41-8752-B7467949CD85}"/>
    <cellStyle name="60% - Accent6 2 3" xfId="368" xr:uid="{A64DB1D2-CBF9-472D-A82E-40017781F3F4}"/>
    <cellStyle name="60% - Accent6 3" xfId="369" xr:uid="{3D5B3AD4-ED95-446D-8A33-3995349A06ED}"/>
    <cellStyle name="60% - Accent6 4" xfId="370" xr:uid="{E9F69B8A-C1DB-4297-B377-FE522C879D17}"/>
    <cellStyle name="60% - Cor1" xfId="371" xr:uid="{868CAD6E-59CC-4DA0-B0E1-7CCB2A45760D}"/>
    <cellStyle name="60% - Cor1 2" xfId="372" xr:uid="{BF1C9B47-7BB8-4110-A488-0A8D371BB1A6}"/>
    <cellStyle name="60% - Cor2" xfId="373" xr:uid="{F02C4E9C-CD4F-4960-A3DA-5B75BE52CC6D}"/>
    <cellStyle name="60% - Cor2 2" xfId="374" xr:uid="{D2B7E3E0-3056-4D35-89A9-0735B9C698FD}"/>
    <cellStyle name="60% - Cor3" xfId="375" xr:uid="{66327278-C4E9-4927-A0DA-246C4644BC19}"/>
    <cellStyle name="60% - Cor3 2" xfId="376" xr:uid="{AB948DC2-B0A3-4884-9373-86774620CC12}"/>
    <cellStyle name="60% - Cor4" xfId="377" xr:uid="{BAA23166-CE6D-4AC6-84AB-966391085F9E}"/>
    <cellStyle name="60% - Cor4 2" xfId="378" xr:uid="{69BFEADA-283A-4461-B735-EE31F1A5F124}"/>
    <cellStyle name="60% - Cor5" xfId="379" xr:uid="{4550C858-2EBF-4F04-8718-6BAC5AAEEB45}"/>
    <cellStyle name="60% - Cor5 2" xfId="380" xr:uid="{AA229A87-1627-4647-8FBF-227595C4FB11}"/>
    <cellStyle name="60% - Cor6" xfId="381" xr:uid="{CD6858C5-F1E5-4BF7-845D-BAD51E23DF8D}"/>
    <cellStyle name="60% - Cor6 2" xfId="382" xr:uid="{BBFF8DC3-8006-45D0-B797-AE65D5F316B5}"/>
    <cellStyle name="60% - Énfasis1" xfId="383" xr:uid="{4B418CE5-5525-43D1-B5B0-D8C2130A675B}"/>
    <cellStyle name="60% - Énfasis1 2" xfId="384" xr:uid="{07CC1370-CAD3-47A4-B5DF-9106C2B68E97}"/>
    <cellStyle name="60% - Énfasis2" xfId="385" xr:uid="{6868DC08-C896-493B-84A0-60310A11C0A7}"/>
    <cellStyle name="60% - Énfasis2 2" xfId="386" xr:uid="{2CB81321-4F5A-45C9-A437-F9274C005DC4}"/>
    <cellStyle name="60% - Énfasis3" xfId="387" xr:uid="{584214FD-7ED1-4974-B1DF-8DA6E3A9B778}"/>
    <cellStyle name="60% - Énfasis3 2" xfId="388" xr:uid="{855081A6-A1B3-4512-9124-F6C0C5E19CEA}"/>
    <cellStyle name="60% - Énfasis4" xfId="389" xr:uid="{4193D3FF-25C8-4B17-8CF2-4006E19F6686}"/>
    <cellStyle name="60% - Énfasis4 2" xfId="390" xr:uid="{5D804BC7-71D2-47CC-975F-D15FFCE1BD80}"/>
    <cellStyle name="60% - Énfasis5" xfId="391" xr:uid="{8FFA4017-AA05-4219-89EF-B17D5290A4B1}"/>
    <cellStyle name="60% - Énfasis5 2" xfId="392" xr:uid="{F6F26E9F-903E-4020-8917-47B2830A6521}"/>
    <cellStyle name="60% - Énfasis6" xfId="393" xr:uid="{D5073408-FF2D-4075-86A6-7EE9E21898C3}"/>
    <cellStyle name="60% - Énfasis6 2" xfId="394" xr:uid="{D69075B6-2636-48FB-9CFE-5661A6C76F5E}"/>
    <cellStyle name="Accent1 - 20%" xfId="395" xr:uid="{B2365BC8-CC3A-4F8D-ADA5-C679274E6CFF}"/>
    <cellStyle name="Accent1 - 20% 2" xfId="396" xr:uid="{A3808DB4-46C7-447F-BD69-0CD4EC72EC92}"/>
    <cellStyle name="Accent1 - 40%" xfId="397" xr:uid="{3521BF21-1F07-44A3-A54B-6DFA6FC55CEB}"/>
    <cellStyle name="Accent1 - 40% 2" xfId="398" xr:uid="{3850C266-FF45-472D-ABD6-87FDF60286F5}"/>
    <cellStyle name="Accent1 - 60%" xfId="399" xr:uid="{AB991FE4-D3DD-4409-8504-DC90C4A46780}"/>
    <cellStyle name="Accent1 - 60% 2" xfId="400" xr:uid="{C750855F-1B6B-4295-A540-48B6C48F9496}"/>
    <cellStyle name="Accent1 10" xfId="401" xr:uid="{78910EB8-9A18-4522-B95A-D1E195FDA4D1}"/>
    <cellStyle name="Accent1 11" xfId="402" xr:uid="{EBFEAA4F-FEEF-4283-AE83-B9677B27EAA7}"/>
    <cellStyle name="Accent1 12" xfId="403" xr:uid="{549573EB-9010-4F75-8C63-38A65A4B6160}"/>
    <cellStyle name="Accent1 13" xfId="404" xr:uid="{BE844757-4593-4B1A-8BD7-65EB5206A8EA}"/>
    <cellStyle name="Accent1 14" xfId="405" xr:uid="{BC9F2A9F-3788-4E73-AAC1-50A300DF19CE}"/>
    <cellStyle name="Accent1 15" xfId="406" xr:uid="{B2645957-3E7A-4D92-8F05-4FD10D8B4AFE}"/>
    <cellStyle name="Accent1 16" xfId="407" xr:uid="{3A2268B6-5F6F-4015-9C7C-7B28917AECEC}"/>
    <cellStyle name="Accent1 17" xfId="408" xr:uid="{6B1384E5-1B7D-457A-BD44-C134C6CC723F}"/>
    <cellStyle name="Accent1 18" xfId="409" xr:uid="{93FDD23E-EF46-432D-B756-11D76E37BEAB}"/>
    <cellStyle name="Accent1 19" xfId="410" xr:uid="{F41C4DBD-EA05-4664-9555-4A0BDB3694FC}"/>
    <cellStyle name="Accent1 2" xfId="411" xr:uid="{0F612D06-8AED-4F12-8BEE-F2AAA0793823}"/>
    <cellStyle name="Accent1 2 2" xfId="412" xr:uid="{6E18D6F4-3C30-48C9-BB8D-3D67DF9691E0}"/>
    <cellStyle name="Accent1 2 3" xfId="413" xr:uid="{60395AF1-7AC4-4A9D-9DD8-31F3C96BB0A1}"/>
    <cellStyle name="Accent1 20" xfId="414" xr:uid="{09CD29D4-BA68-494E-845C-C42EC8876ECE}"/>
    <cellStyle name="Accent1 21" xfId="415" xr:uid="{064CBDC4-1072-4459-8A0A-5F7EC6D4A58E}"/>
    <cellStyle name="Accent1 22" xfId="416" xr:uid="{65A57C81-A517-4E6F-8BEF-F03A47B0DA54}"/>
    <cellStyle name="Accent1 23" xfId="417" xr:uid="{6AFBA5A8-0E4B-49B4-A969-CD98941A63C1}"/>
    <cellStyle name="Accent1 24" xfId="418" xr:uid="{D04045E7-54DC-40F5-B80D-57E411A40354}"/>
    <cellStyle name="Accent1 25" xfId="419" xr:uid="{D447AD39-5000-4832-84E2-3C0F40086C89}"/>
    <cellStyle name="Accent1 26" xfId="420" xr:uid="{2EFE9FB7-533E-40DB-991C-62940580C201}"/>
    <cellStyle name="Accent1 27" xfId="421" xr:uid="{556BFCAB-BE19-4729-9651-9815E9E044A1}"/>
    <cellStyle name="Accent1 28" xfId="422" xr:uid="{5BE45C50-D9D5-4C57-AD94-15F700FA184A}"/>
    <cellStyle name="Accent1 29" xfId="423" xr:uid="{B3BD6A16-BA40-496B-9E0D-74DF5665B184}"/>
    <cellStyle name="Accent1 3" xfId="424" xr:uid="{6C95362F-B1C3-4AA7-AE03-7D7C7D3EB418}"/>
    <cellStyle name="Accent1 30" xfId="425" xr:uid="{AFB672D1-BF49-4C6B-9DA9-1844ED773F31}"/>
    <cellStyle name="Accent1 31" xfId="426" xr:uid="{5AD1632C-4B16-4A00-9A64-0B797FF1D1D5}"/>
    <cellStyle name="Accent1 32" xfId="427" xr:uid="{DDA1B92E-1F12-4A97-915E-EB1F5F4C1E00}"/>
    <cellStyle name="Accent1 33" xfId="428" xr:uid="{7C428387-BD9C-47BE-B841-61B6689EAF41}"/>
    <cellStyle name="Accent1 34" xfId="429" xr:uid="{B9DFCB5E-653C-4A22-9C1E-85BCFF961282}"/>
    <cellStyle name="Accent1 35" xfId="430" xr:uid="{42733BB4-7E41-4336-9E9E-C47D5F93A630}"/>
    <cellStyle name="Accent1 36" xfId="431" xr:uid="{5A1B4A23-F97F-473E-AF4D-BECF1B5C17F9}"/>
    <cellStyle name="Accent1 37" xfId="432" xr:uid="{B896B8A9-E2BC-4BB3-937F-7E262E43BB4F}"/>
    <cellStyle name="Accent1 38" xfId="433" xr:uid="{BF20C4B6-9472-43C2-AAD2-843B4DC62E43}"/>
    <cellStyle name="Accent1 39" xfId="434" xr:uid="{8C1BCF59-4939-47A5-8FC8-D7E90B7F4F82}"/>
    <cellStyle name="Accent1 4" xfId="435" xr:uid="{297057BD-D707-44D8-9BF0-A4D42122DDBE}"/>
    <cellStyle name="Accent1 40" xfId="436" xr:uid="{BDC0640E-268E-4680-9CEC-EA87F02861EC}"/>
    <cellStyle name="Accent1 41" xfId="437" xr:uid="{40D338C8-2C24-4DC4-97E1-1673842AB051}"/>
    <cellStyle name="Accent1 42" xfId="438" xr:uid="{DC290905-4073-47AA-92FA-F93FBA91D009}"/>
    <cellStyle name="Accent1 43" xfId="439" xr:uid="{BDC06F87-181B-4C55-9365-4D14000408A9}"/>
    <cellStyle name="Accent1 44" xfId="440" xr:uid="{C367C865-FCA4-4D9F-88F6-C517A9850EE2}"/>
    <cellStyle name="Accent1 45" xfId="441" xr:uid="{1132FF59-7010-4307-9B15-42B2944001B8}"/>
    <cellStyle name="Accent1 46" xfId="442" xr:uid="{752839DE-C7E9-49D0-900D-91334D76FCC2}"/>
    <cellStyle name="Accent1 47" xfId="443" xr:uid="{F916AC74-80C7-4064-8DC6-CD7CE3175DF8}"/>
    <cellStyle name="Accent1 48" xfId="444" xr:uid="{156CF94B-F9CB-4B25-88D3-FCE6C24AD66E}"/>
    <cellStyle name="Accent1 49" xfId="445" xr:uid="{8472EA0A-DA10-4A2A-BA8E-140E77627CE5}"/>
    <cellStyle name="Accent1 5" xfId="446" xr:uid="{DABBDDF0-38F7-4A74-8A05-073C1CF20BE5}"/>
    <cellStyle name="Accent1 50" xfId="447" xr:uid="{CBAECEC4-DF14-4241-9AC3-0E733DEB69CF}"/>
    <cellStyle name="Accent1 51" xfId="448" xr:uid="{4075CC51-DFD9-4961-89F3-CB3099EF5D1D}"/>
    <cellStyle name="Accent1 52" xfId="449" xr:uid="{BCA842C2-0951-4025-B96E-50B883A1D3D9}"/>
    <cellStyle name="Accent1 53" xfId="450" xr:uid="{FB5EF59B-D529-4ED3-9FB5-54C7BE8312BD}"/>
    <cellStyle name="Accent1 54" xfId="451" xr:uid="{7C953555-C4E9-4055-BB22-5256C064805F}"/>
    <cellStyle name="Accent1 55" xfId="452" xr:uid="{782BAF86-B878-45DE-A8C9-D58383F0A23E}"/>
    <cellStyle name="Accent1 56" xfId="453" xr:uid="{A7E865FC-F225-4C42-96E9-71D70F067C99}"/>
    <cellStyle name="Accent1 57" xfId="454" xr:uid="{5B47E11F-836E-4D70-B186-B18D9DAA562F}"/>
    <cellStyle name="Accent1 58" xfId="455" xr:uid="{E7CE3DC6-9201-4B4A-81CC-FD55D0A9A3A8}"/>
    <cellStyle name="Accent1 59" xfId="456" xr:uid="{D4857376-150D-4A0D-A61B-74DE6DF0BA1A}"/>
    <cellStyle name="Accent1 6" xfId="457" xr:uid="{64819DB6-EC55-4167-AB6C-FBC6C827722F}"/>
    <cellStyle name="Accent1 60" xfId="458" xr:uid="{AD0712B3-69DE-4993-944B-E76856C45786}"/>
    <cellStyle name="Accent1 61" xfId="459" xr:uid="{FE7A0620-4C7E-4DCC-BD9D-2E33A1D5E09F}"/>
    <cellStyle name="Accent1 62" xfId="460" xr:uid="{FD9EEB5F-A808-4A9C-9B09-937489AF8834}"/>
    <cellStyle name="Accent1 63" xfId="461" xr:uid="{B1B79FE4-AF44-41E0-B226-AC79D4C28DF4}"/>
    <cellStyle name="Accent1 64" xfId="462" xr:uid="{18D6C272-B16A-41D0-8AC3-6C955E466586}"/>
    <cellStyle name="Accent1 65" xfId="463" xr:uid="{08197617-9CA9-472C-ABF1-50084571C5BA}"/>
    <cellStyle name="Accent1 66" xfId="464" xr:uid="{3897F10B-8E69-480B-A949-295ADB4D4891}"/>
    <cellStyle name="Accent1 67" xfId="465" xr:uid="{79CF9964-10F0-4BD6-8372-9A63685D1D1D}"/>
    <cellStyle name="Accent1 68" xfId="466" xr:uid="{6B28AE84-F7EA-4DB4-A684-C8A8F876E10D}"/>
    <cellStyle name="Accent1 69" xfId="467" xr:uid="{3206A381-A3D2-4E06-A667-B142E981EE2B}"/>
    <cellStyle name="Accent1 7" xfId="468" xr:uid="{D7876275-B3CB-48BC-844B-34C5B184D770}"/>
    <cellStyle name="Accent1 70" xfId="469" xr:uid="{73A114E4-B22A-41BE-BEC9-ADE5A3ED6C9F}"/>
    <cellStyle name="Accent1 71" xfId="470" xr:uid="{C14037CE-F43B-466B-A797-613541CF94E5}"/>
    <cellStyle name="Accent1 72" xfId="471" xr:uid="{19BCB457-5633-4375-9304-BD5899B005EB}"/>
    <cellStyle name="Accent1 73" xfId="472" xr:uid="{C3BA77CE-4961-4151-AD18-4ECBFE97FF0B}"/>
    <cellStyle name="Accent1 74" xfId="473" xr:uid="{71679648-D372-4854-8693-EA6DFC1C9EC8}"/>
    <cellStyle name="Accent1 75" xfId="474" xr:uid="{FA337BAC-57A9-4BFB-9C27-96C29D40BF21}"/>
    <cellStyle name="Accent1 76" xfId="475" xr:uid="{C4540786-9E63-4F6C-B9E4-6ADF119869DF}"/>
    <cellStyle name="Accent1 77" xfId="476" xr:uid="{61E01D8E-BA55-46CC-BD7F-797D1B4EB15A}"/>
    <cellStyle name="Accent1 78" xfId="477" xr:uid="{54DE9221-68C5-4F69-8958-BDBD62034E60}"/>
    <cellStyle name="Accent1 79" xfId="478" xr:uid="{388C4AD6-9CCA-4A39-88A3-8FA989994F8C}"/>
    <cellStyle name="Accent1 8" xfId="479" xr:uid="{8BC2C613-49E0-46F7-B86C-B6801587E371}"/>
    <cellStyle name="Accent1 80" xfId="480" xr:uid="{28C89F54-2BEB-4837-992F-B3F7EF7E1E36}"/>
    <cellStyle name="Accent1 81" xfId="481" xr:uid="{EAE094FF-F63F-4994-8CC8-B2E2E4ADCDA6}"/>
    <cellStyle name="Accent1 82" xfId="482" xr:uid="{68797889-8B3E-4B4C-9868-4A9FF92FD417}"/>
    <cellStyle name="Accent1 83" xfId="483" xr:uid="{0F5274B6-3736-4B24-9F9E-E94FD591851F}"/>
    <cellStyle name="Accent1 84" xfId="484" xr:uid="{6662B682-A383-4315-B623-580660BC138E}"/>
    <cellStyle name="Accent1 85" xfId="485" xr:uid="{F2D1983A-F936-41FE-8476-CB84365DBED0}"/>
    <cellStyle name="Accent1 86" xfId="486" xr:uid="{3980C4FF-152C-402A-AA29-DB6ACE5F56CC}"/>
    <cellStyle name="Accent1 87" xfId="487" xr:uid="{CF709F2E-47B9-4B6A-ADE0-C204EDC038A4}"/>
    <cellStyle name="Accent1 88" xfId="488" xr:uid="{436F7EA0-D791-4920-B515-90CDC0594085}"/>
    <cellStyle name="Accent1 9" xfId="489" xr:uid="{FC3AC931-F5FD-4ADE-A23B-3E7E7D73B081}"/>
    <cellStyle name="Accent2 - 20%" xfId="490" xr:uid="{4185C0B0-1923-4909-8646-1B39AF32F507}"/>
    <cellStyle name="Accent2 - 20% 2" xfId="491" xr:uid="{E6ABFDC7-5842-4C37-853F-DC860CAB58F5}"/>
    <cellStyle name="Accent2 - 40%" xfId="492" xr:uid="{DED80F31-FF33-46BB-BF97-4DABBDFD904A}"/>
    <cellStyle name="Accent2 - 40% 2" xfId="493" xr:uid="{598BFA98-6D28-4239-A443-FA8F4A11DF63}"/>
    <cellStyle name="Accent2 - 60%" xfId="494" xr:uid="{B643AD16-1BC0-4523-9499-76F10C5B1F3B}"/>
    <cellStyle name="Accent2 - 60% 2" xfId="495" xr:uid="{854C8B03-0BE2-447A-9800-1A02184C098C}"/>
    <cellStyle name="Accent2 10" xfId="496" xr:uid="{BA675169-5BF3-41AC-B974-C6E556DBDBD5}"/>
    <cellStyle name="Accent2 11" xfId="497" xr:uid="{4D15A62B-7ABA-4B91-B85B-0526FEA2814E}"/>
    <cellStyle name="Accent2 12" xfId="498" xr:uid="{84A0F090-C44F-4774-A86C-ED48D316F42A}"/>
    <cellStyle name="Accent2 13" xfId="499" xr:uid="{F3000F71-70FB-4941-A562-5E3E0D949F35}"/>
    <cellStyle name="Accent2 14" xfId="500" xr:uid="{F3454663-3191-4DA2-94B6-F99F43406817}"/>
    <cellStyle name="Accent2 15" xfId="501" xr:uid="{1E412EAB-4197-484C-9986-E8F49E538D43}"/>
    <cellStyle name="Accent2 16" xfId="502" xr:uid="{5130821B-3FB6-48D7-B735-FE1835D3C3AA}"/>
    <cellStyle name="Accent2 17" xfId="503" xr:uid="{1304F4DF-3352-4280-B1CE-F28E91789394}"/>
    <cellStyle name="Accent2 18" xfId="504" xr:uid="{9E5CC589-B7FA-4F35-9B58-E7AA0B232CC7}"/>
    <cellStyle name="Accent2 19" xfId="505" xr:uid="{36AE1C8D-85F4-42FB-A41A-F9E32ECBD9B4}"/>
    <cellStyle name="Accent2 2" xfId="506" xr:uid="{C7938CEA-5677-4AEB-B017-3DDFC2F899AA}"/>
    <cellStyle name="Accent2 2 2" xfId="507" xr:uid="{31CEC634-A80D-4023-9F5C-587954E0513B}"/>
    <cellStyle name="Accent2 2 3" xfId="508" xr:uid="{0B95F248-6D7E-4C45-857B-9EFFD4CDA8D8}"/>
    <cellStyle name="Accent2 20" xfId="509" xr:uid="{9625C955-6CDC-4C57-95B5-0EAE46919D54}"/>
    <cellStyle name="Accent2 21" xfId="510" xr:uid="{81ED34C2-E1EB-4404-B667-5E8F66483BFF}"/>
    <cellStyle name="Accent2 22" xfId="511" xr:uid="{7CD7A243-24FB-4C93-BF55-15901884E2CD}"/>
    <cellStyle name="Accent2 23" xfId="512" xr:uid="{9C050840-C64C-48A9-A0C5-6526959041EB}"/>
    <cellStyle name="Accent2 24" xfId="513" xr:uid="{0A3AF9B7-D1D2-4352-BC18-88A2D7595A9E}"/>
    <cellStyle name="Accent2 25" xfId="514" xr:uid="{76E3D30E-5FA3-4A3C-B3AD-6CC4F653148C}"/>
    <cellStyle name="Accent2 26" xfId="515" xr:uid="{D501759F-269B-4B15-9424-F9FA48FFA4F4}"/>
    <cellStyle name="Accent2 27" xfId="516" xr:uid="{EB0477F1-B2D8-46B8-8469-B506E5428D19}"/>
    <cellStyle name="Accent2 28" xfId="517" xr:uid="{58CAD576-21CC-4688-8441-A0DE17D9455E}"/>
    <cellStyle name="Accent2 29" xfId="518" xr:uid="{44DD2E5E-8B2D-40A9-8248-3C91250A6A57}"/>
    <cellStyle name="Accent2 3" xfId="519" xr:uid="{30D6B4D0-EE78-4DAF-AB8F-20EFDE0E3270}"/>
    <cellStyle name="Accent2 30" xfId="520" xr:uid="{C7634823-22C7-4C65-BB91-45A8A6FEBA83}"/>
    <cellStyle name="Accent2 31" xfId="521" xr:uid="{536A1B6B-4262-4E82-B572-24CB6C8FE837}"/>
    <cellStyle name="Accent2 32" xfId="522" xr:uid="{D67793ED-70FA-4220-A8A9-78D51353801F}"/>
    <cellStyle name="Accent2 33" xfId="523" xr:uid="{1A743B5C-B618-49A0-9122-D86D338E016B}"/>
    <cellStyle name="Accent2 34" xfId="524" xr:uid="{C21B28CC-25B1-4699-9557-89DEF860484B}"/>
    <cellStyle name="Accent2 35" xfId="525" xr:uid="{B4EBDD5F-F980-43D1-A6E3-191662A280E3}"/>
    <cellStyle name="Accent2 36" xfId="526" xr:uid="{6E50ED0A-4F98-40DB-ABD3-D35CC623DB33}"/>
    <cellStyle name="Accent2 37" xfId="527" xr:uid="{3B6D2BEF-94C6-4544-B7B5-F1F26A2BC2AB}"/>
    <cellStyle name="Accent2 38" xfId="528" xr:uid="{16B6A88B-DF09-4DD5-BA70-D0EF7131D498}"/>
    <cellStyle name="Accent2 39" xfId="529" xr:uid="{C37F0587-7AFC-4EAC-B59E-2E16C3D5061F}"/>
    <cellStyle name="Accent2 4" xfId="530" xr:uid="{D60FDFF1-BBCF-4A6D-AD99-C1C437BD8519}"/>
    <cellStyle name="Accent2 40" xfId="531" xr:uid="{F9937260-B802-45E7-AA68-37852E3DD7C5}"/>
    <cellStyle name="Accent2 41" xfId="532" xr:uid="{794F3608-894A-4EB5-9057-B8662122FC59}"/>
    <cellStyle name="Accent2 42" xfId="533" xr:uid="{CAEED423-78F0-4344-ADE3-40AFC0B74A60}"/>
    <cellStyle name="Accent2 43" xfId="534" xr:uid="{D25539C1-6620-40CE-9A95-C6620E2FD537}"/>
    <cellStyle name="Accent2 44" xfId="535" xr:uid="{8AF9AB1E-1ACC-40E3-8555-279AE140F8BA}"/>
    <cellStyle name="Accent2 45" xfId="536" xr:uid="{32BDF1AC-A0A4-4D82-AAD6-DEBC2EBC3D29}"/>
    <cellStyle name="Accent2 46" xfId="537" xr:uid="{C4771D47-42B9-41DB-B469-00A356042316}"/>
    <cellStyle name="Accent2 47" xfId="538" xr:uid="{C70B6EE0-65A6-4BB7-BA3C-0858E1898E16}"/>
    <cellStyle name="Accent2 48" xfId="539" xr:uid="{F2DF4263-D4CF-41D6-8757-F1C9809CB031}"/>
    <cellStyle name="Accent2 49" xfId="540" xr:uid="{BFE0F191-6CAE-49C1-8B50-1ED38298348C}"/>
    <cellStyle name="Accent2 5" xfId="541" xr:uid="{AE0CB74C-CEC5-45C6-822B-5058DCA451A9}"/>
    <cellStyle name="Accent2 50" xfId="542" xr:uid="{81C11A47-3E3D-4041-A36D-9C7393A6D696}"/>
    <cellStyle name="Accent2 51" xfId="543" xr:uid="{E27D8DB3-0BDE-49C0-9D58-281541AB69EF}"/>
    <cellStyle name="Accent2 52" xfId="544" xr:uid="{5B241FC5-1224-47D2-B7F2-39690AFC3BA4}"/>
    <cellStyle name="Accent2 53" xfId="545" xr:uid="{29FC27CA-4D2B-40F8-B3EB-EFE3ECC9B968}"/>
    <cellStyle name="Accent2 54" xfId="546" xr:uid="{8A6EA522-C0E9-4868-BF2E-359E5DAAD55C}"/>
    <cellStyle name="Accent2 55" xfId="547" xr:uid="{40755E6C-0262-4ED1-8F4C-DF48C197F73C}"/>
    <cellStyle name="Accent2 56" xfId="548" xr:uid="{8F59AD41-4F9B-4654-AAB1-66174E3559BC}"/>
    <cellStyle name="Accent2 57" xfId="549" xr:uid="{15A5E8B6-AA2F-47E3-BE1A-4A9026537A27}"/>
    <cellStyle name="Accent2 58" xfId="550" xr:uid="{40AF1745-250A-464A-B41D-147B4C832F76}"/>
    <cellStyle name="Accent2 59" xfId="551" xr:uid="{ABAFFA0C-5A5C-4152-9D49-1DFE7D3D7995}"/>
    <cellStyle name="Accent2 6" xfId="552" xr:uid="{CEB8A467-6401-4096-8ED9-6330D549DE5D}"/>
    <cellStyle name="Accent2 60" xfId="553" xr:uid="{32F2D25D-E88B-49F8-A35B-EE4647639C6D}"/>
    <cellStyle name="Accent2 61" xfId="554" xr:uid="{80C4039B-8308-4B42-9BC9-13984C822C79}"/>
    <cellStyle name="Accent2 62" xfId="555" xr:uid="{B85DC41C-00DE-48FC-8365-2C6D3FB09081}"/>
    <cellStyle name="Accent2 63" xfId="556" xr:uid="{FA54FAEA-D824-4F53-A0FA-6E2D1E4419A5}"/>
    <cellStyle name="Accent2 64" xfId="557" xr:uid="{72FD1107-6298-48F7-BF0F-B31748946FF8}"/>
    <cellStyle name="Accent2 65" xfId="558" xr:uid="{6DA3BE15-7FF9-4684-9CE4-EDDF4A3F5DA7}"/>
    <cellStyle name="Accent2 66" xfId="559" xr:uid="{D7BB2375-EF58-46C4-9BF7-B0A43C5467D6}"/>
    <cellStyle name="Accent2 67" xfId="560" xr:uid="{C957B6A9-16D3-4295-89BB-BEB3B9AD3750}"/>
    <cellStyle name="Accent2 68" xfId="561" xr:uid="{148398D5-819C-4458-AF4C-7EF804153F93}"/>
    <cellStyle name="Accent2 69" xfId="562" xr:uid="{D776C508-8F3B-4BBD-AF9C-9C4766E883F4}"/>
    <cellStyle name="Accent2 7" xfId="563" xr:uid="{21CEE5D1-6BDF-4C2C-9FFE-4435A8D19860}"/>
    <cellStyle name="Accent2 70" xfId="564" xr:uid="{C600AE8C-A431-4E83-8A8C-86E982422E77}"/>
    <cellStyle name="Accent2 71" xfId="565" xr:uid="{ABA6CB06-EB4C-4912-8AB0-895D4623D5CB}"/>
    <cellStyle name="Accent2 72" xfId="566" xr:uid="{C6DA9A14-A638-4AD9-A723-71202BBCD3FF}"/>
    <cellStyle name="Accent2 73" xfId="567" xr:uid="{7B3B12CC-7AAE-462F-B8B0-63DD23206A12}"/>
    <cellStyle name="Accent2 74" xfId="568" xr:uid="{73E9D00E-5F86-41EC-922A-099B4301D883}"/>
    <cellStyle name="Accent2 75" xfId="569" xr:uid="{D8EEA372-A609-48E1-899D-1F291B7E3DC5}"/>
    <cellStyle name="Accent2 76" xfId="570" xr:uid="{1EC3CD99-68CA-4272-940A-DCE43263A96C}"/>
    <cellStyle name="Accent2 77" xfId="571" xr:uid="{08773D7C-DEC3-430C-97E3-A38FA47FD747}"/>
    <cellStyle name="Accent2 78" xfId="572" xr:uid="{98126C26-05F0-4965-A7B2-A47FDDE33724}"/>
    <cellStyle name="Accent2 79" xfId="573" xr:uid="{19270A79-9C33-43AA-9AB0-A576D76BEBAE}"/>
    <cellStyle name="Accent2 8" xfId="574" xr:uid="{ADD594D1-192C-4D3A-B904-85B70F6153D5}"/>
    <cellStyle name="Accent2 80" xfId="575" xr:uid="{1B2A4B87-D790-4525-A056-EEF6A8C87FF9}"/>
    <cellStyle name="Accent2 81" xfId="576" xr:uid="{1B8C640A-D207-4E40-AD7D-87FED534986B}"/>
    <cellStyle name="Accent2 82" xfId="577" xr:uid="{71F4D548-579D-4C97-BE48-DC5B9913D789}"/>
    <cellStyle name="Accent2 83" xfId="578" xr:uid="{0B5C82EB-D21F-448E-AF25-894C1F238DA4}"/>
    <cellStyle name="Accent2 84" xfId="579" xr:uid="{9CEA6F87-011D-435C-931A-CCA0A0A39CE8}"/>
    <cellStyle name="Accent2 85" xfId="580" xr:uid="{80CA5D2B-993C-4E93-8437-ED6A12DCC2C3}"/>
    <cellStyle name="Accent2 86" xfId="581" xr:uid="{F9CE0DD5-7623-48A1-A852-0DB76B90F96B}"/>
    <cellStyle name="Accent2 87" xfId="582" xr:uid="{86E065B5-CA07-4D5C-9CFB-4F95C92E5D02}"/>
    <cellStyle name="Accent2 88" xfId="583" xr:uid="{3504AF33-E676-4BB4-B6C2-321B5276887A}"/>
    <cellStyle name="Accent2 9" xfId="584" xr:uid="{9F3CC453-7FF7-4E4D-AD95-2CB3F7C40E4C}"/>
    <cellStyle name="Accent3 - 20%" xfId="585" xr:uid="{B31CC93B-40A7-4E22-9CE7-8A1267D81F6C}"/>
    <cellStyle name="Accent3 - 20% 2" xfId="586" xr:uid="{26FF7510-85CB-4BEC-9F29-B021B351A482}"/>
    <cellStyle name="Accent3 - 40%" xfId="587" xr:uid="{762517CF-7A37-48E6-BD55-54378687BD05}"/>
    <cellStyle name="Accent3 - 40% 2" xfId="588" xr:uid="{58568C58-3E0C-4233-A98F-ED36C3E6E6D7}"/>
    <cellStyle name="Accent3 - 60%" xfId="589" xr:uid="{61268AAC-3A79-407E-83D8-48FBE5957F12}"/>
    <cellStyle name="Accent3 - 60% 2" xfId="590" xr:uid="{AFFF3FFB-6DF2-4ABC-B44B-0F3C31C4CB31}"/>
    <cellStyle name="Accent3 10" xfId="591" xr:uid="{E540F271-A228-4AD7-AF7E-0BAE9CE9C9D1}"/>
    <cellStyle name="Accent3 11" xfId="592" xr:uid="{64D6F581-26DB-4723-8E7E-FBB8FBD44534}"/>
    <cellStyle name="Accent3 12" xfId="593" xr:uid="{5E066E2D-697D-4D72-9C9B-F660BF03A21A}"/>
    <cellStyle name="Accent3 13" xfId="594" xr:uid="{FCD207AA-D63D-4C54-A92D-E4E0412EF64F}"/>
    <cellStyle name="Accent3 14" xfId="595" xr:uid="{4809B3FD-2875-4468-8593-11DC9E9743AF}"/>
    <cellStyle name="Accent3 15" xfId="596" xr:uid="{303CECF2-36ED-4823-8F54-B8D981E45D88}"/>
    <cellStyle name="Accent3 16" xfId="597" xr:uid="{20CB8517-E677-4815-BB71-1F5D1D21DE6E}"/>
    <cellStyle name="Accent3 17" xfId="598" xr:uid="{2B91811C-9DC4-4B8F-AD80-53C0550D338B}"/>
    <cellStyle name="Accent3 18" xfId="599" xr:uid="{B65D8C25-0121-45D7-B81A-0D07763E80B6}"/>
    <cellStyle name="Accent3 19" xfId="600" xr:uid="{DDE0F698-0262-4BA7-90A8-26B097FCB281}"/>
    <cellStyle name="Accent3 2" xfId="601" xr:uid="{C2AFB749-82E7-4E5A-87A1-0FF98FBA01A4}"/>
    <cellStyle name="Accent3 2 2" xfId="602" xr:uid="{EA7843EC-2208-447E-97E0-13F6180D5E9B}"/>
    <cellStyle name="Accent3 2 3" xfId="603" xr:uid="{D2560633-836A-4B92-B913-7AB54B3CD071}"/>
    <cellStyle name="Accent3 20" xfId="604" xr:uid="{ECBF1796-0864-4BC4-8221-9A21DF52044C}"/>
    <cellStyle name="Accent3 21" xfId="605" xr:uid="{15E79A2F-74A4-460A-A537-D9913F8ADF0C}"/>
    <cellStyle name="Accent3 22" xfId="606" xr:uid="{64DF4124-CB6A-478B-9621-9BC4DA392B9A}"/>
    <cellStyle name="Accent3 23" xfId="607" xr:uid="{44DA3470-819E-4165-BA29-DA578F29BA99}"/>
    <cellStyle name="Accent3 24" xfId="608" xr:uid="{EFCFA2FB-5D39-44F3-A6B6-73E5282A816F}"/>
    <cellStyle name="Accent3 25" xfId="609" xr:uid="{EE4813C3-496D-4385-A915-C512048F8695}"/>
    <cellStyle name="Accent3 26" xfId="610" xr:uid="{1D3B9254-C425-444B-A5CD-65CF3C053E61}"/>
    <cellStyle name="Accent3 27" xfId="611" xr:uid="{127D6BBE-E963-4BBC-9564-070C9E1DCF06}"/>
    <cellStyle name="Accent3 28" xfId="612" xr:uid="{03BB6238-B7E1-4CE3-83AF-FC091610A00D}"/>
    <cellStyle name="Accent3 29" xfId="613" xr:uid="{E2115106-90BD-4BC2-A1B6-3833428E0EE0}"/>
    <cellStyle name="Accent3 3" xfId="614" xr:uid="{A18D66E6-0DAF-4651-9570-9D0CB1F0DF5C}"/>
    <cellStyle name="Accent3 30" xfId="615" xr:uid="{B7DEA8CE-5DC3-40B8-A8FB-EC17488C0DF7}"/>
    <cellStyle name="Accent3 31" xfId="616" xr:uid="{916C5A5F-1939-4336-AC65-F746B3932E93}"/>
    <cellStyle name="Accent3 32" xfId="617" xr:uid="{2EC547D7-5965-4329-A9FD-7EB7F2439A0C}"/>
    <cellStyle name="Accent3 33" xfId="618" xr:uid="{9EEE2B6D-6544-4027-B203-447EB31B36B1}"/>
    <cellStyle name="Accent3 34" xfId="619" xr:uid="{9869F2C9-6AE7-46F7-A48E-662E25820D52}"/>
    <cellStyle name="Accent3 35" xfId="620" xr:uid="{528E478E-FCF8-4877-9BF2-59FC634C5155}"/>
    <cellStyle name="Accent3 36" xfId="621" xr:uid="{F203E414-D8B1-4921-AE2B-922AA5DC7E17}"/>
    <cellStyle name="Accent3 37" xfId="622" xr:uid="{E69D38D4-EA06-4845-AF25-32C873B2FEE8}"/>
    <cellStyle name="Accent3 38" xfId="623" xr:uid="{1DB5206B-257B-47C4-BF6B-6BF69F562CAE}"/>
    <cellStyle name="Accent3 39" xfId="624" xr:uid="{6B290AD4-8399-4A1D-AE3F-84F6083AF28D}"/>
    <cellStyle name="Accent3 4" xfId="625" xr:uid="{115D70AD-DC13-40A1-BEE5-7CA395AAAE69}"/>
    <cellStyle name="Accent3 40" xfId="626" xr:uid="{1C3A6FA2-52DE-440C-B76A-392D96F60C80}"/>
    <cellStyle name="Accent3 41" xfId="627" xr:uid="{59C17580-54DC-40AB-A469-4A0291318BA7}"/>
    <cellStyle name="Accent3 42" xfId="628" xr:uid="{9AB4E472-F025-41E6-99D7-A1264C1B0012}"/>
    <cellStyle name="Accent3 43" xfId="629" xr:uid="{05F8B0D9-704D-46FC-9B9A-C0421533FA0C}"/>
    <cellStyle name="Accent3 44" xfId="630" xr:uid="{3E5ABAD2-0520-4956-8616-74723C70A711}"/>
    <cellStyle name="Accent3 45" xfId="631" xr:uid="{A44F8D18-B1E7-40C9-BB71-E9CD6F9C45A1}"/>
    <cellStyle name="Accent3 46" xfId="632" xr:uid="{C722A1FA-B75A-4F63-9EF2-71E3B9B2C5D1}"/>
    <cellStyle name="Accent3 47" xfId="633" xr:uid="{A625F055-C838-48BA-B4EE-7C8F610BD81E}"/>
    <cellStyle name="Accent3 48" xfId="634" xr:uid="{CCCA5AF7-CBFC-4BD7-9F48-5B5F7585E632}"/>
    <cellStyle name="Accent3 49" xfId="635" xr:uid="{223EC759-C879-47E3-93F4-471790BE6249}"/>
    <cellStyle name="Accent3 5" xfId="636" xr:uid="{15281E45-8824-47C2-82B5-8460660B17F9}"/>
    <cellStyle name="Accent3 50" xfId="637" xr:uid="{5438467D-923B-4879-A213-3550106570A2}"/>
    <cellStyle name="Accent3 51" xfId="638" xr:uid="{4D789217-26D9-4CC7-9852-B8C48C3980AD}"/>
    <cellStyle name="Accent3 52" xfId="639" xr:uid="{610DAC1A-C7B2-46D8-980A-4C099DCEA76B}"/>
    <cellStyle name="Accent3 53" xfId="640" xr:uid="{9AED0B23-E2FE-416E-A3A4-6D606A826371}"/>
    <cellStyle name="Accent3 54" xfId="641" xr:uid="{6D94A444-BA0C-4A61-BDE6-BA174CBB2BAC}"/>
    <cellStyle name="Accent3 55" xfId="642" xr:uid="{DA9C4700-F494-4FB9-AC9C-CF99BCF9511D}"/>
    <cellStyle name="Accent3 56" xfId="643" xr:uid="{6B661335-D29B-46EA-B254-2EB919E33503}"/>
    <cellStyle name="Accent3 57" xfId="644" xr:uid="{4243295B-E613-45DC-90AB-1D67765699BC}"/>
    <cellStyle name="Accent3 58" xfId="645" xr:uid="{4AFDA79F-1FCD-45F4-A054-EFFC2F06E350}"/>
    <cellStyle name="Accent3 59" xfId="646" xr:uid="{5C74B586-8BB0-456C-9356-0028D6BDBDDE}"/>
    <cellStyle name="Accent3 6" xfId="647" xr:uid="{ED68D71A-DF0B-414D-BF3F-897B1CE0A455}"/>
    <cellStyle name="Accent3 60" xfId="648" xr:uid="{7825D010-BF59-4131-B16D-8D298247EA9B}"/>
    <cellStyle name="Accent3 61" xfId="649" xr:uid="{76132172-22DF-4855-944F-C716F006D615}"/>
    <cellStyle name="Accent3 62" xfId="650" xr:uid="{F5A50B9E-4620-48A3-9F36-9911DDA79054}"/>
    <cellStyle name="Accent3 63" xfId="651" xr:uid="{0EB18005-61D6-4108-9250-CDB103353CEC}"/>
    <cellStyle name="Accent3 64" xfId="652" xr:uid="{A27A5D1B-E27B-4724-93F7-73D2D0015E4A}"/>
    <cellStyle name="Accent3 65" xfId="653" xr:uid="{7DBB84D1-3EF0-4FCB-B701-8AB3C591F831}"/>
    <cellStyle name="Accent3 66" xfId="654" xr:uid="{596DA7FD-4ED6-4CE5-8618-296FA35272C2}"/>
    <cellStyle name="Accent3 67" xfId="655" xr:uid="{73D58BA1-4041-416B-A57F-C3934C0583BC}"/>
    <cellStyle name="Accent3 68" xfId="656" xr:uid="{AEF7D7AB-284F-4E7F-A3C6-FCAA57A8DC87}"/>
    <cellStyle name="Accent3 69" xfId="657" xr:uid="{142BD4A9-3E39-4D84-813B-335E81D719AB}"/>
    <cellStyle name="Accent3 7" xfId="658" xr:uid="{A599CFB3-B884-498E-9152-7174818ACE3C}"/>
    <cellStyle name="Accent3 70" xfId="659" xr:uid="{E62B3E6A-373B-4BD0-AC35-F30DF311593C}"/>
    <cellStyle name="Accent3 71" xfId="660" xr:uid="{F640FDC8-82C3-4437-B780-A31D5B5CEA76}"/>
    <cellStyle name="Accent3 72" xfId="661" xr:uid="{E74E776E-C696-45F0-97A8-98F0D7A5FC91}"/>
    <cellStyle name="Accent3 73" xfId="662" xr:uid="{521530F9-BE72-44A2-86FD-3EDCA85F0108}"/>
    <cellStyle name="Accent3 74" xfId="663" xr:uid="{9BE9C9ED-BCCD-4A82-83BB-946A2F6B73F3}"/>
    <cellStyle name="Accent3 75" xfId="664" xr:uid="{3A56E8B1-BD73-4782-B2C6-33C4EE5F6A14}"/>
    <cellStyle name="Accent3 76" xfId="665" xr:uid="{A4CDD1D2-9712-497A-BFD9-EBD3357A0AAD}"/>
    <cellStyle name="Accent3 77" xfId="666" xr:uid="{12FA136F-0139-4B77-857A-4138BF049204}"/>
    <cellStyle name="Accent3 78" xfId="667" xr:uid="{E3902D50-5D3A-480D-9E10-2FAFD8EEDA6B}"/>
    <cellStyle name="Accent3 79" xfId="668" xr:uid="{7D15450D-CC0D-4B3A-AF55-5804CAF5AE74}"/>
    <cellStyle name="Accent3 8" xfId="669" xr:uid="{9C48FEDC-76C5-4BAF-A5CD-37FD84700AEE}"/>
    <cellStyle name="Accent3 80" xfId="670" xr:uid="{956FD5E8-CE9C-49F0-B215-119EBB307041}"/>
    <cellStyle name="Accent3 81" xfId="671" xr:uid="{DD661F49-7642-48B9-9345-DD9E4533491E}"/>
    <cellStyle name="Accent3 82" xfId="672" xr:uid="{D30C679A-7448-4838-B43C-D813E74E4651}"/>
    <cellStyle name="Accent3 83" xfId="673" xr:uid="{E602C07E-3657-47DF-B001-0B6684D4D09F}"/>
    <cellStyle name="Accent3 84" xfId="674" xr:uid="{74061A08-02DD-4E75-A193-EA4E926952BA}"/>
    <cellStyle name="Accent3 85" xfId="675" xr:uid="{D637180D-EDFA-4BF8-9BE6-EB638D6325C3}"/>
    <cellStyle name="Accent3 86" xfId="676" xr:uid="{37C6F4DD-6D13-4F68-8059-10ED087FA8F0}"/>
    <cellStyle name="Accent3 87" xfId="677" xr:uid="{0461D02B-F6D0-435E-9B91-54CA63BCC330}"/>
    <cellStyle name="Accent3 88" xfId="678" xr:uid="{10FB9A9B-BB8D-4BBE-872D-B1B694988AD3}"/>
    <cellStyle name="Accent3 9" xfId="679" xr:uid="{E98033FE-6454-437E-8103-45F96FB0A0FA}"/>
    <cellStyle name="Accent4 - 20%" xfId="680" xr:uid="{E554A04F-55EC-4E4A-9315-B2870E0CB86D}"/>
    <cellStyle name="Accent4 - 20% 2" xfId="681" xr:uid="{34E4DAB8-0973-4040-800B-89C1EDC31693}"/>
    <cellStyle name="Accent4 - 40%" xfId="682" xr:uid="{9172996E-A865-4FA8-95B6-279C6A823C28}"/>
    <cellStyle name="Accent4 - 40% 2" xfId="683" xr:uid="{98ADE8A7-F39F-4A41-8C29-88A9F9183F14}"/>
    <cellStyle name="Accent4 - 60%" xfId="684" xr:uid="{2D506682-81BC-477A-ABAF-31D3A475A214}"/>
    <cellStyle name="Accent4 - 60% 2" xfId="685" xr:uid="{AB8FC003-78A1-445A-892B-A781765C3460}"/>
    <cellStyle name="Accent4 10" xfId="686" xr:uid="{09A4CB3D-E60E-4657-9E21-F4F9A4E414A3}"/>
    <cellStyle name="Accent4 11" xfId="687" xr:uid="{FF62A905-2104-4E57-B3B6-75E1F2C83E04}"/>
    <cellStyle name="Accent4 12" xfId="688" xr:uid="{CDDDBCE4-B973-44EB-BD06-952AA6BABCF0}"/>
    <cellStyle name="Accent4 13" xfId="689" xr:uid="{F1543F6F-1E8A-4E2F-9628-C1BBBCC87518}"/>
    <cellStyle name="Accent4 14" xfId="690" xr:uid="{ABF278E3-3940-4A09-AF84-0653BDF80270}"/>
    <cellStyle name="Accent4 15" xfId="691" xr:uid="{4D9143FC-5DFF-404D-A866-60A720CB4B4A}"/>
    <cellStyle name="Accent4 16" xfId="692" xr:uid="{4CFBAA47-D48E-4145-A556-A4E6A220E63A}"/>
    <cellStyle name="Accent4 17" xfId="693" xr:uid="{6CD089AB-1E65-41D8-B75D-539A827AF24A}"/>
    <cellStyle name="Accent4 18" xfId="694" xr:uid="{918F326A-0A7F-41C9-B740-3EFCEC343B16}"/>
    <cellStyle name="Accent4 19" xfId="695" xr:uid="{985539FE-63EE-4C8B-88A4-DEB73E84A1FD}"/>
    <cellStyle name="Accent4 2" xfId="696" xr:uid="{49BF452C-CE1E-42D5-8F88-8135460205E6}"/>
    <cellStyle name="Accent4 2 2" xfId="697" xr:uid="{9AB97B59-460F-4BAD-956A-0150063A0DC8}"/>
    <cellStyle name="Accent4 2 3" xfId="698" xr:uid="{A2DF144B-051B-40D1-BF6A-92714AF5D1AC}"/>
    <cellStyle name="Accent4 20" xfId="699" xr:uid="{86FDFF19-9E14-4798-BE2A-E4366CCF9310}"/>
    <cellStyle name="Accent4 21" xfId="700" xr:uid="{DB490C9B-2ABB-482B-B53D-5836917A8902}"/>
    <cellStyle name="Accent4 22" xfId="701" xr:uid="{6E962569-317B-402A-A993-36DB10AC6EEE}"/>
    <cellStyle name="Accent4 23" xfId="702" xr:uid="{889338B5-0AD4-4CE0-AC03-178710DE51B1}"/>
    <cellStyle name="Accent4 24" xfId="703" xr:uid="{5702E47C-7A4C-4476-88CE-D9F582084359}"/>
    <cellStyle name="Accent4 25" xfId="704" xr:uid="{5910C6D7-6BDC-4C73-9F7B-918EAE0DEB2F}"/>
    <cellStyle name="Accent4 26" xfId="705" xr:uid="{D0D33270-F4B2-4038-B7EC-5E04848E56E1}"/>
    <cellStyle name="Accent4 27" xfId="706" xr:uid="{67BBBFEE-A2E7-4EF9-B96D-4CCEA10880A1}"/>
    <cellStyle name="Accent4 28" xfId="707" xr:uid="{2DA972BA-59A4-4ED2-B5BF-822194B1E6D2}"/>
    <cellStyle name="Accent4 29" xfId="708" xr:uid="{D35E4ECD-6728-4D33-97FE-E0BD2FE8F018}"/>
    <cellStyle name="Accent4 3" xfId="709" xr:uid="{822C11E3-2DC3-4406-BAAC-67241DF41C9C}"/>
    <cellStyle name="Accent4 30" xfId="710" xr:uid="{76B8971C-EBEC-4864-8ABB-3D7DD3989B1E}"/>
    <cellStyle name="Accent4 31" xfId="711" xr:uid="{CE92AC35-5393-44FD-A903-699F94B1FEC9}"/>
    <cellStyle name="Accent4 32" xfId="712" xr:uid="{E2A794E4-7F1A-404F-8E8F-9267D4F694F5}"/>
    <cellStyle name="Accent4 33" xfId="713" xr:uid="{FD9DE039-B790-4475-8A3C-1521074A9790}"/>
    <cellStyle name="Accent4 34" xfId="714" xr:uid="{7AA381C2-91ED-4F51-AEEA-939DAA3CC7B2}"/>
    <cellStyle name="Accent4 35" xfId="715" xr:uid="{1007B5BA-17EA-4AE1-B4E4-15F06512250D}"/>
    <cellStyle name="Accent4 36" xfId="716" xr:uid="{792262E4-D0FE-4770-A92F-FBD8C13CDC19}"/>
    <cellStyle name="Accent4 37" xfId="717" xr:uid="{14AB43A9-64DF-4ECC-8DC3-3A1F8888140B}"/>
    <cellStyle name="Accent4 38" xfId="718" xr:uid="{23A3C63B-9FBA-4D51-B14B-D25C96BB2D05}"/>
    <cellStyle name="Accent4 39" xfId="719" xr:uid="{59B405BC-3432-432A-BEB6-FF6F3D20AE58}"/>
    <cellStyle name="Accent4 4" xfId="720" xr:uid="{0D789AAC-C49E-4E4C-8E75-ACFEB42B0A15}"/>
    <cellStyle name="Accent4 40" xfId="721" xr:uid="{B6218B95-535D-4E8F-807B-DC010D350499}"/>
    <cellStyle name="Accent4 41" xfId="722" xr:uid="{894C49D5-C5FE-424F-90C4-A71958B85FBF}"/>
    <cellStyle name="Accent4 42" xfId="723" xr:uid="{E83F0F97-2A65-435E-B30B-2DDF68B24D77}"/>
    <cellStyle name="Accent4 43" xfId="724" xr:uid="{7208AD2E-1D09-4A24-A10B-8649C6A8B008}"/>
    <cellStyle name="Accent4 44" xfId="725" xr:uid="{7B4062A7-A2B6-4600-A300-C3937AB96513}"/>
    <cellStyle name="Accent4 45" xfId="726" xr:uid="{53F926A0-E7E1-4E9A-AFF6-F8D18574055D}"/>
    <cellStyle name="Accent4 46" xfId="727" xr:uid="{36138D3D-0B5D-46FC-BFC4-D8E8A9943717}"/>
    <cellStyle name="Accent4 47" xfId="728" xr:uid="{B317062B-017E-4934-B217-5643B781A264}"/>
    <cellStyle name="Accent4 48" xfId="729" xr:uid="{BFD56831-10C7-4CD0-8561-55ADF658C5BE}"/>
    <cellStyle name="Accent4 49" xfId="730" xr:uid="{80E8ACC1-DE42-4B6F-BD47-B0FBE93477B6}"/>
    <cellStyle name="Accent4 5" xfId="731" xr:uid="{59642880-257D-48FA-A9DD-F47A0B11D31D}"/>
    <cellStyle name="Accent4 50" xfId="732" xr:uid="{207A3DD0-D9E0-4C25-BAF4-06AA51DBDBDF}"/>
    <cellStyle name="Accent4 51" xfId="733" xr:uid="{43BF467A-0C67-4A7B-A691-201D9A5C640C}"/>
    <cellStyle name="Accent4 52" xfId="734" xr:uid="{3660D900-26E9-4899-BF4E-3A749D838FBC}"/>
    <cellStyle name="Accent4 53" xfId="735" xr:uid="{1008A221-0F39-4BDE-BB3E-E0248A4C12DC}"/>
    <cellStyle name="Accent4 54" xfId="736" xr:uid="{CE21F5CE-66D3-46BC-910D-A1F359AFA9A7}"/>
    <cellStyle name="Accent4 55" xfId="737" xr:uid="{75AEBD75-D9F1-435B-B17B-27975C7DD663}"/>
    <cellStyle name="Accent4 56" xfId="738" xr:uid="{1349E552-3196-4837-8B27-12E21DB243FC}"/>
    <cellStyle name="Accent4 57" xfId="739" xr:uid="{A0BB7FEB-9734-4C61-8758-8F450CDC28CB}"/>
    <cellStyle name="Accent4 58" xfId="740" xr:uid="{150F841E-985C-436C-8598-2BCBCDD3C7E8}"/>
    <cellStyle name="Accent4 59" xfId="741" xr:uid="{F8CABA77-4C75-4473-BE07-CFE1FD251375}"/>
    <cellStyle name="Accent4 6" xfId="742" xr:uid="{911D47FF-5535-41D6-A860-39C070E5EE71}"/>
    <cellStyle name="Accent4 60" xfId="743" xr:uid="{D06E2E9A-FB0D-4C84-A08D-81C686BA2CAF}"/>
    <cellStyle name="Accent4 61" xfId="744" xr:uid="{504A7964-73A2-447E-A36F-7F6B91188A37}"/>
    <cellStyle name="Accent4 62" xfId="745" xr:uid="{4B3F9D3F-B3A2-4FA8-9ADE-7265E16C0347}"/>
    <cellStyle name="Accent4 63" xfId="746" xr:uid="{0E71E09F-8B17-42F8-B3FE-2CDA7C64DA12}"/>
    <cellStyle name="Accent4 64" xfId="747" xr:uid="{4F26D931-0EE0-44AC-9131-1A09A8EB4236}"/>
    <cellStyle name="Accent4 65" xfId="748" xr:uid="{185B5113-E83E-44EA-925A-C0FB95F8BA55}"/>
    <cellStyle name="Accent4 66" xfId="749" xr:uid="{8AB0B1A8-B84D-4776-B8EE-88BA29D6ECBC}"/>
    <cellStyle name="Accent4 67" xfId="750" xr:uid="{571AC2A4-62EB-472A-A49D-D104FF2C9204}"/>
    <cellStyle name="Accent4 68" xfId="751" xr:uid="{AB301D68-7F99-4B0E-8311-632694A8A357}"/>
    <cellStyle name="Accent4 69" xfId="752" xr:uid="{12C419DA-29EC-456E-9786-1D155922B28E}"/>
    <cellStyle name="Accent4 7" xfId="753" xr:uid="{2F921126-BA4A-4B20-B7FF-E3B58ABAF006}"/>
    <cellStyle name="Accent4 70" xfId="754" xr:uid="{3308FF77-07B1-4DDF-8BBB-CA677250E21A}"/>
    <cellStyle name="Accent4 71" xfId="755" xr:uid="{2495D86C-8B58-4F2C-A555-E69221061B82}"/>
    <cellStyle name="Accent4 72" xfId="756" xr:uid="{4519E5FE-7AA1-4E76-9E45-F5A02756948C}"/>
    <cellStyle name="Accent4 73" xfId="757" xr:uid="{87D74676-DE72-4C31-ABF7-5447F73AC264}"/>
    <cellStyle name="Accent4 74" xfId="758" xr:uid="{D7D29139-73CB-44E2-8F0B-5A25A06404ED}"/>
    <cellStyle name="Accent4 75" xfId="759" xr:uid="{F014B8E1-E116-4F8F-B5E7-5EE491EFA250}"/>
    <cellStyle name="Accent4 76" xfId="760" xr:uid="{06A911B5-5054-4931-A8E5-64F727503217}"/>
    <cellStyle name="Accent4 77" xfId="761" xr:uid="{6C45C3AA-5EA8-4639-A56E-7DB39A1A844C}"/>
    <cellStyle name="Accent4 78" xfId="762" xr:uid="{14170DD2-0EB8-4320-A2CA-984008683B11}"/>
    <cellStyle name="Accent4 79" xfId="763" xr:uid="{20FC485B-885F-4174-9BA2-69700BBF9F2F}"/>
    <cellStyle name="Accent4 8" xfId="764" xr:uid="{01BDAC96-8007-40B2-80D1-CCB00410DCBE}"/>
    <cellStyle name="Accent4 80" xfId="765" xr:uid="{6CC14F18-6930-4F26-913B-AD16A44F9450}"/>
    <cellStyle name="Accent4 81" xfId="766" xr:uid="{CDDA1E18-32B0-4AD5-988C-44E9186722E2}"/>
    <cellStyle name="Accent4 82" xfId="767" xr:uid="{BB08C05A-BB13-44A6-BBB2-CC9A8AC83B0C}"/>
    <cellStyle name="Accent4 83" xfId="768" xr:uid="{1DF21275-DAEC-41F4-9403-D79FA750A356}"/>
    <cellStyle name="Accent4 84" xfId="769" xr:uid="{4D5CE319-F56B-4CD5-8A96-67CE84F57E0B}"/>
    <cellStyle name="Accent4 85" xfId="770" xr:uid="{872308EE-A2F3-4639-AD16-2B2E7A78DA49}"/>
    <cellStyle name="Accent4 86" xfId="771" xr:uid="{A2CF348A-B583-47B9-9CF9-DBE0B7391174}"/>
    <cellStyle name="Accent4 87" xfId="772" xr:uid="{718A29A2-E114-4FC2-A5DC-5C82D78DF5F9}"/>
    <cellStyle name="Accent4 88" xfId="773" xr:uid="{8B8BEA2B-F4C5-4C12-864B-A387663A5AA6}"/>
    <cellStyle name="Accent4 9" xfId="774" xr:uid="{8F66B1D0-EF5E-4D12-9E88-13277CBA5205}"/>
    <cellStyle name="Accent5 - 20%" xfId="775" xr:uid="{1BC8F5F0-E275-4CFA-939F-05357DE06ECD}"/>
    <cellStyle name="Accent5 - 20% 2" xfId="776" xr:uid="{E7991739-765B-4FF5-9F4D-A86E478E8E78}"/>
    <cellStyle name="Accent5 - 40%" xfId="777" xr:uid="{085846A0-4238-4B9A-A7EE-054F87063A19}"/>
    <cellStyle name="Accent5 - 40% 2" xfId="778" xr:uid="{CB8FC966-290E-4048-9948-E20C1BCE5F78}"/>
    <cellStyle name="Accent5 - 60%" xfId="779" xr:uid="{D4BFD128-E4E8-4720-8D1F-BFDA35F926C2}"/>
    <cellStyle name="Accent5 - 60% 2" xfId="780" xr:uid="{4CA3AAD4-CB46-47E2-B662-3CB998A22D81}"/>
    <cellStyle name="Accent5 10" xfId="781" xr:uid="{36BDF4FD-3F31-45B4-8DF1-3E95A4500F25}"/>
    <cellStyle name="Accent5 11" xfId="782" xr:uid="{DC1008F7-EA50-4FE4-B297-C2A1DD11A201}"/>
    <cellStyle name="Accent5 12" xfId="783" xr:uid="{7872B43F-CE0B-4B3C-B90A-74D7798DB43E}"/>
    <cellStyle name="Accent5 13" xfId="784" xr:uid="{C36FBE14-B463-4AC7-B001-83488C8ADCC8}"/>
    <cellStyle name="Accent5 14" xfId="785" xr:uid="{47CC1585-3162-4194-B898-33182681C0A4}"/>
    <cellStyle name="Accent5 15" xfId="786" xr:uid="{6FA563FE-FF8F-4AA7-9F7B-07C259BE55C3}"/>
    <cellStyle name="Accent5 16" xfId="787" xr:uid="{3E940B2A-3632-44B4-9248-2641FB0E802E}"/>
    <cellStyle name="Accent5 17" xfId="788" xr:uid="{331FA85C-FFCC-40EF-9E17-C487BFDBC32E}"/>
    <cellStyle name="Accent5 18" xfId="789" xr:uid="{11F16669-4241-46BC-A1DD-059E4D998444}"/>
    <cellStyle name="Accent5 19" xfId="790" xr:uid="{EED6F96F-EC8B-4A40-950E-FE420082841D}"/>
    <cellStyle name="Accent5 2" xfId="791" xr:uid="{D833DDF1-0196-487D-90A2-337F8895D151}"/>
    <cellStyle name="Accent5 2 2" xfId="792" xr:uid="{556CD63F-DD58-4A5A-9A27-92F7E828EF69}"/>
    <cellStyle name="Accent5 2 3" xfId="793" xr:uid="{54EF57B2-6D80-4A42-B726-82D76E106D13}"/>
    <cellStyle name="Accent5 20" xfId="794" xr:uid="{AABA00F3-AD89-4F81-B624-3FC3991FB9C3}"/>
    <cellStyle name="Accent5 21" xfId="795" xr:uid="{A77F135F-33AD-4531-9ADA-D09145DB8ADB}"/>
    <cellStyle name="Accent5 22" xfId="796" xr:uid="{C5CBA776-5835-43D9-916D-A1C13BA323C2}"/>
    <cellStyle name="Accent5 23" xfId="797" xr:uid="{0D78A5EF-BF8B-4F01-AE4F-779AEF0FF6B7}"/>
    <cellStyle name="Accent5 24" xfId="798" xr:uid="{AE190CED-BA4F-4566-B4BB-3A7EBE11B6DE}"/>
    <cellStyle name="Accent5 25" xfId="799" xr:uid="{45CBA206-CFFD-4354-9B9D-52CEDB5DFD71}"/>
    <cellStyle name="Accent5 26" xfId="800" xr:uid="{EC5B3595-BBDB-4603-8686-78E2B98BE7A7}"/>
    <cellStyle name="Accent5 27" xfId="801" xr:uid="{15B1AE00-B477-4E0D-B26E-F987AAA93874}"/>
    <cellStyle name="Accent5 28" xfId="802" xr:uid="{29D6D725-4EC6-4B03-BCBA-438D5FBC0163}"/>
    <cellStyle name="Accent5 29" xfId="803" xr:uid="{C173C387-6064-44C7-B7C1-9E0E7E4D6035}"/>
    <cellStyle name="Accent5 3" xfId="804" xr:uid="{242272B8-13D5-4756-AECB-525E5F0BF0E8}"/>
    <cellStyle name="Accent5 30" xfId="805" xr:uid="{46570319-9076-433E-AA62-0F8BDE4BB995}"/>
    <cellStyle name="Accent5 31" xfId="806" xr:uid="{EB1BDEC0-AFD3-4BA9-A33E-F2272305F20C}"/>
    <cellStyle name="Accent5 32" xfId="807" xr:uid="{720121BD-5DF1-476A-8FE5-99E7E4C7BFC0}"/>
    <cellStyle name="Accent5 33" xfId="808" xr:uid="{90119C43-FF25-4F5E-B0F3-DDA9F614B852}"/>
    <cellStyle name="Accent5 34" xfId="809" xr:uid="{276CAB9B-2C07-430B-9D96-424F4064E7DB}"/>
    <cellStyle name="Accent5 35" xfId="810" xr:uid="{DD06401C-7A49-4E29-A67B-60EFC0AF84A9}"/>
    <cellStyle name="Accent5 36" xfId="811" xr:uid="{4907C195-24FD-4725-B6A8-1B7D82F4C0B7}"/>
    <cellStyle name="Accent5 37" xfId="812" xr:uid="{EC89D9C9-968F-4C42-A11F-4DDF6742CDCA}"/>
    <cellStyle name="Accent5 38" xfId="813" xr:uid="{254B0150-538B-4C97-BADE-75099A060015}"/>
    <cellStyle name="Accent5 39" xfId="814" xr:uid="{60C43E91-78D4-4D0D-A5A1-C182338FC648}"/>
    <cellStyle name="Accent5 4" xfId="815" xr:uid="{A1245E31-6A1E-4847-BAE8-C7DBADACA2C1}"/>
    <cellStyle name="Accent5 40" xfId="816" xr:uid="{2D0B7375-C2E9-4059-A3B7-F98BE7A03BD1}"/>
    <cellStyle name="Accent5 41" xfId="817" xr:uid="{11ECACFC-792D-4B13-AB11-92F97AE802BF}"/>
    <cellStyle name="Accent5 42" xfId="818" xr:uid="{BABAEF01-5C22-48FB-AB12-54EE4D977630}"/>
    <cellStyle name="Accent5 43" xfId="819" xr:uid="{2511EAC5-7497-4334-91F7-A4F9EDA1F20D}"/>
    <cellStyle name="Accent5 44" xfId="820" xr:uid="{DBA9529F-0BAF-4300-ABB6-DEC7DA1C9E74}"/>
    <cellStyle name="Accent5 45" xfId="821" xr:uid="{912A49C0-4BF2-4AD9-BA60-0564A7B73C84}"/>
    <cellStyle name="Accent5 46" xfId="822" xr:uid="{618D671E-D176-4564-8CE4-6ADBAC45F36F}"/>
    <cellStyle name="Accent5 47" xfId="823" xr:uid="{2F14FBA0-1126-4BB8-9656-0EFC2D159318}"/>
    <cellStyle name="Accent5 48" xfId="824" xr:uid="{575FBDA8-EBC2-4981-ABC7-846C072EA066}"/>
    <cellStyle name="Accent5 49" xfId="825" xr:uid="{7E91BFFC-387A-4E2A-B7C3-B917D442BD15}"/>
    <cellStyle name="Accent5 5" xfId="826" xr:uid="{B49D8EC8-990E-48B1-8054-DA3BC007169E}"/>
    <cellStyle name="Accent5 50" xfId="827" xr:uid="{D6E16F90-B46B-4C74-8516-2374980DA9B0}"/>
    <cellStyle name="Accent5 51" xfId="828" xr:uid="{430689C3-E809-46D1-8CBE-DB3268B33BAD}"/>
    <cellStyle name="Accent5 52" xfId="829" xr:uid="{EB9FFF7C-A190-4B3F-8D77-EBD2E2BE9331}"/>
    <cellStyle name="Accent5 53" xfId="830" xr:uid="{28AA1B90-DDD5-4037-8FD1-0B16D1E5E1B7}"/>
    <cellStyle name="Accent5 54" xfId="831" xr:uid="{920AD0F6-4543-4352-9BA4-D9483BA83804}"/>
    <cellStyle name="Accent5 55" xfId="832" xr:uid="{86D45AE5-FB6D-4DD5-8DB4-F19BED021280}"/>
    <cellStyle name="Accent5 56" xfId="833" xr:uid="{B3E58780-32D3-4F30-83ED-B479B64A9928}"/>
    <cellStyle name="Accent5 57" xfId="834" xr:uid="{37744AEC-9669-4937-8BB9-A421D1DAC46F}"/>
    <cellStyle name="Accent5 58" xfId="835" xr:uid="{A1E930D4-BF2C-4047-9A01-F270C96624BB}"/>
    <cellStyle name="Accent5 59" xfId="836" xr:uid="{8CB9DF7A-540E-4F92-911D-474AC3AAC6E9}"/>
    <cellStyle name="Accent5 6" xfId="837" xr:uid="{B143BB16-FE40-475F-92FB-BAE29AED42C5}"/>
    <cellStyle name="Accent5 60" xfId="838" xr:uid="{120D2D6D-1AC1-451E-BBA0-DD7A4A37C828}"/>
    <cellStyle name="Accent5 61" xfId="839" xr:uid="{27F39542-82AC-428D-82CC-DFF9ED72D7BC}"/>
    <cellStyle name="Accent5 62" xfId="840" xr:uid="{5BF4BA28-2537-4E04-A1DE-932AAED780B7}"/>
    <cellStyle name="Accent5 63" xfId="841" xr:uid="{FA5111FE-AC52-4E74-863E-93921AC33149}"/>
    <cellStyle name="Accent5 64" xfId="842" xr:uid="{4B3F81ED-3122-491B-B294-A7CE8217459F}"/>
    <cellStyle name="Accent5 65" xfId="843" xr:uid="{7F03AF9C-07DE-4B07-88A1-73EF87DDBF9D}"/>
    <cellStyle name="Accent5 66" xfId="844" xr:uid="{EA8AEC66-2A74-4848-BEEE-5A1A3CCF588E}"/>
    <cellStyle name="Accent5 67" xfId="845" xr:uid="{6A6313BE-49A6-402F-829D-EAB5E4900A12}"/>
    <cellStyle name="Accent5 68" xfId="846" xr:uid="{13A23263-2F33-4548-B191-02195C2C1DD0}"/>
    <cellStyle name="Accent5 69" xfId="847" xr:uid="{97CF6A13-0012-4E00-AA52-E1F2378842DA}"/>
    <cellStyle name="Accent5 7" xfId="848" xr:uid="{97A33054-FF27-4D4A-9E6C-8CEAD116DF91}"/>
    <cellStyle name="Accent5 70" xfId="849" xr:uid="{18C367B7-1918-4803-B841-06C1D6BA255E}"/>
    <cellStyle name="Accent5 71" xfId="850" xr:uid="{816B1656-C7DE-4155-AEE5-4F52D91A5E17}"/>
    <cellStyle name="Accent5 72" xfId="851" xr:uid="{7BC505A2-8A1E-41A1-BDD7-240D226C36B5}"/>
    <cellStyle name="Accent5 73" xfId="852" xr:uid="{D996774C-1D52-4596-AD83-80F007DBDDBC}"/>
    <cellStyle name="Accent5 74" xfId="853" xr:uid="{CE49FFEF-2030-4FAB-AFE2-D435863CFD69}"/>
    <cellStyle name="Accent5 75" xfId="854" xr:uid="{13A12BAA-521A-4A05-9B94-FC7B0E335F4F}"/>
    <cellStyle name="Accent5 76" xfId="855" xr:uid="{9DB2E8D3-3606-4859-A0B0-42DDBAE0DE19}"/>
    <cellStyle name="Accent5 77" xfId="856" xr:uid="{CD3499DA-92E9-4C9C-A103-487F5CC5ECE6}"/>
    <cellStyle name="Accent5 78" xfId="857" xr:uid="{DAD7DDCD-FCF5-47A2-8C9B-CFED733AC641}"/>
    <cellStyle name="Accent5 79" xfId="858" xr:uid="{BE24CC06-B968-4AB4-B14D-B573100E004C}"/>
    <cellStyle name="Accent5 8" xfId="859" xr:uid="{BFDD5B10-6F19-4808-AFB1-5CD898FBC2E7}"/>
    <cellStyle name="Accent5 80" xfId="860" xr:uid="{8AC8F847-6869-4F72-91EB-8B005594C3F3}"/>
    <cellStyle name="Accent5 81" xfId="861" xr:uid="{50B19043-8A4F-4F29-8670-984A779A6F91}"/>
    <cellStyle name="Accent5 82" xfId="862" xr:uid="{DF1B40C0-4493-4208-9108-A5FD7D78E6D1}"/>
    <cellStyle name="Accent5 83" xfId="863" xr:uid="{3A79C0A0-2312-4BF8-9CD8-92C0FAF92EFA}"/>
    <cellStyle name="Accent5 84" xfId="864" xr:uid="{4A281127-0EBD-43E4-8DDA-9E8B77B8B131}"/>
    <cellStyle name="Accent5 85" xfId="865" xr:uid="{3AC73536-7137-4DF3-9FCA-61484A0D642D}"/>
    <cellStyle name="Accent5 86" xfId="866" xr:uid="{3368AF0E-4420-491C-A8BF-D245F1A8E625}"/>
    <cellStyle name="Accent5 87" xfId="867" xr:uid="{6731180D-2E12-4D75-9427-BB317917B7F8}"/>
    <cellStyle name="Accent5 88" xfId="868" xr:uid="{0F16F0F1-0EBF-4735-AD0E-C2AB6CBF27EE}"/>
    <cellStyle name="Accent5 9" xfId="869" xr:uid="{E2119ECF-CFE7-4D51-A59D-F5251EB482CF}"/>
    <cellStyle name="Accent6 - 20%" xfId="870" xr:uid="{89D6A02F-05CA-4C10-98CB-B92DB68BCDA9}"/>
    <cellStyle name="Accent6 - 20% 2" xfId="871" xr:uid="{5311E16E-E0AC-4BA7-8128-3D394E521263}"/>
    <cellStyle name="Accent6 - 40%" xfId="872" xr:uid="{F8AEF2FA-2F08-4B6D-AF2D-63C034456108}"/>
    <cellStyle name="Accent6 - 40% 2" xfId="873" xr:uid="{3B5539EB-C670-4861-ACDF-540EE4A2441B}"/>
    <cellStyle name="Accent6 - 60%" xfId="874" xr:uid="{1E76E978-7785-4DB4-8B36-380FAEAA5532}"/>
    <cellStyle name="Accent6 - 60% 2" xfId="875" xr:uid="{0F966DDB-C17D-4249-A38F-4A651906DB63}"/>
    <cellStyle name="Accent6 10" xfId="876" xr:uid="{9C7F498C-A041-42D3-9406-A04FCD285608}"/>
    <cellStyle name="Accent6 11" xfId="877" xr:uid="{3AD6ECEE-D055-4A30-99B9-4EAF49AAEC91}"/>
    <cellStyle name="Accent6 12" xfId="878" xr:uid="{62F1329A-083B-425D-B457-4CA2B1FE450B}"/>
    <cellStyle name="Accent6 13" xfId="879" xr:uid="{AFF11FF6-690D-485B-9C54-67F27C55D770}"/>
    <cellStyle name="Accent6 14" xfId="880" xr:uid="{0B904EFA-EFAF-428B-849A-5DEE5E3223E2}"/>
    <cellStyle name="Accent6 15" xfId="881" xr:uid="{8C092577-D106-47D5-B038-FB71AAC7362C}"/>
    <cellStyle name="Accent6 16" xfId="882" xr:uid="{44F92C2A-E99B-4201-A379-B3579D617448}"/>
    <cellStyle name="Accent6 17" xfId="883" xr:uid="{DF80491C-007A-4554-8007-8421D1C20E2C}"/>
    <cellStyle name="Accent6 18" xfId="884" xr:uid="{E5ABA532-66CC-4965-BAA0-80E8804CCB81}"/>
    <cellStyle name="Accent6 19" xfId="885" xr:uid="{296BFBBB-1130-4247-9923-1AB1843B26BF}"/>
    <cellStyle name="Accent6 2" xfId="886" xr:uid="{1E2CC820-4921-4004-B2CA-3BB7F609562D}"/>
    <cellStyle name="Accent6 2 2" xfId="887" xr:uid="{D9DFC303-960D-440A-983C-C31BAB5B4404}"/>
    <cellStyle name="Accent6 2 3" xfId="888" xr:uid="{6ABCA1CA-E574-47DC-A7D0-39D7A908039C}"/>
    <cellStyle name="Accent6 20" xfId="889" xr:uid="{9DB71E80-654B-4716-8FF8-1548C373E9CE}"/>
    <cellStyle name="Accent6 21" xfId="890" xr:uid="{C4AF0481-A3A5-43D2-8AE6-854D63362720}"/>
    <cellStyle name="Accent6 22" xfId="891" xr:uid="{0885A4D0-ABD7-4D6B-AD3E-CBD49DA94576}"/>
    <cellStyle name="Accent6 23" xfId="892" xr:uid="{5366B0FD-4624-47DD-8B42-DCD641254183}"/>
    <cellStyle name="Accent6 24" xfId="893" xr:uid="{76D64467-4BD4-45C1-B2C9-334F5DD15E22}"/>
    <cellStyle name="Accent6 25" xfId="894" xr:uid="{8212F882-171C-4E77-A3AA-B89CA9482F1D}"/>
    <cellStyle name="Accent6 26" xfId="895" xr:uid="{477C1675-B637-4EF0-B5AB-7A512CEA0155}"/>
    <cellStyle name="Accent6 27" xfId="896" xr:uid="{11CD0766-C7D0-4B56-BBBF-140DA48C83DF}"/>
    <cellStyle name="Accent6 28" xfId="897" xr:uid="{4BB97C9C-46DF-4B90-8EEE-DB52BF7491BC}"/>
    <cellStyle name="Accent6 29" xfId="898" xr:uid="{BD542D13-284F-4361-8F10-86E5B7672543}"/>
    <cellStyle name="Accent6 3" xfId="899" xr:uid="{4E0366D2-5892-4497-BC24-3E409F2099CE}"/>
    <cellStyle name="Accent6 30" xfId="900" xr:uid="{CF861648-B0E9-4A8B-9627-44FBA0A16C81}"/>
    <cellStyle name="Accent6 31" xfId="901" xr:uid="{252B25AA-9D19-4030-85EC-2950E863A019}"/>
    <cellStyle name="Accent6 32" xfId="902" xr:uid="{CDCAD45B-DBBC-4EA1-918C-A992D61E2B91}"/>
    <cellStyle name="Accent6 33" xfId="903" xr:uid="{7C6BEC1E-2D48-47A4-93C0-75AF22B547D5}"/>
    <cellStyle name="Accent6 34" xfId="904" xr:uid="{D47C1AC9-27A5-404C-9CF1-E29E7306B61A}"/>
    <cellStyle name="Accent6 35" xfId="905" xr:uid="{8F033527-D7AD-4255-B0E1-FAF0AA3DD717}"/>
    <cellStyle name="Accent6 36" xfId="906" xr:uid="{C8E32776-7E9C-45FE-8207-0A6F15572DE0}"/>
    <cellStyle name="Accent6 37" xfId="907" xr:uid="{DE088A55-826C-4D98-9D80-EDB954B43FB8}"/>
    <cellStyle name="Accent6 38" xfId="908" xr:uid="{F46715E9-3E07-4452-AE60-118DAEB60CBD}"/>
    <cellStyle name="Accent6 39" xfId="909" xr:uid="{0A437AD9-B69A-48B4-BBCB-B8FADB6A7803}"/>
    <cellStyle name="Accent6 4" xfId="910" xr:uid="{1E897DD0-AC3C-4CA4-BE2B-539F1BD6C405}"/>
    <cellStyle name="Accent6 40" xfId="911" xr:uid="{15477C76-E9BD-4A5A-9BF9-F1D71333C4C5}"/>
    <cellStyle name="Accent6 41" xfId="912" xr:uid="{D2DD45B3-D43A-4DA2-BA71-64A9E8EC0E11}"/>
    <cellStyle name="Accent6 42" xfId="913" xr:uid="{E7B385C0-F311-4935-81FC-C2058FBC87EB}"/>
    <cellStyle name="Accent6 43" xfId="914" xr:uid="{C3D31082-0D7D-442F-AE69-CD73D80660CC}"/>
    <cellStyle name="Accent6 44" xfId="915" xr:uid="{09823081-5EF2-4988-838B-DB29651C40A5}"/>
    <cellStyle name="Accent6 45" xfId="916" xr:uid="{983EC3AB-A9AD-4D86-B5E4-C1CE7F16CFEC}"/>
    <cellStyle name="Accent6 46" xfId="917" xr:uid="{B0AA17B4-ED3C-4577-BB0E-D0CAA0FC3A54}"/>
    <cellStyle name="Accent6 47" xfId="918" xr:uid="{3359FF74-820D-4BDC-A784-3CC9F71AB148}"/>
    <cellStyle name="Accent6 48" xfId="919" xr:uid="{4D88C6F1-92BD-412F-A371-656E08FECAD1}"/>
    <cellStyle name="Accent6 49" xfId="920" xr:uid="{D6DFE0A5-4C56-4259-8ED9-A2C1ED236662}"/>
    <cellStyle name="Accent6 5" xfId="921" xr:uid="{1AEB9270-8F0C-49E8-A6A2-82F42A316B6D}"/>
    <cellStyle name="Accent6 50" xfId="922" xr:uid="{D2FA8AAD-EC73-4C5C-BCBD-61C51C40FCCA}"/>
    <cellStyle name="Accent6 51" xfId="923" xr:uid="{72FE7B03-15F2-45FF-AD65-37EA51D2DE18}"/>
    <cellStyle name="Accent6 52" xfId="924" xr:uid="{A7A8D2CB-BC78-4CAD-8C3A-3E58E7A2AC3D}"/>
    <cellStyle name="Accent6 53" xfId="925" xr:uid="{33C13A08-4613-4F60-B8CF-FA2FB23A31B8}"/>
    <cellStyle name="Accent6 54" xfId="926" xr:uid="{9760598A-C9E9-4EE4-ADA1-55D018FE914E}"/>
    <cellStyle name="Accent6 55" xfId="927" xr:uid="{12DC371E-3765-463D-9257-94EF23BFEF92}"/>
    <cellStyle name="Accent6 56" xfId="928" xr:uid="{BAF68098-5299-4DDB-BB4D-78C74AD392D6}"/>
    <cellStyle name="Accent6 57" xfId="929" xr:uid="{89BB2B23-AD97-464B-AD40-BDD0C79C405C}"/>
    <cellStyle name="Accent6 58" xfId="930" xr:uid="{4552A11B-09E9-4F60-A08D-67DA7A85D65F}"/>
    <cellStyle name="Accent6 59" xfId="931" xr:uid="{42D5576A-2C84-4C50-AE43-89FD74330A94}"/>
    <cellStyle name="Accent6 6" xfId="932" xr:uid="{93A6CD49-355E-4400-B529-A141CDD705A7}"/>
    <cellStyle name="Accent6 60" xfId="933" xr:uid="{F1CD541A-2CD8-4408-B536-73AE8A877F32}"/>
    <cellStyle name="Accent6 61" xfId="934" xr:uid="{166B4977-9BDE-4D97-B193-360A664C13C3}"/>
    <cellStyle name="Accent6 62" xfId="935" xr:uid="{440A7DEC-EAA8-49C5-A50B-B2D97431D933}"/>
    <cellStyle name="Accent6 63" xfId="936" xr:uid="{F54757CF-EE0F-47EE-8A99-B31C4A423703}"/>
    <cellStyle name="Accent6 64" xfId="937" xr:uid="{A1A4A1E6-F798-41B9-9274-AEF872DE1B11}"/>
    <cellStyle name="Accent6 65" xfId="938" xr:uid="{C2E387BD-D437-436B-9C1B-745F5DDBEE0C}"/>
    <cellStyle name="Accent6 66" xfId="939" xr:uid="{9D462569-5F29-4B39-94C8-9973080529B8}"/>
    <cellStyle name="Accent6 67" xfId="940" xr:uid="{0F8AFD52-C2E1-47F6-A359-0FBB26768E05}"/>
    <cellStyle name="Accent6 68" xfId="941" xr:uid="{EAB92A35-D0EF-48A8-9119-8C8F000566F7}"/>
    <cellStyle name="Accent6 69" xfId="942" xr:uid="{7173E2C2-73F8-4E66-A293-E5A6ADDB8BEF}"/>
    <cellStyle name="Accent6 7" xfId="943" xr:uid="{09900E4E-37D8-4D59-ADCA-5E9942C39806}"/>
    <cellStyle name="Accent6 70" xfId="944" xr:uid="{96188B37-1CD3-4268-86A2-395EE2D0A5A3}"/>
    <cellStyle name="Accent6 71" xfId="945" xr:uid="{E51F17F4-5ACF-4168-863B-C8184FD5702E}"/>
    <cellStyle name="Accent6 72" xfId="946" xr:uid="{422D49AA-23F6-45D3-9C96-97A5F759316B}"/>
    <cellStyle name="Accent6 73" xfId="947" xr:uid="{6CA8DC68-D725-4BD1-A107-52F9E476D60B}"/>
    <cellStyle name="Accent6 74" xfId="948" xr:uid="{3BDEA3F0-7B30-4F03-A802-F2CB73CC9719}"/>
    <cellStyle name="Accent6 75" xfId="949" xr:uid="{433E7C5E-8098-4292-9DFF-C1357E2A1B25}"/>
    <cellStyle name="Accent6 76" xfId="950" xr:uid="{8F9744DC-5A70-4AA1-820C-265C8C769683}"/>
    <cellStyle name="Accent6 77" xfId="951" xr:uid="{DD189A52-D1C8-4F92-9AB0-6A5DEE0A891E}"/>
    <cellStyle name="Accent6 78" xfId="952" xr:uid="{FA8711C3-9883-41ED-92C5-9791AFB9C546}"/>
    <cellStyle name="Accent6 79" xfId="953" xr:uid="{B3040800-04C1-48D1-B343-407493B7FE91}"/>
    <cellStyle name="Accent6 8" xfId="954" xr:uid="{24E46296-3770-4883-82C5-5AFEC47E4A65}"/>
    <cellStyle name="Accent6 80" xfId="955" xr:uid="{862521D0-D619-4C14-AC30-6D8335323041}"/>
    <cellStyle name="Accent6 81" xfId="956" xr:uid="{ED4D0AE8-8185-467D-BA41-0DACBAF43A63}"/>
    <cellStyle name="Accent6 82" xfId="957" xr:uid="{D74DE2F4-A3AF-4AD9-94E3-80210251BA2D}"/>
    <cellStyle name="Accent6 83" xfId="958" xr:uid="{B931991B-3167-43D1-ACF6-77A2DB4AE389}"/>
    <cellStyle name="Accent6 84" xfId="959" xr:uid="{5A47BEF9-5787-4A85-AB1D-800D02D7F7CE}"/>
    <cellStyle name="Accent6 85" xfId="960" xr:uid="{BA4FA451-818D-4BA9-BB52-E57160003B67}"/>
    <cellStyle name="Accent6 86" xfId="961" xr:uid="{83D40EE9-DA72-46BD-ACAC-2C7118010A9F}"/>
    <cellStyle name="Accent6 87" xfId="962" xr:uid="{78B32FB1-1BAB-4061-96A9-38AAC9BADB13}"/>
    <cellStyle name="Accent6 88" xfId="963" xr:uid="{830B2C45-7B90-4A0C-B121-893625B2EDD9}"/>
    <cellStyle name="Accent6 9" xfId="964" xr:uid="{587DC9DA-B489-4681-9103-D868E3516F8D}"/>
    <cellStyle name="Anos" xfId="965" xr:uid="{FD2CCB46-865F-4F32-8FE9-B348CF8BC4E3}"/>
    <cellStyle name="Anos 2" xfId="966" xr:uid="{77AAE833-C40C-41D5-A4B9-DB68F0A684D2}"/>
    <cellStyle name="Bad 2" xfId="967" xr:uid="{6A2A2FBE-929C-45B5-A089-58370F4B2FD0}"/>
    <cellStyle name="Bad 2 2" xfId="968" xr:uid="{F1332047-4B3B-43BE-8EE8-605190A7F107}"/>
    <cellStyle name="Bad 2 3" xfId="969" xr:uid="{A1B9A799-200F-44AF-ADCC-D034EF740380}"/>
    <cellStyle name="Bad 3" xfId="970" xr:uid="{5C9BE15B-33EB-4702-B6D6-340BB72FB95D}"/>
    <cellStyle name="Bad 4" xfId="971" xr:uid="{8E75E596-CAE8-4E7B-A22F-4DAACF030BC7}"/>
    <cellStyle name="Bad 5" xfId="972" xr:uid="{041D66A3-2B15-4C94-9E55-1895F4CD4A57}"/>
    <cellStyle name="BS" xfId="973" xr:uid="{FAD1D13D-6581-4A68-810D-41E0FE8A92DA}"/>
    <cellStyle name="BS 2" xfId="974" xr:uid="{7FE4ADB3-AD40-4C02-8F0B-09FBA2EA79FF}"/>
    <cellStyle name="Buena" xfId="975" xr:uid="{8D623865-6E38-42A7-BB24-E9340A3F5F3D}"/>
    <cellStyle name="Buena 2" xfId="976" xr:uid="{B8BF60B5-CA49-4309-BB6C-3311F307DB0E}"/>
    <cellStyle name="Cabeçalho 1" xfId="977" xr:uid="{F1053A22-A00E-4AE5-9860-B6D78DDDFA5B}"/>
    <cellStyle name="Cabeçalho 1 2" xfId="978" xr:uid="{436C221E-EA57-4FCF-A65D-789D6F645923}"/>
    <cellStyle name="Cabeçalho 2" xfId="979" xr:uid="{95E0F9A6-6B9D-49D4-AFF2-4FEED0A3BEE1}"/>
    <cellStyle name="Cabeçalho 2 2" xfId="980" xr:uid="{5E059E3C-524C-4CA5-8C24-6F1352564B82}"/>
    <cellStyle name="Cabeçalho 3" xfId="981" xr:uid="{62A61DCE-E799-4725-908C-E50C5743E38E}"/>
    <cellStyle name="Cabeçalho 3 2" xfId="982" xr:uid="{D1AF53C5-48BE-4EF1-9DE6-0A3610B756CF}"/>
    <cellStyle name="Cabeçalho 4" xfId="983" xr:uid="{F86E1915-87D5-451B-80CB-E84117B856E0}"/>
    <cellStyle name="Cabeçalho 4 2" xfId="984" xr:uid="{142AB871-457F-4930-BC45-DEFBA70C37B8}"/>
    <cellStyle name="Calculation 2" xfId="985" xr:uid="{058C3BB8-1613-4A03-B771-0B6B31C133C0}"/>
    <cellStyle name="Calculation 2 2" xfId="986" xr:uid="{4712E7F5-F213-4205-9FC1-BA0E981E3360}"/>
    <cellStyle name="Calculation 2 3" xfId="987" xr:uid="{32091885-D299-4FB3-BE78-E600074E0122}"/>
    <cellStyle name="Calculation 3" xfId="988" xr:uid="{7C32DF8A-EF43-4F6E-B672-A8489BA1F69E}"/>
    <cellStyle name="Calculation 4" xfId="989" xr:uid="{F75F62D8-A89B-4280-89F1-B6FCCE56B445}"/>
    <cellStyle name="Calculation 5" xfId="990" xr:uid="{B7967037-64CC-47EE-B0ED-FDDDAB18332C}"/>
    <cellStyle name="Cálculo" xfId="991" xr:uid="{7AE9C7B0-B1B4-4AFF-B24F-D7B8689F8445}"/>
    <cellStyle name="Cálculo 2" xfId="992" xr:uid="{72B3C39C-379D-4583-8586-7D6F2963580B}"/>
    <cellStyle name="Celda de comprobación" xfId="993" xr:uid="{4DADEC20-9906-41D1-A958-2765207EAD1A}"/>
    <cellStyle name="Celda de comprobación 2" xfId="994" xr:uid="{45DB9709-A2DF-4D84-8CC1-54C8134F289F}"/>
    <cellStyle name="Celda vinculada" xfId="995" xr:uid="{BDE4BA69-5DA0-4BED-B993-A670A28A5AE7}"/>
    <cellStyle name="Celda vinculada 2" xfId="996" xr:uid="{09A7CDCF-EBCE-4654-9133-8E883C0852EF}"/>
    <cellStyle name="Célula Ligada" xfId="997" xr:uid="{59B38FA3-C4A9-49EA-9052-22C71298FF62}"/>
    <cellStyle name="Célula Ligada 2" xfId="998" xr:uid="{015E8DF9-6C2B-44FC-926B-15D23AAF3EB0}"/>
    <cellStyle name="Check Cell 2" xfId="999" xr:uid="{78A915F4-3CE6-4D11-97AC-4B834C8D1DEE}"/>
    <cellStyle name="Check Cell 2 2" xfId="1000" xr:uid="{37E24176-DB2B-44BC-A87B-4657CC83A227}"/>
    <cellStyle name="Check Cell 2 3" xfId="1001" xr:uid="{A3AE3A28-D54E-4DE3-A509-ADD3BF488F94}"/>
    <cellStyle name="Check Cell 3" xfId="1002" xr:uid="{9E2C642A-031F-4D31-A7BA-87E56A55A9A7}"/>
    <cellStyle name="Check Cell 4" xfId="1003" xr:uid="{A3B5D258-182E-45C6-B042-6BC442B94CDF}"/>
    <cellStyle name="Check Cell 5" xfId="1004" xr:uid="{D55E0556-6A71-4F05-9881-1E52B6900B1F}"/>
    <cellStyle name="Comma" xfId="7" builtinId="3"/>
    <cellStyle name="Comma 2" xfId="28" xr:uid="{237BB0FA-7980-4D08-8050-883D5E2983B2}"/>
    <cellStyle name="Comma 2 2" xfId="1006" xr:uid="{013DA222-D9B7-44B9-9E53-6D2FD2AC02F8}"/>
    <cellStyle name="Comma 2 3" xfId="1007" xr:uid="{FF42F92D-DAA1-4438-A761-C6735E31B5E0}"/>
    <cellStyle name="Comma 2 4" xfId="1008" xr:uid="{3D38981E-774E-42C7-8845-19CB7A1549AD}"/>
    <cellStyle name="Comma 2 5" xfId="1005" xr:uid="{96ECCBCA-7E6E-437B-9C26-5C80C2126FEA}"/>
    <cellStyle name="Comma 3" xfId="1009" xr:uid="{4C7CAFB4-7211-4F34-9FB1-5EF1CC70AB60}"/>
    <cellStyle name="Comma 3 2" xfId="1010" xr:uid="{678714DA-278A-4964-84A8-B9371243A3B3}"/>
    <cellStyle name="Comma 39" xfId="30" xr:uid="{CE4DDD2B-A192-4F54-B1A3-0F62E5A83E37}"/>
    <cellStyle name="Comma 4" xfId="1011" xr:uid="{D1D1B86C-37F8-49B4-B64D-A01CAC52A508}"/>
    <cellStyle name="Comma 5" xfId="1012" xr:uid="{827E9C8E-00C2-4C70-915E-8042F3727FCE}"/>
    <cellStyle name="Comma 5 2" xfId="1013" xr:uid="{BCBAF3DE-577D-4448-815E-449712F1F864}"/>
    <cellStyle name="Comma 6" xfId="1014" xr:uid="{C16F0B2C-4E1B-4FFF-A276-ACF52CB47456}"/>
    <cellStyle name="Comma 7" xfId="1015" xr:uid="{95E774B7-59A9-42E6-B4A3-9198C493D26E}"/>
    <cellStyle name="Comma 8" xfId="1016" xr:uid="{1BB3F884-E688-4125-8508-EDD14BD4D2E4}"/>
    <cellStyle name="Comma0" xfId="1017" xr:uid="{5D97DF8F-1D87-495A-9E17-5D78E23EAB18}"/>
    <cellStyle name="Comma0 2" xfId="1018" xr:uid="{163AB1D5-A6BE-4142-A8EA-47F82C543D5F}"/>
    <cellStyle name="Cor1" xfId="1019" xr:uid="{1153F1B2-68C2-4462-B5DF-410A02F08C66}"/>
    <cellStyle name="Cor1 2" xfId="1020" xr:uid="{71905F22-4769-4E5F-ABAE-1AB67E7A60AD}"/>
    <cellStyle name="Cor2" xfId="1021" xr:uid="{39AF34FD-963A-44FB-88A3-AC45B00216D1}"/>
    <cellStyle name="Cor2 2" xfId="1022" xr:uid="{2795EA66-8FCA-4445-9814-313E54967175}"/>
    <cellStyle name="Cor3" xfId="1023" xr:uid="{95DBA402-9872-4333-8B12-3429C6576FF2}"/>
    <cellStyle name="Cor3 2" xfId="1024" xr:uid="{6BAE320A-C39B-4429-AE6D-5D894D19B4F6}"/>
    <cellStyle name="Cor4" xfId="1025" xr:uid="{555CFE55-0532-4BE8-9103-C6716BBC776B}"/>
    <cellStyle name="Cor4 2" xfId="1026" xr:uid="{B740C157-DFAD-4D8E-B4D2-9856495B9C39}"/>
    <cellStyle name="Cor5" xfId="1027" xr:uid="{AEFFA8B2-035B-4198-AF09-327864D89247}"/>
    <cellStyle name="Cor5 2" xfId="1028" xr:uid="{AF20A871-CA04-4D96-81AB-2EA05DE8E4FF}"/>
    <cellStyle name="Cor6" xfId="1029" xr:uid="{BFE06D83-2073-4FEB-83F0-0E77CC63A76A}"/>
    <cellStyle name="Cor6 2" xfId="1030" xr:uid="{3F79F08B-0CA4-44DC-AA6A-6C630A158717}"/>
    <cellStyle name="Correcto" xfId="1031" xr:uid="{AB6090E8-0A5C-4FC8-94E2-D2F107A16E18}"/>
    <cellStyle name="Correcto 2" xfId="1032" xr:uid="{1083CFF6-2639-460C-9342-D36774142B3D}"/>
    <cellStyle name="Currency 2" xfId="1033" xr:uid="{9FEE3AA6-864C-411F-98F1-C6A11606E29F}"/>
    <cellStyle name="Currency 2 2" xfId="1034" xr:uid="{EFB21256-A784-46E0-8EEF-ADA33B328B08}"/>
    <cellStyle name="Currency 2 2 2" xfId="1035" xr:uid="{AF5C51A3-F0A1-46B7-BB82-45002E2AFE10}"/>
    <cellStyle name="Currency 2 3" xfId="1036" xr:uid="{4415D86A-0E1F-46A2-911E-B0ED09861BA5}"/>
    <cellStyle name="Currency 2 3 2" xfId="1037" xr:uid="{9D4E5BFB-EA64-4E74-93F6-42037FF405D8}"/>
    <cellStyle name="Currency 2 4" xfId="1038" xr:uid="{11F83752-F80D-4CC9-A333-849E6E50AAFA}"/>
    <cellStyle name="Currency 2_III Forecast 2010_base resultados 8M10_EP" xfId="1039" xr:uid="{77B770F9-699E-4FB5-B9EC-19646AA5F1AE}"/>
    <cellStyle name="Currency0" xfId="1040" xr:uid="{A7CF0FDC-388B-44BA-867F-2F5E33F9810A}"/>
    <cellStyle name="Currency0 2" xfId="1041" xr:uid="{C75D8E09-D973-4010-839E-F7009A745B4F}"/>
    <cellStyle name="Date" xfId="1042" xr:uid="{61F25237-E108-4581-B5C2-84AE0350B2D1}"/>
    <cellStyle name="Date 2" xfId="1043" xr:uid="{2E39DB71-E580-4106-A915-24676EEBA714}"/>
    <cellStyle name="Date 2 2" xfId="1044" xr:uid="{1726F8AB-319F-497C-B94F-FE15B43FEF52}"/>
    <cellStyle name="Date 3" xfId="1045" xr:uid="{025E3457-C2CF-4B60-8010-D7A3ECBF907B}"/>
    <cellStyle name="Dezimal [0]_PBRUTO95" xfId="1046" xr:uid="{F50B5BB4-24FC-48D5-A5B7-44893D22A353}"/>
    <cellStyle name="Dezimal_PBRUTO95" xfId="1047" xr:uid="{906206B0-24A5-4E32-885C-EF0E5D98A9AB}"/>
    <cellStyle name="Emphasis 1" xfId="1048" xr:uid="{22FBF986-E6D8-4D1F-9E00-C39EDF06745A}"/>
    <cellStyle name="Emphasis 1 2" xfId="1049" xr:uid="{C7C5C96B-E722-4242-BCE7-79F47CF570E5}"/>
    <cellStyle name="Emphasis 2" xfId="1050" xr:uid="{1C89FA35-4F1C-446B-9147-16896884EAB7}"/>
    <cellStyle name="Emphasis 2 2" xfId="1051" xr:uid="{803D6BDD-9C52-4CE6-A597-FC6D74EEA256}"/>
    <cellStyle name="Emphasis 3" xfId="1052" xr:uid="{25770831-8D74-4AE8-B007-1BD5CAEC41F2}"/>
    <cellStyle name="Emphasis 3 2" xfId="1053" xr:uid="{99FB8907-BE24-4A18-AD62-F570FCD040A3}"/>
    <cellStyle name="Encabezado 4" xfId="1054" xr:uid="{6A8BC614-5541-447B-A697-B6DC0262B04F}"/>
    <cellStyle name="Encabezado 4 2" xfId="1055" xr:uid="{6BAF6E2A-4563-40E8-AC29-7CE2805EE851}"/>
    <cellStyle name="Énfasis1" xfId="1056" xr:uid="{F3EEA8A6-9CAC-4BE1-8A14-B7B39E676805}"/>
    <cellStyle name="Énfasis1 2" xfId="1057" xr:uid="{B6662A7E-3917-4FCC-A2AA-D31CB44E9ED2}"/>
    <cellStyle name="Énfasis2" xfId="1058" xr:uid="{6471C9EB-D60B-44C8-A031-5DC44DC1325C}"/>
    <cellStyle name="Énfasis2 2" xfId="1059" xr:uid="{05209285-6AEB-4F51-B5DA-28EFB1770E0E}"/>
    <cellStyle name="Énfasis3" xfId="1060" xr:uid="{B60D2734-8F9E-4E27-8613-4B386820D8AB}"/>
    <cellStyle name="Énfasis3 2" xfId="1061" xr:uid="{559D4702-4C85-47F8-81F0-3A1FA0B1045B}"/>
    <cellStyle name="Énfasis4" xfId="1062" xr:uid="{2E696D8F-8945-4301-8C02-841ADA83C3F5}"/>
    <cellStyle name="Énfasis4 2" xfId="1063" xr:uid="{0C76C5B5-C40B-4BDF-AED0-5FD6BB5075B3}"/>
    <cellStyle name="Énfasis5" xfId="1064" xr:uid="{7C0879B0-08C5-4033-9811-628C70F00168}"/>
    <cellStyle name="Énfasis5 2" xfId="1065" xr:uid="{D3D428A6-63A1-405B-9925-9EBC84F2FB40}"/>
    <cellStyle name="Énfasis6" xfId="1066" xr:uid="{F00677D1-5C77-4F39-8B42-076E191137FC}"/>
    <cellStyle name="Énfasis6 2" xfId="1067" xr:uid="{30949C04-2E14-43A6-A66B-F19B1F767206}"/>
    <cellStyle name="Entrada" xfId="1068" xr:uid="{8EECBDD7-3D1A-441E-9316-736311954205}"/>
    <cellStyle name="Entrada 2" xfId="1069" xr:uid="{E9D15B66-A7F4-4FD0-8387-380399169D57}"/>
    <cellStyle name="Euro" xfId="13" xr:uid="{956C256F-6EF4-4258-B285-0CE395C32CD3}"/>
    <cellStyle name="Euro 2" xfId="1071" xr:uid="{A4B2BCE6-9457-49E9-8E71-877FB8F9A8E6}"/>
    <cellStyle name="Euro 3" xfId="1072" xr:uid="{22C0E12A-D9CB-4487-AB55-303C91398D8A}"/>
    <cellStyle name="Euro 4" xfId="1073" xr:uid="{5B762CAC-228B-4300-BA8B-4B3ECAF1917F}"/>
    <cellStyle name="Euro 5" xfId="1074" xr:uid="{02414B30-E64E-46AB-AA21-878F90F98F0E}"/>
    <cellStyle name="Euro 6" xfId="1070" xr:uid="{68EAFCFA-8F1B-4F8A-8B8F-84BD922B97B3}"/>
    <cellStyle name="Euro_III Forecast 2010_base resultados 8M10_EP" xfId="1075" xr:uid="{6E76C422-D71B-46FA-913D-82E561A71B52}"/>
    <cellStyle name="Explanatory Text 2" xfId="1076" xr:uid="{D37AC93D-277D-42A6-88B4-4C6F7C3C6C90}"/>
    <cellStyle name="Explanatory Text 2 2" xfId="1077" xr:uid="{1259B99A-CD82-4777-878D-2554CA6C546C}"/>
    <cellStyle name="Explanatory Text 2 3" xfId="1078" xr:uid="{9B449F56-2EA5-4D1F-A164-7CC66CA6FBD1}"/>
    <cellStyle name="Explanatory Text 3" xfId="1079" xr:uid="{56D9428C-38B1-42B3-B75F-6954D741E329}"/>
    <cellStyle name="Explanatory Text 4" xfId="1080" xr:uid="{A7454AF6-2E8E-488C-8015-D39757CFF174}"/>
    <cellStyle name="Fixed" xfId="1081" xr:uid="{9012036E-014B-4640-97C2-D5F24208D3D2}"/>
    <cellStyle name="Fixed 2" xfId="1082" xr:uid="{1D622F68-32F1-4A84-9BC9-7527BCCEFE20}"/>
    <cellStyle name="Good 2" xfId="1083" xr:uid="{2FD208F2-1E96-4EF6-9A96-D7333472364B}"/>
    <cellStyle name="Good 2 2" xfId="1084" xr:uid="{1DCD0836-EB17-46F8-AF32-694F92B3E094}"/>
    <cellStyle name="Good 2 3" xfId="1085" xr:uid="{2B00F9E7-926D-4A50-9FA4-B5303DF0299D}"/>
    <cellStyle name="Good 2 4" xfId="1086" xr:uid="{9D44EEF1-691E-4D43-84A8-DADCD15C20B1}"/>
    <cellStyle name="Good 3" xfId="1087" xr:uid="{D361493C-B964-4F7E-961B-EDFCEEF7E50B}"/>
    <cellStyle name="Good 4" xfId="1088" xr:uid="{F9D87B5B-ABAB-4EFB-AC6D-C5A0EED4F390}"/>
    <cellStyle name="Good 5" xfId="1089" xr:uid="{200A0B58-7DFB-4BFA-AB66-0B9E7749CA16}"/>
    <cellStyle name="Good 5 2" xfId="1090" xr:uid="{B3D0AC7C-4262-4A71-A259-888D6B80B810}"/>
    <cellStyle name="Good 6" xfId="1091" xr:uid="{8AC187E0-BE23-446D-BAC8-59C56C63F67F}"/>
    <cellStyle name="Good 7" xfId="1092" xr:uid="{8CECED3A-5C30-437C-B699-68DAD937B8B6}"/>
    <cellStyle name="Heading 1 2" xfId="1093" xr:uid="{95CDC5B8-DD6A-4760-916E-FA62366F97A3}"/>
    <cellStyle name="Heading 1 2 2" xfId="1094" xr:uid="{24623DDA-7709-4860-AA0C-A84DB94F6B4A}"/>
    <cellStyle name="Heading 1 2 3" xfId="1095" xr:uid="{2313730F-E366-4D68-8E6A-2DB581DE99E6}"/>
    <cellStyle name="Heading 1 3" xfId="1096" xr:uid="{D1FBC814-9202-48CC-A232-CE484F7D8A85}"/>
    <cellStyle name="Heading 1 4" xfId="1097" xr:uid="{B40F0D16-45CB-4D18-9CB2-44BEB8361305}"/>
    <cellStyle name="Heading 2 2" xfId="1098" xr:uid="{531E7142-9BA9-4A5C-BC21-3BDB02916B75}"/>
    <cellStyle name="Heading 2 2 2" xfId="1099" xr:uid="{0E88532D-559C-4BDE-B0E3-2A6C25246A7B}"/>
    <cellStyle name="Heading 2 2 2 2" xfId="1100" xr:uid="{DF158170-14BC-4E0C-A677-87E0A4FB9D56}"/>
    <cellStyle name="Heading 2 2 2 2 2" xfId="1101" xr:uid="{F7C07EEB-4CD7-42C6-B172-9D5F612809B2}"/>
    <cellStyle name="Heading 2 2 2 3" xfId="1102" xr:uid="{A7446813-D46B-45CE-AEC1-26F0E16D7615}"/>
    <cellStyle name="Heading 2 2 3" xfId="1103" xr:uid="{6EF095FE-A6FE-451F-8A76-87C99818D34A}"/>
    <cellStyle name="Heading 2 3" xfId="1104" xr:uid="{F573A227-ED21-4A13-BBF8-07187A486D1A}"/>
    <cellStyle name="Heading 2 4" xfId="1105" xr:uid="{BF3A05DC-6D4A-4C07-B59A-CDE643C2B0D2}"/>
    <cellStyle name="Heading 2 5" xfId="1106" xr:uid="{ED2C5321-BE99-4D5F-B45A-9F7AB8F44FF1}"/>
    <cellStyle name="Heading 3 2" xfId="1107" xr:uid="{6287820E-2795-41A3-80ED-D322FB16EC7C}"/>
    <cellStyle name="Heading 3 2 2" xfId="1108" xr:uid="{9821F2E5-7852-4E95-A183-DD8E9EF1D1E3}"/>
    <cellStyle name="Heading 3 2 2 2" xfId="1109" xr:uid="{E46CF47A-2B10-4E9F-A980-088FFE7F6E3A}"/>
    <cellStyle name="Heading 3 2 2 2 2" xfId="1110" xr:uid="{8E1A5DFA-D904-49B4-B082-7A0E79541DA5}"/>
    <cellStyle name="Heading 3 2 2 3" xfId="1111" xr:uid="{D9D3BCE8-E521-4AED-8C5F-77C8E2113520}"/>
    <cellStyle name="Heading 3 2 3" xfId="1112" xr:uid="{8FB833C8-AA0A-4264-AE95-6D72B2CEF06E}"/>
    <cellStyle name="Heading 3 3" xfId="1113" xr:uid="{23F5E6D4-9939-42A3-913B-FA7F2D5EC736}"/>
    <cellStyle name="Heading 3 4" xfId="1114" xr:uid="{FC42119B-B83C-47E6-9FB2-8CDF4A8261AB}"/>
    <cellStyle name="Heading 3 5" xfId="1115" xr:uid="{2526B97C-F307-4526-881C-1F042154460D}"/>
    <cellStyle name="Heading 4 2" xfId="1116" xr:uid="{7F1989B3-87BB-4CEB-BE15-13107E391350}"/>
    <cellStyle name="Heading 4 2 2" xfId="1117" xr:uid="{63052A76-4D60-4014-88E5-2D85720E4DAC}"/>
    <cellStyle name="Heading 4 2 3" xfId="1118" xr:uid="{961A478A-D9CD-4468-A4F2-EB4F4D85ED8B}"/>
    <cellStyle name="Heading 4 3" xfId="1119" xr:uid="{100C852C-ABE8-4F1B-813A-3BE65E885C04}"/>
    <cellStyle name="Heading 4 4" xfId="1120" xr:uid="{9880EC4E-E3DC-4057-B390-96F395E8862D}"/>
    <cellStyle name="Hiperligação_ESPINHO_2006" xfId="1121" xr:uid="{65C965FC-C32E-44AD-8B80-595428E0E727}"/>
    <cellStyle name="Incorrecto" xfId="1122" xr:uid="{24C6E2FA-0252-4C78-94FD-BC7633900E3C}"/>
    <cellStyle name="Incorrecto 2" xfId="1123" xr:uid="{8F43043D-1239-49F8-B80A-D981CAC1D44F}"/>
    <cellStyle name="Input 2" xfId="1124" xr:uid="{1664838A-5CA0-4C91-AD15-42E10A3AC4D5}"/>
    <cellStyle name="Input 2 2" xfId="1125" xr:uid="{4151E4DE-BAB4-432C-8CE9-2121F106DB00}"/>
    <cellStyle name="Input 2 2 2" xfId="1126" xr:uid="{8EDEC709-368C-422C-A2C7-C641B7C54573}"/>
    <cellStyle name="Input 2 2 2 2" xfId="1127" xr:uid="{A2EAF404-EBD3-4D9B-8A36-223D802E5DCD}"/>
    <cellStyle name="Input 2 2 3" xfId="1128" xr:uid="{A0E122C2-ACFC-4B98-B9B6-E7BE3AF54548}"/>
    <cellStyle name="Input 2 3" xfId="1129" xr:uid="{D4B7233B-B73D-4642-9F19-DA106355381F}"/>
    <cellStyle name="Input 3" xfId="1130" xr:uid="{AF02CC15-62AC-449B-BEC1-30CA04179389}"/>
    <cellStyle name="Input 4" xfId="1131" xr:uid="{40E59C0B-01D7-4FF7-A6D8-0FD07BB521E1}"/>
    <cellStyle name="Input 5" xfId="1132" xr:uid="{9D59A960-4808-4207-8235-39374C1A27E0}"/>
    <cellStyle name="Linked Cell 2" xfId="1133" xr:uid="{00F2F541-90CF-46FA-8AA9-E0E61A4B4218}"/>
    <cellStyle name="Linked Cell 2 2" xfId="1134" xr:uid="{078B674E-C031-4C78-9A23-305560104FD6}"/>
    <cellStyle name="Linked Cell 2 2 2" xfId="1135" xr:uid="{DDD3C139-66CD-448B-94DA-24257BBEE9CD}"/>
    <cellStyle name="Linked Cell 2 2 2 2" xfId="1136" xr:uid="{264241C2-E0C9-4AD4-AA06-4248A5579F1D}"/>
    <cellStyle name="Linked Cell 2 2 3" xfId="1137" xr:uid="{F6A4112A-7C10-4CC9-94C9-CCFC189400E5}"/>
    <cellStyle name="Linked Cell 2 3" xfId="1138" xr:uid="{D18CD40E-8470-4DF8-BB7A-8CEDD734B257}"/>
    <cellStyle name="Linked Cell 3" xfId="1139" xr:uid="{DFB3492A-27E4-4B82-9196-8A270BF16C1C}"/>
    <cellStyle name="Linked Cell 4" xfId="1140" xr:uid="{535B1A45-92FF-4C3F-915E-227757690953}"/>
    <cellStyle name="Linked Cell 5" xfId="1141" xr:uid="{8C11E314-D359-4527-B025-F9345922B505}"/>
    <cellStyle name="Millares [0]_Análisis Ventas " xfId="1142" xr:uid="{767FD150-DE14-493D-B5C0-57DD38517541}"/>
    <cellStyle name="Millares 2" xfId="20" xr:uid="{3D9BB7E8-955D-4D65-AD6C-C9DB6294ED44}"/>
    <cellStyle name="Moeda [0]_Orçamento 2002" xfId="1143" xr:uid="{2CD256AD-AB8E-4DC9-9676-44545E155597}"/>
    <cellStyle name="Moeda_Orçamento 2002" xfId="1144" xr:uid="{99DCB9ED-5EF5-4A26-8E91-AF344955C2CB}"/>
    <cellStyle name="Neutral 2" xfId="1145" xr:uid="{790D1B2A-5029-4716-B7A2-37D122C1126C}"/>
    <cellStyle name="Neutral 2 2" xfId="1146" xr:uid="{7DE162CD-5594-43CF-842C-004E9FE4F571}"/>
    <cellStyle name="Neutral 2 3" xfId="1147" xr:uid="{84D353F1-6BE8-4F55-9CA4-3C0B0282CE71}"/>
    <cellStyle name="Neutral 2 4" xfId="1148" xr:uid="{2FBFB3BB-4CF4-477C-B4C8-C98AD5E16C88}"/>
    <cellStyle name="Neutral 3" xfId="1149" xr:uid="{BC1FAD03-2685-4B32-A8D3-27AAC8EB4A31}"/>
    <cellStyle name="Neutral 4" xfId="1150" xr:uid="{E1F6FF30-6E81-4D06-952A-695607FC7460}"/>
    <cellStyle name="Neutral 5" xfId="1151" xr:uid="{0B61D6E0-E42B-4E7C-9AA2-F96C9CF02EAA}"/>
    <cellStyle name="Neutral 6" xfId="1152" xr:uid="{F80C7F96-1F2B-4F66-A80A-88E1B23C59A6}"/>
    <cellStyle name="Neutral 7" xfId="1153" xr:uid="{CDE8EA53-3D19-4AA9-A83D-77F2B5CC91EF}"/>
    <cellStyle name="Neutro" xfId="1154" xr:uid="{6DA96EE4-C48A-41C8-B6B6-E6239F6E205F}"/>
    <cellStyle name="Neutro 2" xfId="1155" xr:uid="{14C4B16D-F3AC-461A-B686-4B49EFF1A81B}"/>
    <cellStyle name="Normal" xfId="0" builtinId="0"/>
    <cellStyle name="Normal 10" xfId="1156" xr:uid="{71B97A98-A933-41D3-AA01-615977B996CA}"/>
    <cellStyle name="Normal 10 2" xfId="1157" xr:uid="{ABFC831D-9838-49BC-BDE6-B17518C7BDA5}"/>
    <cellStyle name="Normal 10 2 2" xfId="1158" xr:uid="{3BB1972D-7411-43B5-A2A4-8E021852565F}"/>
    <cellStyle name="Normal 10 3" xfId="1159" xr:uid="{DC5135AA-1910-4A67-A2FE-72A3BBCF56E1}"/>
    <cellStyle name="Normal 11" xfId="1160" xr:uid="{7F9334D2-6669-4CDB-A606-52C0A25F5388}"/>
    <cellStyle name="Normal 11 2" xfId="1161" xr:uid="{EA00C84F-658A-416B-8AF6-2F5B0E2984A4}"/>
    <cellStyle name="Normal 11 2 2" xfId="1162" xr:uid="{991E7B6A-5819-4689-917D-08DB3C113590}"/>
    <cellStyle name="Normal 11 3" xfId="1163" xr:uid="{F7A340CA-7D76-48FC-A631-E873FFDAB70B}"/>
    <cellStyle name="Normal 114" xfId="29" xr:uid="{CBF15D3E-829D-44E6-AD13-8FDD4F4F5A94}"/>
    <cellStyle name="Normal 12" xfId="1164" xr:uid="{1453154E-35B7-4357-9434-6E8ED07BC2F2}"/>
    <cellStyle name="Normal 12 2" xfId="1165" xr:uid="{1BFFA7F0-C416-42C7-9EE1-2CEFBB75F50E}"/>
    <cellStyle name="Normal 13" xfId="1166" xr:uid="{1F5F4A21-36BC-431F-B4AD-D3C80976254E}"/>
    <cellStyle name="Normal 13 2" xfId="1167" xr:uid="{A53CFAC8-34B3-4902-A37D-2139FFA08BCF}"/>
    <cellStyle name="Normal 14" xfId="1168" xr:uid="{F58FBD65-9466-4DAA-B1F9-8C75114479F9}"/>
    <cellStyle name="Normal 14 2" xfId="1169" xr:uid="{522E83C3-07E0-498F-94CC-968DFCEC8B9E}"/>
    <cellStyle name="Normal 14 3" xfId="1170" xr:uid="{6D8F1784-E80B-49E5-9748-766FDE0F7DE5}"/>
    <cellStyle name="Normal 14 4" xfId="1171" xr:uid="{8C1FB289-1469-443A-8D13-912BC7A2AC0F}"/>
    <cellStyle name="Normal 15" xfId="1172" xr:uid="{1EB73384-B27E-454E-8C0B-F95BC421C45D}"/>
    <cellStyle name="Normal 15 2" xfId="1173" xr:uid="{BD5A9092-5295-44B4-B033-A55CFEF7394C}"/>
    <cellStyle name="Normal 15 3" xfId="1174" xr:uid="{45837A09-D778-4541-A6FE-72B35FFD3E9C}"/>
    <cellStyle name="Normal 15 4" xfId="1175" xr:uid="{E0ECAC54-D76C-48C1-8B46-66C843DBA0F8}"/>
    <cellStyle name="Normal 16" xfId="1176" xr:uid="{BCB3515C-A9FC-4AA9-A4D3-6A0B09541CCE}"/>
    <cellStyle name="Normal 16 2" xfId="1177" xr:uid="{F90594E8-F254-4D66-8ED7-734F92A53474}"/>
    <cellStyle name="Normal 17" xfId="1178" xr:uid="{C03CB32F-EDAF-40A3-ABC1-924B233AAEAF}"/>
    <cellStyle name="Normal 17 2" xfId="1179" xr:uid="{9786C9FC-8920-4A7F-ACA9-83DCF42683D6}"/>
    <cellStyle name="Normal 18" xfId="1180" xr:uid="{27AB7DF4-2D5A-4924-8023-701C402E1D36}"/>
    <cellStyle name="Normal 18 2" xfId="1181" xr:uid="{9AD3C546-0912-4802-93C9-75E26B965A88}"/>
    <cellStyle name="Normal 19" xfId="1182" xr:uid="{9D9EEB6C-5DE1-4E65-8D8F-C1F4F7F3443C}"/>
    <cellStyle name="Normal 19 2" xfId="1183" xr:uid="{B7D004E3-D653-46B4-8863-C52F6601E81A}"/>
    <cellStyle name="Normal 2" xfId="4" xr:uid="{00000000-0005-0000-0000-000002000000}"/>
    <cellStyle name="Normal 2 2" xfId="5" xr:uid="{00000000-0005-0000-0000-000003000000}"/>
    <cellStyle name="Normal 2 2 2" xfId="1185" xr:uid="{C08CF512-FA54-4CEF-9FF3-61C48438C8D6}"/>
    <cellStyle name="Normal 2 2 2 2" xfId="1186" xr:uid="{8C32F5FE-B154-468F-A83E-563FE8D16123}"/>
    <cellStyle name="Normal 2 2 3" xfId="1187" xr:uid="{C259531F-F90C-46E0-BF9B-2C1B226BF283}"/>
    <cellStyle name="Normal 2 2 4" xfId="1184" xr:uid="{F2D96EA4-52BD-4B27-9D3A-D50E60F5B201}"/>
    <cellStyle name="Normal 2 3" xfId="11" xr:uid="{41B9630F-4819-4286-94C9-6EB6C91D9D67}"/>
    <cellStyle name="Normal 2 3 2" xfId="1188" xr:uid="{91B8C610-31B7-433A-B232-B9316275FE00}"/>
    <cellStyle name="Normal 2 4" xfId="21" xr:uid="{1C955B39-763F-492A-B26E-B96272EA2361}"/>
    <cellStyle name="Normal 2 4 2" xfId="1189" xr:uid="{2AB28BBA-B346-4486-AD7B-484EBB030E40}"/>
    <cellStyle name="Normal 2 5" xfId="1190" xr:uid="{5D619113-CB56-4DFB-91E5-13A89F868F8D}"/>
    <cellStyle name="Normal 2 5 2" xfId="1191" xr:uid="{706A153E-CC95-4E48-B2F4-727A12A06BA4}"/>
    <cellStyle name="Normal 2 6" xfId="1192" xr:uid="{AAC807F5-6CC9-4381-8D9D-7A32969E18E4}"/>
    <cellStyle name="Normal 2 7" xfId="1193" xr:uid="{E51598CF-B885-4B89-99B4-8A3A94B59CEB}"/>
    <cellStyle name="Normal 2_III Forecast 2010_base resultados 8M10_EP" xfId="1194" xr:uid="{449C58F5-E38C-4F9F-A215-ECFAAF6D7AEB}"/>
    <cellStyle name="Normal 20" xfId="1195" xr:uid="{ACB0ED14-D9EF-4F93-AF03-FD3C1F23AE0E}"/>
    <cellStyle name="Normal 20 2" xfId="1196" xr:uid="{C2879C49-BF22-4887-9978-239DB0329E2C}"/>
    <cellStyle name="Normal 21" xfId="1197" xr:uid="{2E5F2455-11DB-4FB8-BBB2-0A46612BCDE7}"/>
    <cellStyle name="Normal 21 2" xfId="1198" xr:uid="{6DD16D71-43A7-490D-958B-225BC2F4AF38}"/>
    <cellStyle name="Normal 22" xfId="1199" xr:uid="{29771DFF-4540-4FA5-8743-261E6EDC9E04}"/>
    <cellStyle name="Normal 22 2" xfId="1200" xr:uid="{FFB4EF44-817B-4599-9A7A-273F05B53811}"/>
    <cellStyle name="Normal 23" xfId="1201" xr:uid="{69A50F07-B78C-4C49-8F54-F8C701B7A7FA}"/>
    <cellStyle name="Normal 23 2" xfId="1202" xr:uid="{B420883C-2758-4217-9FD2-434C2EF93DCC}"/>
    <cellStyle name="Normal 24" xfId="1203" xr:uid="{364BE4C7-4034-4312-A4BC-45A78B4FB48D}"/>
    <cellStyle name="Normal 24 2" xfId="1204" xr:uid="{50EB21CC-2B22-412C-BB73-4579E11E7DE4}"/>
    <cellStyle name="Normal 25" xfId="1205" xr:uid="{754994C2-D069-4CC1-A1CE-7F72408FA4C3}"/>
    <cellStyle name="Normal 25 2" xfId="1206" xr:uid="{F9240138-732E-400C-A767-3D822EF0E6AD}"/>
    <cellStyle name="Normal 26" xfId="1207" xr:uid="{92498600-D1A2-4B1D-B8E7-C9D8F26608AF}"/>
    <cellStyle name="Normal 26 2" xfId="1208" xr:uid="{CD36C55C-97C9-4848-8FD0-94C9CA9F9CCA}"/>
    <cellStyle name="Normal 27" xfId="1209" xr:uid="{BD5EEC00-99E9-4C3E-9F14-F66E550DD3B5}"/>
    <cellStyle name="Normal 27 2" xfId="1210" xr:uid="{7AA88B04-ECCB-4AE8-AD5E-A7D5E66F5A7D}"/>
    <cellStyle name="Normal 28" xfId="1211" xr:uid="{9C584CC3-78D4-4D31-BC01-64AD48658580}"/>
    <cellStyle name="Normal 29" xfId="1212" xr:uid="{1B0F1819-823E-475C-BA3D-CE324B37F12B}"/>
    <cellStyle name="Normal 29 2" xfId="1213" xr:uid="{F3B70D78-F2C8-4DE3-BF26-1CDF2AC8F30F}"/>
    <cellStyle name="Normal 3" xfId="2" xr:uid="{00000000-0005-0000-0000-000004000000}"/>
    <cellStyle name="Normal 3 2" xfId="12" xr:uid="{4D3E0455-198C-4D38-B0FF-9235A89F4C03}"/>
    <cellStyle name="Normal 3 2 2" xfId="1216" xr:uid="{8477CA9F-E4FB-47E2-B417-98D2860A83D5}"/>
    <cellStyle name="Normal 3 2 3" xfId="1215" xr:uid="{C4285067-BE4A-4087-8832-8F92AD4F9756}"/>
    <cellStyle name="Normal 3 3" xfId="23" xr:uid="{D4C59D29-698B-4375-A70D-E5E3337CDD4B}"/>
    <cellStyle name="Normal 3 3 2" xfId="1217" xr:uid="{D12771EF-8507-4244-8950-5AB482DC7328}"/>
    <cellStyle name="Normal 3 4" xfId="1218" xr:uid="{7A9C253A-5A11-4186-9589-3512CFECE81F}"/>
    <cellStyle name="Normal 3 5" xfId="1219" xr:uid="{BE8E5630-34D5-445C-9FF9-0E48CBAC618D}"/>
    <cellStyle name="Normal 3 6" xfId="1214" xr:uid="{51E1E329-8B08-4EF8-9AD8-CCB4BA503849}"/>
    <cellStyle name="Normal 30" xfId="1220" xr:uid="{5894BB33-C05F-4938-8B69-EA34E2549AD3}"/>
    <cellStyle name="Normal 30 2" xfId="1221" xr:uid="{E12E31B5-C73A-48B2-BB0D-22AF934F507F}"/>
    <cellStyle name="Normal 31" xfId="1222" xr:uid="{B50B1510-95F7-4855-8C97-BD51E3175401}"/>
    <cellStyle name="Normal 31 2" xfId="1223" xr:uid="{63D1B237-7FAF-4EA4-AA91-31DC12796557}"/>
    <cellStyle name="Normal 32" xfId="1224" xr:uid="{23E04A9E-8076-484C-B069-C6E748EB44A8}"/>
    <cellStyle name="Normal 32 2" xfId="1225" xr:uid="{09CE6E23-FCD8-4B79-8D24-9E276DFB94DA}"/>
    <cellStyle name="Normal 33" xfId="1226" xr:uid="{7C6AB097-6D3B-4C89-B572-8FCF4F96D357}"/>
    <cellStyle name="Normal 33 2" xfId="1227" xr:uid="{D0A13194-33BF-4EC9-857D-A0942783D49D}"/>
    <cellStyle name="Normal 34" xfId="1228" xr:uid="{18007369-7544-4333-B774-6D73AD657F10}"/>
    <cellStyle name="Normal 34 2" xfId="1229" xr:uid="{4912B953-4462-4035-93BA-B5055EF54B38}"/>
    <cellStyle name="Normal 35" xfId="1230" xr:uid="{FC4979E6-41C9-48FA-944D-BCC487A47D01}"/>
    <cellStyle name="Normal 35 2" xfId="1231" xr:uid="{E56BA820-FC64-401D-BFD4-A53CC6415EC0}"/>
    <cellStyle name="Normal 36" xfId="1232" xr:uid="{3E1E6B4B-0227-4D21-9E64-5F47E097C673}"/>
    <cellStyle name="Normal 36 2" xfId="1233" xr:uid="{475609E4-1240-4689-A4A0-8F533C5B282E}"/>
    <cellStyle name="Normal 37" xfId="1234" xr:uid="{2DECDC14-5F31-4693-93BF-7585ABAEB7B6}"/>
    <cellStyle name="Normal 37 2" xfId="1235" xr:uid="{A390C398-A67E-49DC-BDB1-3D3481AB5DBA}"/>
    <cellStyle name="Normal 38" xfId="1236" xr:uid="{B3297480-FAFD-4BFF-9B61-4D7D395477BA}"/>
    <cellStyle name="Normal 38 2" xfId="1237" xr:uid="{D9245C1F-F470-47B2-98FB-3CD59E31BF9C}"/>
    <cellStyle name="Normal 39" xfId="1238" xr:uid="{3E715E41-BE86-484A-9530-7DED9B708921}"/>
    <cellStyle name="Normal 4" xfId="6" xr:uid="{FFFA00AB-C539-43EE-914E-CBCCE34D249E}"/>
    <cellStyle name="Normal 4 2" xfId="26" xr:uid="{9F52CB9E-D493-421F-88ED-CCEF514AA583}"/>
    <cellStyle name="Normal 4 2 2" xfId="1240" xr:uid="{4DAD16C2-13E8-4B50-B1EC-81E185A1A1C7}"/>
    <cellStyle name="Normal 4 3" xfId="1241" xr:uid="{3CF2E44B-31B4-48A4-987A-20966E255CDD}"/>
    <cellStyle name="Normal 4 4" xfId="1242" xr:uid="{492D41A1-2A67-4B2C-9734-ADD8F84FE271}"/>
    <cellStyle name="Normal 4 5" xfId="1243" xr:uid="{D15E25CD-0D39-4031-B130-FA5AA3ED3001}"/>
    <cellStyle name="Normal 4 6" xfId="1239" xr:uid="{6E54C880-388E-4918-AADA-DAEF91BD3459}"/>
    <cellStyle name="Normal 40" xfId="1244" xr:uid="{83252682-1DE3-48CD-B033-174FDA04594B}"/>
    <cellStyle name="Normal 41" xfId="1245" xr:uid="{7C95162A-61AD-4016-BA39-083D0A4ABF64}"/>
    <cellStyle name="Normal 42" xfId="1246" xr:uid="{74A7B0B7-38CD-4C4D-B79F-5875F024E8F7}"/>
    <cellStyle name="Normal 43" xfId="1247" xr:uid="{33B203D1-D748-4156-8220-AF7D0FF9BFAE}"/>
    <cellStyle name="Normal 44" xfId="1248" xr:uid="{C93CAA88-7B1A-4055-BE75-8829807D5E34}"/>
    <cellStyle name="Normal 45" xfId="1249" xr:uid="{D21DE149-AB22-487E-AEDC-DD78C8122FEC}"/>
    <cellStyle name="Normal 46" xfId="1250" xr:uid="{13E484CF-6EFE-4B52-991A-C3D6F89BAE15}"/>
    <cellStyle name="Normal 47" xfId="1251" xr:uid="{DA9B44F0-36D8-4DD2-9D58-4F6044F1C428}"/>
    <cellStyle name="Normal 48" xfId="1252" xr:uid="{00681834-EE00-4728-AC0D-E6479D29580C}"/>
    <cellStyle name="Normal 49" xfId="1253" xr:uid="{8D503E86-6B61-4ED5-B7B1-2DFC4D07E57C}"/>
    <cellStyle name="Normal 5" xfId="8" xr:uid="{9FCDDD53-C7DB-46B4-AA39-A4687BC5F582}"/>
    <cellStyle name="Normal 5 2" xfId="24" xr:uid="{5B97DD7E-F103-4E67-AF40-17F56EC83E66}"/>
    <cellStyle name="Normal 5 2 2" xfId="1254" xr:uid="{603FF40C-04CA-4B16-AD77-1A569C720D32}"/>
    <cellStyle name="Normal 5 3" xfId="17" xr:uid="{90C748A8-A27F-4D40-9619-E7DCBAEA659A}"/>
    <cellStyle name="Normal 5 3 2" xfId="1255" xr:uid="{8491DA5D-B000-4F3F-9B0B-39660D607DA5}"/>
    <cellStyle name="Normal 5 4" xfId="1256" xr:uid="{ED603FAC-7A0C-40C9-97DB-2FECEA727066}"/>
    <cellStyle name="Normal 5 5" xfId="1257" xr:uid="{D8970E11-CB96-4E88-A092-010B41996E51}"/>
    <cellStyle name="Normal 5 6" xfId="1258" xr:uid="{B597112D-A401-418D-BE4F-FA8F0B7C4685}"/>
    <cellStyle name="Normal 50" xfId="1259" xr:uid="{91B991E1-2CA7-4844-A8BD-637D3761AB32}"/>
    <cellStyle name="Normal 51" xfId="1260" xr:uid="{CC78C9C3-78C8-44CB-B28C-4FEA96DA485E}"/>
    <cellStyle name="Normal 52" xfId="1261" xr:uid="{9A4D3367-C1D0-4FF8-B392-5B91675470FD}"/>
    <cellStyle name="Normal 53" xfId="1262" xr:uid="{B1FEE9B6-48EC-4AAB-A011-94BF5B19DFCC}"/>
    <cellStyle name="Normal 54" xfId="1263" xr:uid="{480F0E8D-689A-4E92-8ED0-8EC3F7EA0911}"/>
    <cellStyle name="Normal 55" xfId="1264" xr:uid="{15F270DF-8BF5-4743-808C-F33065C9599C}"/>
    <cellStyle name="Normal 56" xfId="1265" xr:uid="{0CD09E04-A80F-4F8A-9563-A65C7EC8806B}"/>
    <cellStyle name="Normal 57" xfId="1266" xr:uid="{038C326B-7AD2-4A9D-AC8A-C5C046ACD209}"/>
    <cellStyle name="Normal 58" xfId="1267" xr:uid="{F19A8D21-1988-447D-A3C7-9C5238703C85}"/>
    <cellStyle name="Normal 59" xfId="1268" xr:uid="{5E810209-175E-4662-81E7-011F89DF4DAA}"/>
    <cellStyle name="Normal 6" xfId="18" xr:uid="{B95D1E89-C996-4F23-B596-D890809964BD}"/>
    <cellStyle name="Normal 6 2" xfId="1270" xr:uid="{424D72BB-ACEC-436B-898A-E5CA28A3BCDE}"/>
    <cellStyle name="Normal 6 3" xfId="1269" xr:uid="{548AF631-1658-4B3D-A343-1DB5245FD074}"/>
    <cellStyle name="Normal 60" xfId="1271" xr:uid="{4FE26DE5-C321-4FDD-B34F-E3F6E64022AA}"/>
    <cellStyle name="Normal 61" xfId="1272" xr:uid="{D6564A6A-8E5C-49F3-9818-9EDCD517D665}"/>
    <cellStyle name="Normal 62" xfId="1273" xr:uid="{D1C2AA29-C5A5-4BE6-807F-03F1D2AEB56E}"/>
    <cellStyle name="Normal 63" xfId="1274" xr:uid="{688DC4EE-3866-442E-AC90-4FE1AF9C5907}"/>
    <cellStyle name="Normal 64" xfId="1275" xr:uid="{09CC83BF-ABC1-40F5-8770-4DFA9F933D2D}"/>
    <cellStyle name="Normal 65" xfId="1276" xr:uid="{7D0A574E-2DEA-4691-97A5-3DA0FEF749B4}"/>
    <cellStyle name="Normal 66" xfId="1277" xr:uid="{B071CD4E-02BE-47A6-9846-28CD2CBDE1D7}"/>
    <cellStyle name="Normal 67" xfId="1278" xr:uid="{1B72C5D9-E30B-4716-88BC-9821B14F8746}"/>
    <cellStyle name="Normal 68" xfId="1279" xr:uid="{E992B195-8C67-4215-A7DF-4039CA0DC96A}"/>
    <cellStyle name="Normal 69" xfId="1280" xr:uid="{B0FC5095-122D-42E1-8B9D-3F91C75F5DAC}"/>
    <cellStyle name="Normal 7" xfId="16" xr:uid="{4B6DD9BC-89FB-4E10-BC27-B22EAA4B6807}"/>
    <cellStyle name="Normal 7 2" xfId="1282" xr:uid="{0F7E27F0-48AA-463F-BBC7-3C435DF9969C}"/>
    <cellStyle name="Normal 7 3" xfId="1281" xr:uid="{06A7C4B9-D2ED-4987-93A1-6BFBED84E9F4}"/>
    <cellStyle name="Normal 70" xfId="1283" xr:uid="{C9E79D85-0FE9-471B-9D81-179069567F20}"/>
    <cellStyle name="Normal 71" xfId="1284" xr:uid="{58AB2867-C3D0-4178-979C-5B03AE42AD54}"/>
    <cellStyle name="Normal 72" xfId="1285" xr:uid="{775A2DC9-B903-443E-AC4A-4457FCEA9B08}"/>
    <cellStyle name="Normal 73" xfId="1286" xr:uid="{DC918948-747C-4A86-B6C6-00F1A8C09748}"/>
    <cellStyle name="Normal 74" xfId="1287" xr:uid="{55C00472-A5AC-4E6B-B724-B5125894B20C}"/>
    <cellStyle name="Normal 75" xfId="1288" xr:uid="{020888CC-FB4F-43EA-8117-CB412B00B89E}"/>
    <cellStyle name="Normal 76" xfId="1289" xr:uid="{703F3658-2222-41AD-A9C2-E944312428FA}"/>
    <cellStyle name="Normal 77" xfId="1290" xr:uid="{EA3C1590-E7C8-411E-8008-F577566CFA3B}"/>
    <cellStyle name="Normal 78" xfId="1291" xr:uid="{B0F65846-C5CC-4B46-8A5A-0987FA536C63}"/>
    <cellStyle name="Normal 79" xfId="1292" xr:uid="{310085CF-B6F1-4AC7-983A-E11F1121C9CD}"/>
    <cellStyle name="Normal 8" xfId="1293" xr:uid="{8726D2CA-C27F-49E1-B006-F73EB3A12826}"/>
    <cellStyle name="Normal 8 2" xfId="1294" xr:uid="{DCD20E17-5194-477E-8386-78EBD5F75437}"/>
    <cellStyle name="Normal 8 2 2" xfId="1295" xr:uid="{253589B3-3F34-4F37-B52D-0BCBB0825D80}"/>
    <cellStyle name="Normal 8 3" xfId="1296" xr:uid="{17B07FE9-52A6-4424-8F37-E9F658F7F09C}"/>
    <cellStyle name="Normal 80" xfId="1297" xr:uid="{3B763435-8F49-4ACB-837D-3BE047A0F463}"/>
    <cellStyle name="Normal 81" xfId="1298" xr:uid="{54451471-5E7E-4B37-BC3F-15D9945B070F}"/>
    <cellStyle name="Normal 82" xfId="1299" xr:uid="{6FC59CBB-CD17-49FB-97CA-9B53869E1E34}"/>
    <cellStyle name="Normal 83" xfId="1300" xr:uid="{C92D3CC7-FCD6-44FE-B590-9F1D08D7FD75}"/>
    <cellStyle name="Normal 84" xfId="1301" xr:uid="{E5EE54C0-F9B0-4664-BE88-E4D1CB9B6ED7}"/>
    <cellStyle name="Normal 85" xfId="1302" xr:uid="{C2D8012B-604C-442D-AACA-C17805F07332}"/>
    <cellStyle name="Normal 86" xfId="1303" xr:uid="{5D91D94F-CCC4-46E2-B7A3-95D333ED0D61}"/>
    <cellStyle name="Normal 9" xfId="1304" xr:uid="{58205F2E-6461-4CC4-BC45-4FDB7F9449FA}"/>
    <cellStyle name="Normal 9 2" xfId="1305" xr:uid="{B1F6A487-B2C6-458E-A5EF-49600CD9AC58}"/>
    <cellStyle name="Normal 9 2 2" xfId="1306" xr:uid="{B7173DA3-D112-4115-B9C6-DC79B7D4997B}"/>
    <cellStyle name="Normal 9 3" xfId="1307" xr:uid="{0881EF51-C9E1-4524-9FEC-C7B524CD80E9}"/>
    <cellStyle name="Normal_LIBRO consejo1 2" xfId="9" xr:uid="{5927851C-2236-495B-BC03-1BE83D75B686}"/>
    <cellStyle name="Normalny_030425-ts-danedofactbook-pluk" xfId="1308" xr:uid="{3389E84F-A2BB-416F-8B4B-BDD1EC5CB4D9}"/>
    <cellStyle name="Nota" xfId="1309" xr:uid="{C92043AF-1F01-493E-A561-94C7DD9F3D53}"/>
    <cellStyle name="Nota 2" xfId="1310" xr:uid="{08356746-B636-43FE-A512-E5BF6B187F25}"/>
    <cellStyle name="Notas" xfId="1311" xr:uid="{5ADE61A8-D18F-437F-8E1B-C9824E4F9D8D}"/>
    <cellStyle name="Note 10" xfId="1312" xr:uid="{7DAA06D4-7EF6-4C5F-8BB6-607B2926D448}"/>
    <cellStyle name="Note 11" xfId="1313" xr:uid="{4A28FCD5-133D-467B-AA5B-6D8688D0F4A7}"/>
    <cellStyle name="Note 12" xfId="1314" xr:uid="{52ABCA00-4DD8-47A9-B01B-29C30DBA7DE5}"/>
    <cellStyle name="Note 13" xfId="1315" xr:uid="{9243475C-6AC9-4B76-A681-C9617BCC1D98}"/>
    <cellStyle name="Note 14" xfId="1316" xr:uid="{928B4882-1B78-4BF6-A5E6-B5FC2221B0B5}"/>
    <cellStyle name="Note 15" xfId="1317" xr:uid="{215E9CFE-8F68-4A97-A67A-7D391A9E482E}"/>
    <cellStyle name="Note 16" xfId="1318" xr:uid="{E38F3BD6-C540-4A92-A30D-FE2E226C91F3}"/>
    <cellStyle name="Note 17" xfId="1319" xr:uid="{ED254706-3EAB-4293-9BB7-CD00F3384318}"/>
    <cellStyle name="Note 2" xfId="1320" xr:uid="{F3E282CB-A2D7-43E7-8D3E-CEA17F398335}"/>
    <cellStyle name="Note 2 2" xfId="1321" xr:uid="{17C546C4-C45A-437C-B706-6E1CBB19765F}"/>
    <cellStyle name="Note 2 2 2" xfId="1322" xr:uid="{C3FE85C8-6066-4922-A514-DA532F5148DA}"/>
    <cellStyle name="Note 2 2 2 2" xfId="1323" xr:uid="{97823B00-4573-49C9-8D9E-8EC156D83E1C}"/>
    <cellStyle name="Note 2 2 3" xfId="1324" xr:uid="{63A00ACF-1852-4BF8-AEB4-7EDCB79FC463}"/>
    <cellStyle name="Note 2 3" xfId="1325" xr:uid="{BD4B6215-2975-41EC-9FFC-CDD65EFAB7F0}"/>
    <cellStyle name="Note 3" xfId="1326" xr:uid="{757F872B-EA37-468D-ABEE-56642F487C3F}"/>
    <cellStyle name="Note 3 2" xfId="1327" xr:uid="{8E146F3C-CB41-478B-B318-92925F522756}"/>
    <cellStyle name="Note 4" xfId="1328" xr:uid="{0057C644-087E-4521-9F50-57ABBC701A86}"/>
    <cellStyle name="Note 5" xfId="1329" xr:uid="{D5CE4870-F114-4A1A-895D-2FBF74B66936}"/>
    <cellStyle name="Note 6" xfId="1330" xr:uid="{721C3ACD-F4DC-43F7-96FE-996FF4451681}"/>
    <cellStyle name="Note 7" xfId="1331" xr:uid="{673B65F3-B3A7-415E-9F11-5B2CFC096FBF}"/>
    <cellStyle name="Note 8" xfId="1332" xr:uid="{B61121F2-38C8-4ACB-80C4-101ED61F6B51}"/>
    <cellStyle name="Note 9" xfId="1333" xr:uid="{EE69D68A-359B-45C3-9EAC-7ADADDD18EA2}"/>
    <cellStyle name="Output 2" xfId="1334" xr:uid="{039761E8-9562-4B67-917D-5DEAB6545F44}"/>
    <cellStyle name="Output 2 2" xfId="1335" xr:uid="{08E0E9D2-DA46-43D9-A35E-839C6CC683F3}"/>
    <cellStyle name="Output 2 3" xfId="1336" xr:uid="{04679B8C-9370-4F28-95C4-CB621C4C60AD}"/>
    <cellStyle name="Output 3" xfId="1337" xr:uid="{E2D8BC7A-8E07-4E51-9BD4-71CA73727E7B}"/>
    <cellStyle name="Output 4" xfId="1338" xr:uid="{26326D8D-20AF-4108-8643-4D89AC029980}"/>
    <cellStyle name="Output 5" xfId="1339" xr:uid="{A5395AE4-E43A-4DD3-850D-7B1F59F9390F}"/>
    <cellStyle name="Percent" xfId="1" builtinId="5"/>
    <cellStyle name="Percent 10" xfId="1341" xr:uid="{8B495F86-E6C5-4B6A-8F3E-9B260D522BF5}"/>
    <cellStyle name="Percent 11" xfId="1342" xr:uid="{1D06C76D-3FF5-445D-8F59-66C5E9F4719A}"/>
    <cellStyle name="Percent 12" xfId="1343" xr:uid="{C468820A-67EF-4F2A-98AC-7C8134AD93F6}"/>
    <cellStyle name="Percent 13" xfId="1344" xr:uid="{43C0EF45-B0F4-47BE-984A-4C9B77E623F3}"/>
    <cellStyle name="Percent 14" xfId="1345" xr:uid="{7638B680-B964-408E-BBFF-0FBEF076364B}"/>
    <cellStyle name="Percent 15" xfId="1340" xr:uid="{FA4AA1C6-B41C-402C-A7D6-C091AB8D6929}"/>
    <cellStyle name="Percent 2" xfId="3" xr:uid="{00000000-0005-0000-0000-000006000000}"/>
    <cellStyle name="Percent 2 2" xfId="1347" xr:uid="{AFBD33D1-DF3E-4CAC-A999-5D3E3190C184}"/>
    <cellStyle name="Percent 2 3" xfId="1348" xr:uid="{E7FFD66C-EBF0-4CC8-BBBD-A67B4819B7E4}"/>
    <cellStyle name="Percent 2 4" xfId="1346" xr:uid="{394A1C4E-B90E-4B99-A2EC-08DC5F4B2E61}"/>
    <cellStyle name="Percent 3" xfId="15" xr:uid="{82ADD08C-FA3E-4819-88F8-F700AB0CD379}"/>
    <cellStyle name="Percent 3 2" xfId="1350" xr:uid="{F4FC907A-85EE-4DEA-8284-E760E3027B83}"/>
    <cellStyle name="Percent 3 3" xfId="1351" xr:uid="{00CD58CE-1CD8-4103-BD14-61A5B2149516}"/>
    <cellStyle name="Percent 3 4" xfId="1349" xr:uid="{482E6142-2255-4672-9EF1-32D7E6843808}"/>
    <cellStyle name="Percent 4" xfId="1352" xr:uid="{0EF5C291-E979-4C0B-AB79-0A22BABE3AE7}"/>
    <cellStyle name="Percent 4 2" xfId="1353" xr:uid="{1AFD1C0D-8EC8-47FF-8920-4B9A38B4FEB2}"/>
    <cellStyle name="Percent 5" xfId="1354" xr:uid="{7464E682-4294-47C6-B39F-548777205A38}"/>
    <cellStyle name="Percent 5 2" xfId="1355" xr:uid="{95EB1137-46D7-44BC-B78B-B830270814BA}"/>
    <cellStyle name="Percent 6" xfId="1356" xr:uid="{A2193509-D833-4696-BB0C-57D9C3ABB015}"/>
    <cellStyle name="Percent 6 2" xfId="1357" xr:uid="{CA258D18-4E4B-4B5C-A220-E93BDA7C07AE}"/>
    <cellStyle name="Percent 7" xfId="1358" xr:uid="{254EB40E-8C8A-4A3E-BF63-41CA082AD37D}"/>
    <cellStyle name="Percent 7 2" xfId="1359" xr:uid="{1598C3CA-8687-483C-9EC3-6FEFCB4E8AE8}"/>
    <cellStyle name="Percent 8" xfId="1360" xr:uid="{12E914A7-243F-429D-A0A5-9E713CCAA3BD}"/>
    <cellStyle name="Percent 8 2" xfId="1361" xr:uid="{1D0A8DAF-81CC-4797-A39C-E45B84CAED1C}"/>
    <cellStyle name="Percent 9" xfId="1362" xr:uid="{AB8D943C-036E-4F34-BC44-5DB15AC7AAEB}"/>
    <cellStyle name="Percentagem 2" xfId="1363" xr:uid="{193193CE-D1BC-46C0-BF59-4A902B0D2ECF}"/>
    <cellStyle name="Percentagem 2 2" xfId="1364" xr:uid="{75999CEE-3F0C-4A37-A85C-BB8EF7028C93}"/>
    <cellStyle name="Percentagem 3" xfId="1365" xr:uid="{8972D649-15B5-4D82-89F6-323688C1BCCE}"/>
    <cellStyle name="Percentagem 4" xfId="1366" xr:uid="{2F6DA794-0AD3-40B8-A1C4-9F7611A3130B}"/>
    <cellStyle name="Porcentagem 2" xfId="1367" xr:uid="{D1EF04B1-FEAD-4A6C-840D-E9BB20D6A26F}"/>
    <cellStyle name="Porcentaje 2" xfId="27" xr:uid="{7DC7971A-0F0A-419B-9792-2DE85C2CCB17}"/>
    <cellStyle name="Porcentual 2" xfId="10" xr:uid="{199D63DE-503E-474E-905C-09C695A3F8B2}"/>
    <cellStyle name="Porcentual 2 2" xfId="22" xr:uid="{608F12EF-7015-41CA-815A-6E5201D3EADD}"/>
    <cellStyle name="Porcentual 3" xfId="19" xr:uid="{B8B6761E-6FAE-46C1-BD30-C782A42817BE}"/>
    <cellStyle name="Saída" xfId="1368" xr:uid="{4A7DC185-ADF8-4B14-B9F3-30B97D208FBF}"/>
    <cellStyle name="Saída 2" xfId="1369" xr:uid="{A9E26FB8-B2AF-4E92-802E-8CAC034F096B}"/>
    <cellStyle name="Salida" xfId="1370" xr:uid="{8818C45A-E595-4654-9D37-C4A922A3A235}"/>
    <cellStyle name="Salida 2" xfId="1371" xr:uid="{5B37758E-752A-4CCC-B9A9-D60B0BFB8DEE}"/>
    <cellStyle name="SAPBEXaggData" xfId="1372" xr:uid="{30BFE6E6-1AFE-4A85-B69C-4898869F4B92}"/>
    <cellStyle name="SAPBEXaggData 10" xfId="1373" xr:uid="{6B14B669-7FFE-4B82-84DE-58DB35311D0A}"/>
    <cellStyle name="SAPBEXaggData 10 2" xfId="1374" xr:uid="{51267173-2FA3-48D8-95E3-25AA6914E05B}"/>
    <cellStyle name="SAPBEXaggData 11" xfId="1375" xr:uid="{78871370-6361-4F8D-984A-F758C14DDC9A}"/>
    <cellStyle name="SAPBEXaggData 11 2" xfId="1376" xr:uid="{CF00D118-322F-46AA-BC91-29083620502B}"/>
    <cellStyle name="SAPBEXaggData 12" xfId="1377" xr:uid="{18B58D46-6EA2-4BF5-BE5C-1BB8BF181839}"/>
    <cellStyle name="SAPBEXaggData 12 2" xfId="1378" xr:uid="{07525057-E0D0-4E3C-B2F7-11646DB1CAA9}"/>
    <cellStyle name="SAPBEXaggData 13" xfId="1379" xr:uid="{287282D7-FA2B-491E-BD9B-19B5692F69EF}"/>
    <cellStyle name="SAPBEXaggData 13 2" xfId="1380" xr:uid="{7E70CDD0-D930-4753-9FB8-9476F4D3FF27}"/>
    <cellStyle name="SAPBEXaggData 14" xfId="1381" xr:uid="{6AA9A69B-9CB9-49DC-80AE-D27A5D416188}"/>
    <cellStyle name="SAPBEXaggData 14 2" xfId="1382" xr:uid="{5A6B368C-FC0F-4A70-B856-38B021E1231C}"/>
    <cellStyle name="SAPBEXaggData 15" xfId="1383" xr:uid="{2FC82442-5B0E-4CF7-8D76-4550876BF67C}"/>
    <cellStyle name="SAPBEXaggData 15 2" xfId="1384" xr:uid="{2A9312AC-93F3-4290-9E2E-0CDF9D9E4627}"/>
    <cellStyle name="SAPBEXaggData 16" xfId="1385" xr:uid="{22519699-50CD-4BC5-9E9E-B6E5D0FA217C}"/>
    <cellStyle name="SAPBEXaggData 16 2" xfId="1386" xr:uid="{02C2CA80-53C0-4E5E-9C2C-48A8BA42EEA1}"/>
    <cellStyle name="SAPBEXaggData 17" xfId="1387" xr:uid="{310A87EF-41C2-4AB5-8EE8-4EA5B93EB22C}"/>
    <cellStyle name="SAPBEXaggData 17 2" xfId="1388" xr:uid="{F4CF91BD-5FAD-4A46-BBF9-847B48707ECA}"/>
    <cellStyle name="SAPBEXaggData 18" xfId="1389" xr:uid="{077915D8-06CC-4CA9-B518-01C5B2BB6E2C}"/>
    <cellStyle name="SAPBEXaggData 2" xfId="1390" xr:uid="{193BA29F-3D8F-45BB-A708-C34381E66904}"/>
    <cellStyle name="SAPBEXaggData 2 2" xfId="1391" xr:uid="{66DC0907-2B1C-4B45-BE36-85E4706B840A}"/>
    <cellStyle name="SAPBEXaggData 3" xfId="1392" xr:uid="{52EA744E-A137-482F-962A-5C9866E69B46}"/>
    <cellStyle name="SAPBEXaggData 3 2" xfId="1393" xr:uid="{F2A566D7-80A7-4654-81CC-252D9D02036E}"/>
    <cellStyle name="SAPBEXaggData 4" xfId="1394" xr:uid="{345A7B14-73E5-4B53-8BF0-DD6D30D2CE9E}"/>
    <cellStyle name="SAPBEXaggData 4 2" xfId="1395" xr:uid="{A229B544-12AB-4250-AFB5-9E30EE7519C6}"/>
    <cellStyle name="SAPBEXaggData 5" xfId="1396" xr:uid="{69D72160-9FD0-46EC-A765-9C14EE3045FB}"/>
    <cellStyle name="SAPBEXaggData 5 2" xfId="1397" xr:uid="{E160417F-8819-4AF4-A068-9D2188B85EF7}"/>
    <cellStyle name="SAPBEXaggData 6" xfId="1398" xr:uid="{35104027-B4D9-42F2-88FB-58297714BCF1}"/>
    <cellStyle name="SAPBEXaggData 6 2" xfId="1399" xr:uid="{6E291FB1-2284-45C0-AFE1-99C8DE9EE553}"/>
    <cellStyle name="SAPBEXaggData 7" xfId="1400" xr:uid="{E9B1347D-E469-47C8-9EB9-C22C269AB925}"/>
    <cellStyle name="SAPBEXaggData 7 2" xfId="1401" xr:uid="{9C0549F8-2A97-4B2E-9AD1-13B8D077FE00}"/>
    <cellStyle name="SAPBEXaggData 8" xfId="1402" xr:uid="{30C6DBBC-DF91-4A8D-9126-5F8EC6D59A7A}"/>
    <cellStyle name="SAPBEXaggData 8 2" xfId="1403" xr:uid="{42B648D8-F3F6-4AAE-BD62-F8EAC4E0C0A7}"/>
    <cellStyle name="SAPBEXaggData 9" xfId="1404" xr:uid="{65BA31BD-C012-4A0D-948D-11FD920FDAD6}"/>
    <cellStyle name="SAPBEXaggData 9 2" xfId="1405" xr:uid="{4A8389D9-B37D-40AB-93DA-517025115644}"/>
    <cellStyle name="SAPBEXaggData_(B) R&amp;M" xfId="1406" xr:uid="{FAB45FD4-FDE9-4465-80C4-05BC349E2AC0}"/>
    <cellStyle name="SAPBEXaggDataEmph" xfId="1407" xr:uid="{47C99D4D-59B4-4422-B535-4E5C564651E4}"/>
    <cellStyle name="SAPBEXaggDataEmph 10" xfId="1408" xr:uid="{CB3DCFE2-A3AD-4C37-8FAA-95777C9BBF28}"/>
    <cellStyle name="SAPBEXaggDataEmph 11" xfId="1409" xr:uid="{C874C3C3-B3BC-4306-BCEC-B350B9196C67}"/>
    <cellStyle name="SAPBEXaggDataEmph 12" xfId="1410" xr:uid="{5516E036-7037-4340-AC71-444C89F19BA6}"/>
    <cellStyle name="SAPBEXaggDataEmph 13" xfId="1411" xr:uid="{31762CA0-6194-4DD7-ABA3-94D29974CD7F}"/>
    <cellStyle name="SAPBEXaggDataEmph 14" xfId="1412" xr:uid="{34A26FC9-FDB4-4C00-9AEE-A914BF914502}"/>
    <cellStyle name="SAPBEXaggDataEmph 15" xfId="1413" xr:uid="{91BDFF7C-DB78-4071-987D-EC0D9E9C3350}"/>
    <cellStyle name="SAPBEXaggDataEmph 16" xfId="1414" xr:uid="{3EDF18D3-2D24-4DE2-BEDE-D1ACA7184681}"/>
    <cellStyle name="SAPBEXaggDataEmph 17" xfId="1415" xr:uid="{56678DA3-1DB8-41C4-991B-B8680B535F39}"/>
    <cellStyle name="SAPBEXaggDataEmph 2" xfId="1416" xr:uid="{1DD7ED0D-0A96-43F6-965C-FBFA8F3A759D}"/>
    <cellStyle name="SAPBEXaggDataEmph 3" xfId="1417" xr:uid="{C9736718-0BE0-4A9F-9F5F-04D7563E0005}"/>
    <cellStyle name="SAPBEXaggDataEmph 4" xfId="1418" xr:uid="{8DED0C48-4C55-4399-9833-C9CBAE7BB608}"/>
    <cellStyle name="SAPBEXaggDataEmph 5" xfId="1419" xr:uid="{0600288E-2D37-48F7-BA7F-E3F51AF58FB0}"/>
    <cellStyle name="SAPBEXaggDataEmph 6" xfId="1420" xr:uid="{8A093CCD-C0B6-4D28-821F-AA39B541342E}"/>
    <cellStyle name="SAPBEXaggDataEmph 7" xfId="1421" xr:uid="{18C84D0B-6BD7-41B4-9490-A80F49EE7229}"/>
    <cellStyle name="SAPBEXaggDataEmph 8" xfId="1422" xr:uid="{959610B6-2C11-44A1-80BA-BAFE587A2690}"/>
    <cellStyle name="SAPBEXaggDataEmph 9" xfId="1423" xr:uid="{A809980F-D0B0-4FB1-931B-703DAF3DB129}"/>
    <cellStyle name="SAPBEXaggDataEmph_(B) R&amp;M" xfId="1424" xr:uid="{BAF04CA6-6818-492E-BF37-D07AF9B5653B}"/>
    <cellStyle name="SAPBEXaggItem" xfId="1425" xr:uid="{3C095FED-222D-4E82-8692-665F7C900E71}"/>
    <cellStyle name="SAPBEXaggItem 10" xfId="1426" xr:uid="{D6889003-8580-46FB-B719-31908DC8CECA}"/>
    <cellStyle name="SAPBEXaggItem 10 2" xfId="1427" xr:uid="{E59608DA-5DC2-4CC7-9577-1A2F20643570}"/>
    <cellStyle name="SAPBEXaggItem 11" xfId="1428" xr:uid="{86E3D608-F804-4915-8064-134F8B3A0089}"/>
    <cellStyle name="SAPBEXaggItem 11 2" xfId="1429" xr:uid="{E7213E0C-6CD2-4671-B8C6-93A0C3F09D9C}"/>
    <cellStyle name="SAPBEXaggItem 12" xfId="1430" xr:uid="{A1A5C7E0-39F8-4729-9E5E-A852897089F5}"/>
    <cellStyle name="SAPBEXaggItem 12 2" xfId="1431" xr:uid="{2E478D3B-09F8-4E8F-9FE6-C7E419C59AC8}"/>
    <cellStyle name="SAPBEXaggItem 13" xfId="1432" xr:uid="{B9C84BD8-209C-41D5-956D-B813A688C01A}"/>
    <cellStyle name="SAPBEXaggItem 13 2" xfId="1433" xr:uid="{5EEAA571-E063-463E-A5C0-93F0CB94BBFB}"/>
    <cellStyle name="SAPBEXaggItem 14" xfId="1434" xr:uid="{E389F3A5-74B7-4394-8D52-D70A51BCF40D}"/>
    <cellStyle name="SAPBEXaggItem 14 2" xfId="1435" xr:uid="{7CFB8B27-2C52-4D24-B170-E357C703EEEF}"/>
    <cellStyle name="SAPBEXaggItem 15" xfId="1436" xr:uid="{6AFD8E80-C998-40CF-86BC-3CB29C88779B}"/>
    <cellStyle name="SAPBEXaggItem 15 2" xfId="1437" xr:uid="{F61EBD98-BA91-4201-B7DE-A4035DDBEB80}"/>
    <cellStyle name="SAPBEXaggItem 16" xfId="1438" xr:uid="{A1CB7F63-D85F-4FFF-A29A-F2D795091203}"/>
    <cellStyle name="SAPBEXaggItem 16 2" xfId="1439" xr:uid="{908815AD-9180-4B66-8E21-C25797168FB6}"/>
    <cellStyle name="SAPBEXaggItem 17" xfId="1440" xr:uid="{81822926-0E91-411F-8746-911B5C9C36C3}"/>
    <cellStyle name="SAPBEXaggItem 17 2" xfId="1441" xr:uid="{885697B7-3279-4A38-9D0A-1C899440FF6D}"/>
    <cellStyle name="SAPBEXaggItem 18" xfId="1442" xr:uid="{B189D1F4-0FA8-49AE-B00F-8C12B03E454D}"/>
    <cellStyle name="SAPBEXaggItem 2" xfId="1443" xr:uid="{F2DFB997-46F9-4A33-AD48-408684F8FDBC}"/>
    <cellStyle name="SAPBEXaggItem 2 2" xfId="1444" xr:uid="{9767E5FD-22AE-42B0-8C24-CCA4E44A37B2}"/>
    <cellStyle name="SAPBEXaggItem 3" xfId="1445" xr:uid="{8F861ABE-590E-4C39-8711-ACC66171BF3E}"/>
    <cellStyle name="SAPBEXaggItem 3 2" xfId="1446" xr:uid="{5D553470-CFCA-403B-9EA8-AAF34F4C4415}"/>
    <cellStyle name="SAPBEXaggItem 4" xfId="1447" xr:uid="{F9CFC1C4-EF4A-4F90-9190-7EF56DBCCD50}"/>
    <cellStyle name="SAPBEXaggItem 4 2" xfId="1448" xr:uid="{5A880112-4E25-4F71-9769-00593F75656F}"/>
    <cellStyle name="SAPBEXaggItem 5" xfId="1449" xr:uid="{B836A446-C9FD-4DC8-BCF7-920F6F7D6846}"/>
    <cellStyle name="SAPBEXaggItem 5 2" xfId="1450" xr:uid="{4EB7C30B-34F7-4AB0-9AB0-E5623F20BBB7}"/>
    <cellStyle name="SAPBEXaggItem 6" xfId="1451" xr:uid="{951677B9-5AC4-4D58-96D2-FE41DF855103}"/>
    <cellStyle name="SAPBEXaggItem 6 2" xfId="1452" xr:uid="{A0FCA08B-0B32-47B5-939B-42F8399F37C5}"/>
    <cellStyle name="SAPBEXaggItem 7" xfId="1453" xr:uid="{E996DA9D-9A12-420F-AF2B-1F406F3BDB02}"/>
    <cellStyle name="SAPBEXaggItem 7 2" xfId="1454" xr:uid="{8331589F-DE3D-417B-A19B-F40EF4095EC4}"/>
    <cellStyle name="SAPBEXaggItem 8" xfId="1455" xr:uid="{145C868A-AFDA-463C-8727-F3200146B058}"/>
    <cellStyle name="SAPBEXaggItem 8 2" xfId="1456" xr:uid="{2B386C46-8D9B-4EFA-B491-62AE1772DD95}"/>
    <cellStyle name="SAPBEXaggItem 9" xfId="1457" xr:uid="{6106FD90-4C8B-4BCD-9CEE-CC73C63B32F4}"/>
    <cellStyle name="SAPBEXaggItem 9 2" xfId="1458" xr:uid="{51E1D71D-ECC4-4A83-B296-54150D7481F5}"/>
    <cellStyle name="SAPBEXaggItem_(B) R&amp;M" xfId="1459" xr:uid="{1E5B0CB0-0426-48B0-8ACB-364F2539356F}"/>
    <cellStyle name="SAPBEXaggItemX" xfId="1460" xr:uid="{A0E86B7F-6E09-4B0E-B635-B149EC6F05B5}"/>
    <cellStyle name="SAPBEXaggItemX 10" xfId="1461" xr:uid="{E67E64E3-CE8D-46B0-ADAC-E4C70EE53545}"/>
    <cellStyle name="SAPBEXaggItemX 10 2" xfId="1462" xr:uid="{6E2834BF-4DC1-42BD-BA36-DFCFF99CEF07}"/>
    <cellStyle name="SAPBEXaggItemX 11" xfId="1463" xr:uid="{FBD91244-71B1-4928-BB38-6B1F0904064C}"/>
    <cellStyle name="SAPBEXaggItemX 11 2" xfId="1464" xr:uid="{8B48A738-80A9-47CE-B9A5-6FDF91544D17}"/>
    <cellStyle name="SAPBEXaggItemX 12" xfId="1465" xr:uid="{A501734F-4E39-4417-85FB-0969F5B71E68}"/>
    <cellStyle name="SAPBEXaggItemX 12 2" xfId="1466" xr:uid="{CBBD96AB-15B8-4BB5-ACFC-A41B5DAB99E4}"/>
    <cellStyle name="SAPBEXaggItemX 13" xfId="1467" xr:uid="{906F03D4-A48A-4906-A8FD-247D1D170E03}"/>
    <cellStyle name="SAPBEXaggItemX 13 2" xfId="1468" xr:uid="{FCE09499-BA34-4CAC-BE19-9EE584164C95}"/>
    <cellStyle name="SAPBEXaggItemX 14" xfId="1469" xr:uid="{1EF8BB0A-451D-4B70-9A23-4CFBC7DA51DB}"/>
    <cellStyle name="SAPBEXaggItemX 14 2" xfId="1470" xr:uid="{3418380F-407C-4432-AABB-3385F2B2237B}"/>
    <cellStyle name="SAPBEXaggItemX 15" xfId="1471" xr:uid="{2287571C-1BA6-41E8-A81B-11D67C2C9A22}"/>
    <cellStyle name="SAPBEXaggItemX 15 2" xfId="1472" xr:uid="{8170136E-1934-43A6-ADA0-309B0D7D52B5}"/>
    <cellStyle name="SAPBEXaggItemX 16" xfId="1473" xr:uid="{02802DFA-FFB5-4346-85CB-54FE588EB443}"/>
    <cellStyle name="SAPBEXaggItemX 16 2" xfId="1474" xr:uid="{202F6F8F-F2D2-4DA8-9532-21CCB16DBD9F}"/>
    <cellStyle name="SAPBEXaggItemX 17" xfId="1475" xr:uid="{BC1B7561-A4DE-4BCF-A8A2-CCE3D96D45B3}"/>
    <cellStyle name="SAPBEXaggItemX 17 2" xfId="1476" xr:uid="{8147AF42-2FE9-4469-AD19-56E0CC8E647A}"/>
    <cellStyle name="SAPBEXaggItemX 18" xfId="1477" xr:uid="{0B0DC1F4-B88D-4388-AEAC-27F7128CA810}"/>
    <cellStyle name="SAPBEXaggItemX 2" xfId="1478" xr:uid="{14C3D933-5ABD-4AD3-A964-FD061F0AD9B5}"/>
    <cellStyle name="SAPBEXaggItemX 2 2" xfId="1479" xr:uid="{8E8CEF72-B5E7-412A-80AC-8D6DFEAEE230}"/>
    <cellStyle name="SAPBEXaggItemX 3" xfId="1480" xr:uid="{753A5202-31F5-43D8-ACF3-F3BCBA83FC62}"/>
    <cellStyle name="SAPBEXaggItemX 3 2" xfId="1481" xr:uid="{187DAD12-3C53-4F18-AEEF-300CE1F2014E}"/>
    <cellStyle name="SAPBEXaggItemX 4" xfId="1482" xr:uid="{C4E31AAE-52E0-4BF3-ACA1-190E5BA05EE0}"/>
    <cellStyle name="SAPBEXaggItemX 4 2" xfId="1483" xr:uid="{0A78C276-31B2-4DCD-A3E2-40632E17B9D0}"/>
    <cellStyle name="SAPBEXaggItemX 5" xfId="1484" xr:uid="{F95224E0-2EDB-4C68-97B3-44042317E015}"/>
    <cellStyle name="SAPBEXaggItemX 5 2" xfId="1485" xr:uid="{7A2769DE-66B9-4DF9-9CD8-7ED02F3E92EC}"/>
    <cellStyle name="SAPBEXaggItemX 6" xfId="1486" xr:uid="{72FE8DEA-BE72-4CBF-A13B-A676D3DBC6C8}"/>
    <cellStyle name="SAPBEXaggItemX 6 2" xfId="1487" xr:uid="{D90B080F-038E-4AFE-BB3D-6B049E8C58B6}"/>
    <cellStyle name="SAPBEXaggItemX 7" xfId="1488" xr:uid="{F5C9F4C3-6FD3-4AB1-A3B2-10F2D3286C7E}"/>
    <cellStyle name="SAPBEXaggItemX 7 2" xfId="1489" xr:uid="{6080963F-8E49-4C21-80C4-48210C116B75}"/>
    <cellStyle name="SAPBEXaggItemX 8" xfId="1490" xr:uid="{A92B8220-2F9F-4F32-AB3B-85B78CB902A0}"/>
    <cellStyle name="SAPBEXaggItemX 8 2" xfId="1491" xr:uid="{031711C7-1748-49C0-96A1-A07D62E60F5A}"/>
    <cellStyle name="SAPBEXaggItemX 9" xfId="1492" xr:uid="{B67B7763-0809-4821-8552-7AFB80E6B1AC}"/>
    <cellStyle name="SAPBEXaggItemX 9 2" xfId="1493" xr:uid="{8FDF3D83-7209-4CE3-A7A2-00E30CF1BB8D}"/>
    <cellStyle name="SAPBEXaggItemX_(B) R&amp;M" xfId="1494" xr:uid="{19E518C8-8715-44A3-95C9-CC052BE09F95}"/>
    <cellStyle name="SAPBEXchaText" xfId="1495" xr:uid="{DAAAC359-FE07-43DD-9074-B2470E782483}"/>
    <cellStyle name="SAPBEXchaText 10" xfId="1496" xr:uid="{62468663-E5DD-4B79-9BB1-4B710571A33F}"/>
    <cellStyle name="SAPBEXchaText 10 2" xfId="1497" xr:uid="{6D5986C9-87BB-44E6-8119-4653EEB6923E}"/>
    <cellStyle name="SAPBEXchaText 10 2 2" xfId="1498" xr:uid="{D6AB09C5-A988-4D7B-AB43-060844171BA8}"/>
    <cellStyle name="SAPBEXchaText 10 3" xfId="1499" xr:uid="{527ECAD8-BC8B-45A9-BA6A-43135F4E34B0}"/>
    <cellStyle name="SAPBEXchaText 11" xfId="1500" xr:uid="{D0202FF8-D4F7-47A3-B63B-76685BA1C9B6}"/>
    <cellStyle name="SAPBEXchaText 11 2" xfId="1501" xr:uid="{274EF39F-66E1-4BFD-A5E1-134C6E65DB11}"/>
    <cellStyle name="SAPBEXchaText 11 2 2" xfId="1502" xr:uid="{C4DC7AFB-0A2C-4215-BF0A-49ACA4DEC375}"/>
    <cellStyle name="SAPBEXchaText 11 3" xfId="1503" xr:uid="{4B6A6B3F-26CB-42B2-ACEB-E52FE8D6D7CF}"/>
    <cellStyle name="SAPBEXchaText 12" xfId="1504" xr:uid="{26CA2843-44F3-469C-ADE3-C5CF921F9995}"/>
    <cellStyle name="SAPBEXchaText 12 2" xfId="1505" xr:uid="{C68FA474-C119-4F95-BE8C-0D50C929AC26}"/>
    <cellStyle name="SAPBEXchaText 12 2 2" xfId="1506" xr:uid="{B9BA4A25-29DE-4A65-8343-05D12C974C8F}"/>
    <cellStyle name="SAPBEXchaText 12 3" xfId="1507" xr:uid="{BBE4680E-0FD1-4560-AE12-EF866819E3A6}"/>
    <cellStyle name="SAPBEXchaText 13" xfId="1508" xr:uid="{75FA7418-43D4-4688-9742-41EBF157BDF0}"/>
    <cellStyle name="SAPBEXchaText 13 2" xfId="1509" xr:uid="{C585E7B9-F474-4BFE-B855-EB33582AC221}"/>
    <cellStyle name="SAPBEXchaText 13 2 2" xfId="1510" xr:uid="{8E2EBEB5-0025-4074-BFB2-49BBA2F21A39}"/>
    <cellStyle name="SAPBEXchaText 13 3" xfId="1511" xr:uid="{1C7945BA-6078-4FCA-912B-4A54D8539F76}"/>
    <cellStyle name="SAPBEXchaText 14" xfId="1512" xr:uid="{9973260B-869B-4131-9E42-804C4A5A5956}"/>
    <cellStyle name="SAPBEXchaText 14 2" xfId="1513" xr:uid="{84949EB2-591B-4A81-B440-F118D665C118}"/>
    <cellStyle name="SAPBEXchaText 14 2 2" xfId="1514" xr:uid="{B56F3B71-8BC3-44D2-891F-4458F4A015D9}"/>
    <cellStyle name="SAPBEXchaText 14 3" xfId="1515" xr:uid="{77899DAD-BFFD-4DF1-9392-200B793765E6}"/>
    <cellStyle name="SAPBEXchaText 15" xfId="1516" xr:uid="{71678ED2-4DCC-461B-BDED-F49B77C39D5A}"/>
    <cellStyle name="SAPBEXchaText 15 2" xfId="1517" xr:uid="{92C8ACB1-41BC-4547-B1E3-BCC6F245B7D5}"/>
    <cellStyle name="SAPBEXchaText 15 2 2" xfId="1518" xr:uid="{3E2664B1-B072-44D9-93A8-0BCDBB330371}"/>
    <cellStyle name="SAPBEXchaText 15 3" xfId="1519" xr:uid="{CD3F9439-BDCE-4EBB-843E-77A03A164B95}"/>
    <cellStyle name="SAPBEXchaText 16" xfId="1520" xr:uid="{DD167AF4-F0F2-4E40-9649-200CA53E1919}"/>
    <cellStyle name="SAPBEXchaText 16 2" xfId="1521" xr:uid="{C6E20CC7-5148-4389-AB74-6A70AA80612F}"/>
    <cellStyle name="SAPBEXchaText 16 2 2" xfId="1522" xr:uid="{3B36AF04-A906-49F0-B2A9-6C610409B646}"/>
    <cellStyle name="SAPBEXchaText 16 3" xfId="1523" xr:uid="{B6161432-4B7B-4098-9D17-FBAA31988A70}"/>
    <cellStyle name="SAPBEXchaText 17" xfId="1524" xr:uid="{3FEE601C-B792-4B13-B7D2-B88FC08A52D9}"/>
    <cellStyle name="SAPBEXchaText 17 2" xfId="1525" xr:uid="{0B81507B-EA75-4FCC-B7B9-C3BDE14B8CA1}"/>
    <cellStyle name="SAPBEXchaText 17 2 2" xfId="1526" xr:uid="{27D205B8-6DA3-4297-839D-1B9825E31CBA}"/>
    <cellStyle name="SAPBEXchaText 17 3" xfId="1527" xr:uid="{A217DFC3-526D-448C-8C49-E8A2BE84DE3C}"/>
    <cellStyle name="SAPBEXchaText 18" xfId="1528" xr:uid="{F0E90C52-E267-4B0B-88B9-B920E3BF98A9}"/>
    <cellStyle name="SAPBEXchaText 18 2" xfId="1529" xr:uid="{F9FA0051-B5BE-4927-9499-80E25A91A233}"/>
    <cellStyle name="SAPBEXchaText 2" xfId="1530" xr:uid="{554223BC-3EB0-4260-BE6A-BA116F4F8275}"/>
    <cellStyle name="SAPBEXchaText 2 2" xfId="1531" xr:uid="{19786F32-93A8-46CC-9B7B-F0AC983151AD}"/>
    <cellStyle name="SAPBEXchaText 2 2 2" xfId="1532" xr:uid="{99C92590-4A6C-419D-97D9-125A46522EC7}"/>
    <cellStyle name="SAPBEXchaText 2 3" xfId="1533" xr:uid="{0B81B005-BD33-45C6-BEB3-99773080F8BA}"/>
    <cellStyle name="SAPBEXchaText 3" xfId="1534" xr:uid="{6D069B42-5B99-4CD3-A902-361609757776}"/>
    <cellStyle name="SAPBEXchaText 3 2" xfId="1535" xr:uid="{77EA16E4-98EA-49D8-ABE9-4FD1020AC71C}"/>
    <cellStyle name="SAPBEXchaText 3 2 2" xfId="1536" xr:uid="{07D96A8D-8978-4389-ACC6-1FCEC14D7BFE}"/>
    <cellStyle name="SAPBEXchaText 3 3" xfId="1537" xr:uid="{AF0DD571-5FA4-4F96-849A-644808E2E62F}"/>
    <cellStyle name="SAPBEXchaText 4" xfId="1538" xr:uid="{4EC331C7-FC1F-4C21-96E9-1F934800D826}"/>
    <cellStyle name="SAPBEXchaText 4 2" xfId="1539" xr:uid="{B1EA8A86-88E7-42E7-845E-C74D4293149F}"/>
    <cellStyle name="SAPBEXchaText 4 2 2" xfId="1540" xr:uid="{46AAEAC3-5B65-4E4C-8ECB-4A5CB090B91B}"/>
    <cellStyle name="SAPBEXchaText 4 3" xfId="1541" xr:uid="{E5168BFB-4A55-4226-AC34-0B0982A41F27}"/>
    <cellStyle name="SAPBEXchaText 5" xfId="1542" xr:uid="{FF58468C-41F5-443F-907B-12CB503851F2}"/>
    <cellStyle name="SAPBEXchaText 5 2" xfId="1543" xr:uid="{AF52DAFF-56C2-47DB-97AF-B446DB6ADC35}"/>
    <cellStyle name="SAPBEXchaText 5 2 2" xfId="1544" xr:uid="{CBB12347-1375-48F3-B54D-E44BA94EAF80}"/>
    <cellStyle name="SAPBEXchaText 5 3" xfId="1545" xr:uid="{7FEDE306-FCC9-4859-A973-398ECBAA7239}"/>
    <cellStyle name="SAPBEXchaText 6" xfId="1546" xr:uid="{D00E572F-2F70-4A30-858E-FCE1CE76D41A}"/>
    <cellStyle name="SAPBEXchaText 6 2" xfId="1547" xr:uid="{D30D76C6-EB8E-4182-8D40-EA265538F8A4}"/>
    <cellStyle name="SAPBEXchaText 6 2 2" xfId="1548" xr:uid="{A5E8051E-026B-4BA1-AA89-9F6EC5B95806}"/>
    <cellStyle name="SAPBEXchaText 6 3" xfId="1549" xr:uid="{F524A573-4E1E-48F5-902E-9D1101FA9DF4}"/>
    <cellStyle name="SAPBEXchaText 7" xfId="1550" xr:uid="{198B080A-2A28-43F7-BFF6-BDDBA4414DBF}"/>
    <cellStyle name="SAPBEXchaText 7 2" xfId="1551" xr:uid="{C6308350-35AE-4E54-82EF-B9395E793A0E}"/>
    <cellStyle name="SAPBEXchaText 7 2 2" xfId="1552" xr:uid="{EE31C317-E869-4C9D-9CA3-9517BDE0EED4}"/>
    <cellStyle name="SAPBEXchaText 7 3" xfId="1553" xr:uid="{F6F20849-7CA5-460F-BEE3-64F924023BAA}"/>
    <cellStyle name="SAPBEXchaText 8" xfId="1554" xr:uid="{3D383478-66F7-4BD9-9AA5-E6DB55FA3CDF}"/>
    <cellStyle name="SAPBEXchaText 8 2" xfId="1555" xr:uid="{0C138A7B-B2E0-4135-AF46-753613EE2922}"/>
    <cellStyle name="SAPBEXchaText 8 2 2" xfId="1556" xr:uid="{45BC5E60-3799-4E0B-AACE-73153157DC87}"/>
    <cellStyle name="SAPBEXchaText 8 3" xfId="1557" xr:uid="{C5BA36A1-1249-4FA7-82D6-AFB20AAC6DEB}"/>
    <cellStyle name="SAPBEXchaText 9" xfId="1558" xr:uid="{73D396B4-1E64-4B62-A871-8658E9E0224C}"/>
    <cellStyle name="SAPBEXchaText 9 2" xfId="1559" xr:uid="{F9CF5CEA-FAE5-4E51-99B4-1AAF12B15603}"/>
    <cellStyle name="SAPBEXchaText 9 2 2" xfId="1560" xr:uid="{186FD031-5594-4F8F-B308-D522BFE83221}"/>
    <cellStyle name="SAPBEXchaText 9 3" xfId="1561" xr:uid="{6E6BB667-E50D-4EA7-9F18-DA6F3C0CD8F2}"/>
    <cellStyle name="SAPBEXchaText_(B) R&amp;M" xfId="1562" xr:uid="{2FBB99A1-94E3-41DE-8FAA-A7F4CF43FC85}"/>
    <cellStyle name="SAPBEXexcBad7" xfId="1563" xr:uid="{1A4D5FD1-B3E9-44C1-BD10-F1196860C296}"/>
    <cellStyle name="SAPBEXexcBad7 10" xfId="1564" xr:uid="{30EFDEC7-96C8-4E00-96C0-2B5D41D09A1F}"/>
    <cellStyle name="SAPBEXexcBad7 10 2" xfId="1565" xr:uid="{8943BAEC-90A6-4A85-82A3-0F7E0E092A1F}"/>
    <cellStyle name="SAPBEXexcBad7 11" xfId="1566" xr:uid="{6A2E75E3-B5A0-4E59-B3B0-AD129B1D2D89}"/>
    <cellStyle name="SAPBEXexcBad7 11 2" xfId="1567" xr:uid="{0794B789-880D-4D94-B7B7-DE087106EC5F}"/>
    <cellStyle name="SAPBEXexcBad7 12" xfId="1568" xr:uid="{026D0C1B-7FA7-440D-9D6A-E76A17F8D67C}"/>
    <cellStyle name="SAPBEXexcBad7 12 2" xfId="1569" xr:uid="{86CC142E-28D5-449E-8B0D-39443E8203A0}"/>
    <cellStyle name="SAPBEXexcBad7 13" xfId="1570" xr:uid="{FEC3368B-EE6F-40CC-9F1D-3ABA7A1E08B2}"/>
    <cellStyle name="SAPBEXexcBad7 13 2" xfId="1571" xr:uid="{E421400C-588F-4A95-9EDE-8A5F2A6AE30F}"/>
    <cellStyle name="SAPBEXexcBad7 14" xfId="1572" xr:uid="{E28293F8-5824-41E4-B0ED-373E52FB8C04}"/>
    <cellStyle name="SAPBEXexcBad7 14 2" xfId="1573" xr:uid="{246785D7-CCC0-4E20-B61C-EAF66C28913C}"/>
    <cellStyle name="SAPBEXexcBad7 15" xfId="1574" xr:uid="{C238F9F9-3F1A-4891-B860-099D64C5E6F2}"/>
    <cellStyle name="SAPBEXexcBad7 15 2" xfId="1575" xr:uid="{16D99217-6C7A-495A-8001-53D61FCE77B5}"/>
    <cellStyle name="SAPBEXexcBad7 16" xfId="1576" xr:uid="{F71F3271-08CE-44B2-9620-36893FA3DB09}"/>
    <cellStyle name="SAPBEXexcBad7 16 2" xfId="1577" xr:uid="{6D1965D9-3036-40D7-801A-50FDCE8B7B5F}"/>
    <cellStyle name="SAPBEXexcBad7 17" xfId="1578" xr:uid="{7A59D794-0E5F-42C8-9806-DE96BEE07BDF}"/>
    <cellStyle name="SAPBEXexcBad7 17 2" xfId="1579" xr:uid="{7E00444D-F1F8-4AEA-808E-06EAF9B52923}"/>
    <cellStyle name="SAPBEXexcBad7 18" xfId="1580" xr:uid="{E6AA11B4-02BD-4F05-B54B-CC87869C5B8F}"/>
    <cellStyle name="SAPBEXexcBad7 2" xfId="1581" xr:uid="{819CBAE3-E4B3-49FD-B171-9784D75A0BCC}"/>
    <cellStyle name="SAPBEXexcBad7 2 2" xfId="1582" xr:uid="{FAD3B0C2-E113-4945-B3E3-AB1969139923}"/>
    <cellStyle name="SAPBEXexcBad7 3" xfId="1583" xr:uid="{E0083675-E500-48A4-8895-DD76A10EE114}"/>
    <cellStyle name="SAPBEXexcBad7 3 2" xfId="1584" xr:uid="{48B3C839-137B-4904-9011-66DAAD4E0838}"/>
    <cellStyle name="SAPBEXexcBad7 4" xfId="1585" xr:uid="{85E74463-9A43-4404-9883-A40CF634E3DE}"/>
    <cellStyle name="SAPBEXexcBad7 4 2" xfId="1586" xr:uid="{5C546936-7BD9-4ACB-96F9-1BADC52B6CA2}"/>
    <cellStyle name="SAPBEXexcBad7 5" xfId="1587" xr:uid="{26F1CDC3-6A3C-47B9-AEC8-DE079DFA642E}"/>
    <cellStyle name="SAPBEXexcBad7 5 2" xfId="1588" xr:uid="{A2B8335A-4004-435C-A605-E2519A679DED}"/>
    <cellStyle name="SAPBEXexcBad7 6" xfId="1589" xr:uid="{AC6EC03A-781B-4C53-BDC5-E3A2E6085476}"/>
    <cellStyle name="SAPBEXexcBad7 6 2" xfId="1590" xr:uid="{55418FE4-4F65-4F62-8F3C-17AF17453486}"/>
    <cellStyle name="SAPBEXexcBad7 7" xfId="1591" xr:uid="{A80EFF5F-CFD7-4F90-88F7-72029670E25C}"/>
    <cellStyle name="SAPBEXexcBad7 7 2" xfId="1592" xr:uid="{9495A34B-FF09-4601-983C-115A671C2900}"/>
    <cellStyle name="SAPBEXexcBad7 8" xfId="1593" xr:uid="{87363741-A644-4C58-9283-C9BACBF6A679}"/>
    <cellStyle name="SAPBEXexcBad7 8 2" xfId="1594" xr:uid="{F280F365-9914-4DCC-A91E-DA57FDE4BEAE}"/>
    <cellStyle name="SAPBEXexcBad7 9" xfId="1595" xr:uid="{92F8EB7C-368D-4D21-A260-AB590ABD0500}"/>
    <cellStyle name="SAPBEXexcBad7 9 2" xfId="1596" xr:uid="{C0443E45-2822-4D7B-91C9-C3CD5092B2A0}"/>
    <cellStyle name="SAPBEXexcBad7_(B) R&amp;M" xfId="1597" xr:uid="{0FBA9278-991B-4D7D-80F8-31B9CF55ECD2}"/>
    <cellStyle name="SAPBEXexcBad8" xfId="1598" xr:uid="{9BBA394F-8A2C-42AE-B69A-B7CDDC981815}"/>
    <cellStyle name="SAPBEXexcBad8 10" xfId="1599" xr:uid="{D39831D3-4B6A-4578-BF31-A7017BCD52E3}"/>
    <cellStyle name="SAPBEXexcBad8 10 2" xfId="1600" xr:uid="{EAA268F2-01D0-4B9D-A5C2-59A475EDCAEC}"/>
    <cellStyle name="SAPBEXexcBad8 11" xfId="1601" xr:uid="{A25BAE0B-50FB-4172-B69B-6C6A040CE2B6}"/>
    <cellStyle name="SAPBEXexcBad8 11 2" xfId="1602" xr:uid="{A08CF897-8580-4B8C-9ED6-305AB57F69BD}"/>
    <cellStyle name="SAPBEXexcBad8 12" xfId="1603" xr:uid="{71A7D93E-6E2C-426F-8BC1-02357C6CF916}"/>
    <cellStyle name="SAPBEXexcBad8 12 2" xfId="1604" xr:uid="{E3DFF568-1D90-478B-AB92-B9EEB27701F8}"/>
    <cellStyle name="SAPBEXexcBad8 13" xfId="1605" xr:uid="{EAB51AAF-55CA-4641-8537-0D3D6FDD201B}"/>
    <cellStyle name="SAPBEXexcBad8 13 2" xfId="1606" xr:uid="{BFFE85CF-EDB3-4DD6-9DDD-494FE21EABE9}"/>
    <cellStyle name="SAPBEXexcBad8 14" xfId="1607" xr:uid="{F5C9E92A-A295-4CE9-BBC2-9A3CA76AE24B}"/>
    <cellStyle name="SAPBEXexcBad8 14 2" xfId="1608" xr:uid="{019A2E1A-0CEA-4062-9C06-49DE15E228BB}"/>
    <cellStyle name="SAPBEXexcBad8 15" xfId="1609" xr:uid="{32914E46-4635-4A5E-9ED6-FEEAFB5E1FAB}"/>
    <cellStyle name="SAPBEXexcBad8 15 2" xfId="1610" xr:uid="{02B8473A-7E48-4B38-BCF8-C1E2FFA7FFF3}"/>
    <cellStyle name="SAPBEXexcBad8 16" xfId="1611" xr:uid="{E904C92E-6D76-4685-85E3-7449B48598F9}"/>
    <cellStyle name="SAPBEXexcBad8 16 2" xfId="1612" xr:uid="{338DA3F8-769E-4017-A762-C3B11416F64D}"/>
    <cellStyle name="SAPBEXexcBad8 17" xfId="1613" xr:uid="{45813F3D-F5E7-4DC9-BEF8-FE29AFB64160}"/>
    <cellStyle name="SAPBEXexcBad8 17 2" xfId="1614" xr:uid="{24DBC03B-5486-42C2-8CDF-8B08FE2FD21E}"/>
    <cellStyle name="SAPBEXexcBad8 18" xfId="1615" xr:uid="{D99F8FE1-B689-4E73-A229-C1997380A3A9}"/>
    <cellStyle name="SAPBEXexcBad8 2" xfId="1616" xr:uid="{3244A5AE-C9AF-47F0-BB0E-3D5E4EEC4C12}"/>
    <cellStyle name="SAPBEXexcBad8 2 2" xfId="1617" xr:uid="{9DE1E799-9CDD-4FCC-BC91-7ACA3612F834}"/>
    <cellStyle name="SAPBEXexcBad8 3" xfId="1618" xr:uid="{F25237AC-D514-4F58-95E8-D4D4CB86787B}"/>
    <cellStyle name="SAPBEXexcBad8 3 2" xfId="1619" xr:uid="{0F234073-0108-4FEB-BD5E-86BFD97EEEBD}"/>
    <cellStyle name="SAPBEXexcBad8 4" xfId="1620" xr:uid="{ABF10D2F-4844-4137-8C29-271225B65F9C}"/>
    <cellStyle name="SAPBEXexcBad8 4 2" xfId="1621" xr:uid="{ADBF0C58-3742-4F22-8150-AC346F594B2D}"/>
    <cellStyle name="SAPBEXexcBad8 5" xfId="1622" xr:uid="{7EBD0A13-0D3E-49B3-BCB3-B5BE3B141CAF}"/>
    <cellStyle name="SAPBEXexcBad8 5 2" xfId="1623" xr:uid="{36518C11-B32C-418B-9E8B-51D990D9253A}"/>
    <cellStyle name="SAPBEXexcBad8 6" xfId="1624" xr:uid="{E7D5D799-9741-4F6D-A577-1BAF97D13EE1}"/>
    <cellStyle name="SAPBEXexcBad8 6 2" xfId="1625" xr:uid="{B93510B9-E9D1-44F7-BE9F-BDD0E01F706F}"/>
    <cellStyle name="SAPBEXexcBad8 7" xfId="1626" xr:uid="{B28D9BEC-758F-4B29-A07A-3658319FBD27}"/>
    <cellStyle name="SAPBEXexcBad8 7 2" xfId="1627" xr:uid="{FED4FB6F-4E55-4CD7-B8FB-BE4916B209C4}"/>
    <cellStyle name="SAPBEXexcBad8 8" xfId="1628" xr:uid="{756BAB3E-BFC1-4E5F-860F-7E236697E840}"/>
    <cellStyle name="SAPBEXexcBad8 8 2" xfId="1629" xr:uid="{6E9C963A-714A-4C41-A85B-22A437C12CD0}"/>
    <cellStyle name="SAPBEXexcBad8 9" xfId="1630" xr:uid="{CC7AEF0D-F9E9-4D5B-9674-421A570B2002}"/>
    <cellStyle name="SAPBEXexcBad8 9 2" xfId="1631" xr:uid="{7ACAADDC-DA68-472B-8975-778D6C939ECC}"/>
    <cellStyle name="SAPBEXexcBad8_(B) R&amp;M" xfId="1632" xr:uid="{AC9CC279-FE60-404D-9AF1-D87942A91998}"/>
    <cellStyle name="SAPBEXexcBad9" xfId="1633" xr:uid="{9B19F223-9C32-4370-BF94-6AD607F8FA34}"/>
    <cellStyle name="SAPBEXexcBad9 10" xfId="1634" xr:uid="{11A00EB2-E5E9-4DF8-9B74-F71632301467}"/>
    <cellStyle name="SAPBEXexcBad9 10 2" xfId="1635" xr:uid="{20B18B54-FD7F-46E2-AFFB-7456E386F00A}"/>
    <cellStyle name="SAPBEXexcBad9 11" xfId="1636" xr:uid="{EF2AEDF3-1CA1-4BBC-9B3A-8F2C5B2D1F0F}"/>
    <cellStyle name="SAPBEXexcBad9 11 2" xfId="1637" xr:uid="{AEB058A5-F78A-447A-89B7-5ABC186AEEC8}"/>
    <cellStyle name="SAPBEXexcBad9 12" xfId="1638" xr:uid="{08DDFD90-1A0B-41BF-94AB-4305F1F2AEBF}"/>
    <cellStyle name="SAPBEXexcBad9 12 2" xfId="1639" xr:uid="{5AA46EBA-84C5-4F93-A2F7-FD5DBB7BD30D}"/>
    <cellStyle name="SAPBEXexcBad9 13" xfId="1640" xr:uid="{B1188694-7737-4372-9336-C584AC18BFC5}"/>
    <cellStyle name="SAPBEXexcBad9 13 2" xfId="1641" xr:uid="{19779543-C82B-405B-B0E3-DD19EB741A70}"/>
    <cellStyle name="SAPBEXexcBad9 14" xfId="1642" xr:uid="{2ACBB613-8312-483F-8FBA-3218E5C34347}"/>
    <cellStyle name="SAPBEXexcBad9 14 2" xfId="1643" xr:uid="{205D6C10-E484-4DC1-B1F8-A8A7468F24C5}"/>
    <cellStyle name="SAPBEXexcBad9 15" xfId="1644" xr:uid="{FD157FF0-3624-4746-94A4-97EF08504923}"/>
    <cellStyle name="SAPBEXexcBad9 15 2" xfId="1645" xr:uid="{A8A270EF-C643-402D-9493-6264CFF99511}"/>
    <cellStyle name="SAPBEXexcBad9 16" xfId="1646" xr:uid="{009E841C-4B86-4E75-8E0E-05D6ED9895FC}"/>
    <cellStyle name="SAPBEXexcBad9 16 2" xfId="1647" xr:uid="{F141A4E1-8F93-48DC-AD2D-DD215A75D0DD}"/>
    <cellStyle name="SAPBEXexcBad9 17" xfId="1648" xr:uid="{0A2E43C1-808C-4C18-A00E-7D56F58A2F38}"/>
    <cellStyle name="SAPBEXexcBad9 17 2" xfId="1649" xr:uid="{035E697E-19BF-4C2B-AE52-E27D0412C7EB}"/>
    <cellStyle name="SAPBEXexcBad9 18" xfId="1650" xr:uid="{B9036259-40AC-47C8-888D-2D8238E754B1}"/>
    <cellStyle name="SAPBEXexcBad9 2" xfId="1651" xr:uid="{3F80D171-06E4-439A-B2E3-6FDF39E73DD8}"/>
    <cellStyle name="SAPBEXexcBad9 2 2" xfId="1652" xr:uid="{582F1589-F031-4737-8614-159E0E29270C}"/>
    <cellStyle name="SAPBEXexcBad9 3" xfId="1653" xr:uid="{4F25A71D-6D96-42BB-B8B2-BBFA4334E50B}"/>
    <cellStyle name="SAPBEXexcBad9 3 2" xfId="1654" xr:uid="{6EC102C1-B5E3-467D-B801-90053E383ADE}"/>
    <cellStyle name="SAPBEXexcBad9 4" xfId="1655" xr:uid="{0F54324D-4598-42B4-98FD-6FCBDCD4331A}"/>
    <cellStyle name="SAPBEXexcBad9 4 2" xfId="1656" xr:uid="{6F4C8C9B-1D08-452A-A2C6-746D7C63C062}"/>
    <cellStyle name="SAPBEXexcBad9 5" xfId="1657" xr:uid="{BCCE18D0-5877-4CB4-A0B0-E1BD76765DB4}"/>
    <cellStyle name="SAPBEXexcBad9 5 2" xfId="1658" xr:uid="{263C15FC-EAA4-4FF3-BCDF-A4EC996300BC}"/>
    <cellStyle name="SAPBEXexcBad9 6" xfId="1659" xr:uid="{46BC4850-D0E7-482F-B5C8-654C9F3D96F4}"/>
    <cellStyle name="SAPBEXexcBad9 6 2" xfId="1660" xr:uid="{C4330E9C-68BC-4E73-A8CF-E3AA209609F4}"/>
    <cellStyle name="SAPBEXexcBad9 7" xfId="1661" xr:uid="{83F42B7C-831D-450C-A0C2-B73EDD9E3046}"/>
    <cellStyle name="SAPBEXexcBad9 7 2" xfId="1662" xr:uid="{E67A0538-62EE-4C26-B868-D390E2B1A2CC}"/>
    <cellStyle name="SAPBEXexcBad9 8" xfId="1663" xr:uid="{F963A451-FF4F-4EFA-B5DC-7AC2A5D8F048}"/>
    <cellStyle name="SAPBEXexcBad9 8 2" xfId="1664" xr:uid="{C1D70EA2-2F4E-4E02-95E8-5A7BD9D69934}"/>
    <cellStyle name="SAPBEXexcBad9 9" xfId="1665" xr:uid="{6174BFFE-7A94-43B2-93F8-6D03B3491A94}"/>
    <cellStyle name="SAPBEXexcBad9 9 2" xfId="1666" xr:uid="{04A0D597-3196-4F0C-AE66-4853AA562CDC}"/>
    <cellStyle name="SAPBEXexcBad9_(B) R&amp;M" xfId="1667" xr:uid="{A579624E-0C62-4A2A-A4F5-FE121CA9B544}"/>
    <cellStyle name="SAPBEXexcCritical4" xfId="1668" xr:uid="{C7FD74A3-D23A-4BD6-911E-928C1C541BC5}"/>
    <cellStyle name="SAPBEXexcCritical4 10" xfId="1669" xr:uid="{A9F8DEFD-B995-4E0D-B218-0C15B4848356}"/>
    <cellStyle name="SAPBEXexcCritical4 10 2" xfId="1670" xr:uid="{857F0DBC-2779-4085-AE43-7F205912ECB2}"/>
    <cellStyle name="SAPBEXexcCritical4 11" xfId="1671" xr:uid="{81797884-7A32-4C81-BD5A-72442356439E}"/>
    <cellStyle name="SAPBEXexcCritical4 11 2" xfId="1672" xr:uid="{6BAF0568-5270-432B-A87C-9E667E20B7D1}"/>
    <cellStyle name="SAPBEXexcCritical4 12" xfId="1673" xr:uid="{CEDBBBF9-8618-4549-8E40-8F01F571614C}"/>
    <cellStyle name="SAPBEXexcCritical4 12 2" xfId="1674" xr:uid="{3B0EAF35-747A-4FCC-B2DE-356BD576DE2B}"/>
    <cellStyle name="SAPBEXexcCritical4 13" xfId="1675" xr:uid="{3CD5D41C-3D54-4A0A-9999-67B834065401}"/>
    <cellStyle name="SAPBEXexcCritical4 13 2" xfId="1676" xr:uid="{81C54792-D77E-4A02-8E58-B84B84DA5B39}"/>
    <cellStyle name="SAPBEXexcCritical4 14" xfId="1677" xr:uid="{093EC5A7-4D42-4A83-A92C-BB02EA474C47}"/>
    <cellStyle name="SAPBEXexcCritical4 14 2" xfId="1678" xr:uid="{740AF1D1-3CE2-437F-A3DA-C37F26B8FBF3}"/>
    <cellStyle name="SAPBEXexcCritical4 15" xfId="1679" xr:uid="{D9C0728A-705E-4E75-9D41-D8377E2F7330}"/>
    <cellStyle name="SAPBEXexcCritical4 15 2" xfId="1680" xr:uid="{6DA7FD1F-3D53-438D-8E7E-A20D6C537C75}"/>
    <cellStyle name="SAPBEXexcCritical4 16" xfId="1681" xr:uid="{0FC96375-574D-4E29-8702-DD5D9CA18AA3}"/>
    <cellStyle name="SAPBEXexcCritical4 16 2" xfId="1682" xr:uid="{31D4CA61-4AE7-4853-BE39-157CB75768A3}"/>
    <cellStyle name="SAPBEXexcCritical4 17" xfId="1683" xr:uid="{FFA3E7E5-2ECE-45D6-A3B3-D7F709310CB8}"/>
    <cellStyle name="SAPBEXexcCritical4 17 2" xfId="1684" xr:uid="{B248CD0D-60C1-43AE-8F25-9268FC1DF939}"/>
    <cellStyle name="SAPBEXexcCritical4 18" xfId="1685" xr:uid="{26B348D7-F194-499E-AB7A-4104DFDD4B0E}"/>
    <cellStyle name="SAPBEXexcCritical4 2" xfId="1686" xr:uid="{16CC3575-B290-4983-AD27-0A5D960F35D9}"/>
    <cellStyle name="SAPBEXexcCritical4 2 2" xfId="1687" xr:uid="{2173711F-8C64-4D01-AE46-E672E2522F3D}"/>
    <cellStyle name="SAPBEXexcCritical4 3" xfId="1688" xr:uid="{F9BA88EF-5A9A-4BE0-865B-53389AE1AA83}"/>
    <cellStyle name="SAPBEXexcCritical4 3 2" xfId="1689" xr:uid="{6AC9A433-06BF-4A53-8A7A-8BCBAF730396}"/>
    <cellStyle name="SAPBEXexcCritical4 4" xfId="1690" xr:uid="{B8E1B7D2-2C75-4A5B-A04B-4A6479510829}"/>
    <cellStyle name="SAPBEXexcCritical4 4 2" xfId="1691" xr:uid="{9C9648E1-9D6D-4ECB-B7F5-BF66F922F84D}"/>
    <cellStyle name="SAPBEXexcCritical4 5" xfId="1692" xr:uid="{EF401422-DAC0-4062-9EAE-BF3EBC533037}"/>
    <cellStyle name="SAPBEXexcCritical4 5 2" xfId="1693" xr:uid="{9B7C59C1-A29E-4CBA-AA47-1C4902C68F53}"/>
    <cellStyle name="SAPBEXexcCritical4 6" xfId="1694" xr:uid="{3FF3C3C9-5FD2-4E50-BD0A-DF3E4266E298}"/>
    <cellStyle name="SAPBEXexcCritical4 6 2" xfId="1695" xr:uid="{DE255160-B687-455E-A244-D7C92281720D}"/>
    <cellStyle name="SAPBEXexcCritical4 7" xfId="1696" xr:uid="{E40042A4-4D90-4014-BF39-685D818946A2}"/>
    <cellStyle name="SAPBEXexcCritical4 7 2" xfId="1697" xr:uid="{26CF8BED-A7E8-4E2E-B4A1-7D16EC39E14E}"/>
    <cellStyle name="SAPBEXexcCritical4 8" xfId="1698" xr:uid="{6907C9B5-12C4-40B5-B1E6-BD5AAD297992}"/>
    <cellStyle name="SAPBEXexcCritical4 8 2" xfId="1699" xr:uid="{E73BE0C5-C01E-4023-A087-F28E430F7230}"/>
    <cellStyle name="SAPBEXexcCritical4 9" xfId="1700" xr:uid="{A8802571-612D-47F5-BB0A-7F0B33EB1CAF}"/>
    <cellStyle name="SAPBEXexcCritical4 9 2" xfId="1701" xr:uid="{C378E0E9-36D5-47F4-915C-997DE37758BF}"/>
    <cellStyle name="SAPBEXexcCritical4_(B) R&amp;M" xfId="1702" xr:uid="{92E04426-ABCC-4CBD-9E96-2B1A4A56ADBD}"/>
    <cellStyle name="SAPBEXexcCritical5" xfId="1703" xr:uid="{06EF7C4A-332A-445A-ACEE-17E7286A56B8}"/>
    <cellStyle name="SAPBEXexcCritical5 10" xfId="1704" xr:uid="{7D6B28BA-D103-498D-9E16-51750D17D87C}"/>
    <cellStyle name="SAPBEXexcCritical5 10 2" xfId="1705" xr:uid="{2E85F95F-0647-4154-B889-EA234DA5BB9B}"/>
    <cellStyle name="SAPBEXexcCritical5 11" xfId="1706" xr:uid="{8926B071-879C-41D0-A29E-2B534800B56D}"/>
    <cellStyle name="SAPBEXexcCritical5 11 2" xfId="1707" xr:uid="{9AE93CA0-9700-4310-84DB-C61B957ABA86}"/>
    <cellStyle name="SAPBEXexcCritical5 12" xfId="1708" xr:uid="{AC720CCE-D3DC-454B-A607-554E81926CCB}"/>
    <cellStyle name="SAPBEXexcCritical5 12 2" xfId="1709" xr:uid="{E7F39BD9-59C5-45CA-9380-AE93C40FD80D}"/>
    <cellStyle name="SAPBEXexcCritical5 13" xfId="1710" xr:uid="{A20DA4EB-9249-4A12-9993-40AE91FD0012}"/>
    <cellStyle name="SAPBEXexcCritical5 13 2" xfId="1711" xr:uid="{4A808DC3-9496-4F47-A63F-FE2C411C491C}"/>
    <cellStyle name="SAPBEXexcCritical5 14" xfId="1712" xr:uid="{312A25C3-787A-4709-A006-E6737E722CE3}"/>
    <cellStyle name="SAPBEXexcCritical5 14 2" xfId="1713" xr:uid="{9CC89F43-319F-4AD4-B3C8-D2399207AD49}"/>
    <cellStyle name="SAPBEXexcCritical5 15" xfId="1714" xr:uid="{43401834-3114-41A6-B62E-2B3A0913A4B6}"/>
    <cellStyle name="SAPBEXexcCritical5 15 2" xfId="1715" xr:uid="{03F5B304-283F-4558-B13F-F7827DFDE5AC}"/>
    <cellStyle name="SAPBEXexcCritical5 16" xfId="1716" xr:uid="{F57937DC-6BDA-4348-8691-DF4CB1A504D9}"/>
    <cellStyle name="SAPBEXexcCritical5 16 2" xfId="1717" xr:uid="{7CC65811-F14A-4BEF-AF83-7B2A76D86B8B}"/>
    <cellStyle name="SAPBEXexcCritical5 17" xfId="1718" xr:uid="{5E2AA61E-2E33-4B12-8A95-53A900AF4C23}"/>
    <cellStyle name="SAPBEXexcCritical5 17 2" xfId="1719" xr:uid="{DB0C788D-84B7-445B-80FB-D24DAF6388E6}"/>
    <cellStyle name="SAPBEXexcCritical5 18" xfId="1720" xr:uid="{258AB210-A590-46B9-8A26-7E536C8FD1F9}"/>
    <cellStyle name="SAPBEXexcCritical5 2" xfId="1721" xr:uid="{0B560EA5-AC3E-44E4-A73C-B9940B1F7610}"/>
    <cellStyle name="SAPBEXexcCritical5 2 2" xfId="1722" xr:uid="{95AD01EB-E509-4587-90AE-67F4020DE149}"/>
    <cellStyle name="SAPBEXexcCritical5 3" xfId="1723" xr:uid="{0A6F77ED-9C6E-4F90-97EC-3EAFF781CF8E}"/>
    <cellStyle name="SAPBEXexcCritical5 3 2" xfId="1724" xr:uid="{9CBF241B-7E85-4303-B9A1-8707A67DC9B1}"/>
    <cellStyle name="SAPBEXexcCritical5 4" xfId="1725" xr:uid="{05BB5311-24E1-4D6F-A83A-98DAE33DB583}"/>
    <cellStyle name="SAPBEXexcCritical5 4 2" xfId="1726" xr:uid="{203E4FCC-3067-429F-AE65-9B8D5A21FDE3}"/>
    <cellStyle name="SAPBEXexcCritical5 5" xfId="1727" xr:uid="{3805252C-9DD7-4B82-8479-15626A6CB8C3}"/>
    <cellStyle name="SAPBEXexcCritical5 5 2" xfId="1728" xr:uid="{7E4FB4AA-2983-4867-9491-4963B7828AE4}"/>
    <cellStyle name="SAPBEXexcCritical5 6" xfId="1729" xr:uid="{9A405D22-4F33-4E78-B13C-2EFC98396A4B}"/>
    <cellStyle name="SAPBEXexcCritical5 6 2" xfId="1730" xr:uid="{B5BAD3C3-082B-439A-84E0-8163749D8543}"/>
    <cellStyle name="SAPBEXexcCritical5 7" xfId="1731" xr:uid="{4E44D337-91C4-474C-A805-B0906A898285}"/>
    <cellStyle name="SAPBEXexcCritical5 7 2" xfId="1732" xr:uid="{DA3843C9-C318-4176-A612-C5C0AA119310}"/>
    <cellStyle name="SAPBEXexcCritical5 8" xfId="1733" xr:uid="{402E078A-8137-47DE-BAD8-0D4DA59FA538}"/>
    <cellStyle name="SAPBEXexcCritical5 8 2" xfId="1734" xr:uid="{3AA8A17A-7001-4D03-8566-36FF1CCE6811}"/>
    <cellStyle name="SAPBEXexcCritical5 9" xfId="1735" xr:uid="{D5D9C0FF-0722-4BD5-BC38-CEFA9436FA38}"/>
    <cellStyle name="SAPBEXexcCritical5 9 2" xfId="1736" xr:uid="{3923694D-DDCA-4AEC-B789-5A86C522AB3C}"/>
    <cellStyle name="SAPBEXexcCritical5_(B) R&amp;M" xfId="1737" xr:uid="{2D9EA4F5-080B-4FA1-B5E7-A406625ACE2A}"/>
    <cellStyle name="SAPBEXexcCritical6" xfId="1738" xr:uid="{627198AD-B37E-4EF5-AB25-4A208889CB1B}"/>
    <cellStyle name="SAPBEXexcCritical6 10" xfId="1739" xr:uid="{E79A9DB0-8F82-48C8-AB6A-B4057C5803F9}"/>
    <cellStyle name="SAPBEXexcCritical6 10 2" xfId="1740" xr:uid="{A0FDA6E1-048D-4B11-BA56-DADEA5E53E46}"/>
    <cellStyle name="SAPBEXexcCritical6 11" xfId="1741" xr:uid="{C1F09876-F6B6-46B5-BCF3-419F6EDE04EA}"/>
    <cellStyle name="SAPBEXexcCritical6 11 2" xfId="1742" xr:uid="{98657D63-2000-4003-B7A8-56B1295DD6EB}"/>
    <cellStyle name="SAPBEXexcCritical6 12" xfId="1743" xr:uid="{CB17DC15-6FCE-42F0-850E-F7B6F08086C2}"/>
    <cellStyle name="SAPBEXexcCritical6 12 2" xfId="1744" xr:uid="{5314E796-8991-4E34-B777-DA2C8EA79AFC}"/>
    <cellStyle name="SAPBEXexcCritical6 13" xfId="1745" xr:uid="{2353D327-C4F5-4EB5-B8EC-DD539E7516ED}"/>
    <cellStyle name="SAPBEXexcCritical6 13 2" xfId="1746" xr:uid="{C99016A8-E663-4318-99B4-D994F0EEBAB9}"/>
    <cellStyle name="SAPBEXexcCritical6 14" xfId="1747" xr:uid="{7D2BCCFD-2D37-4678-BA30-B5EF03D63DA3}"/>
    <cellStyle name="SAPBEXexcCritical6 14 2" xfId="1748" xr:uid="{1EE0E936-893A-4B0F-ACF8-715227553267}"/>
    <cellStyle name="SAPBEXexcCritical6 15" xfId="1749" xr:uid="{CB9984FC-1173-4F9A-A68D-3037B14E35CC}"/>
    <cellStyle name="SAPBEXexcCritical6 15 2" xfId="1750" xr:uid="{244079B3-540C-4B03-A031-B5F19FFA4CAE}"/>
    <cellStyle name="SAPBEXexcCritical6 16" xfId="1751" xr:uid="{2ADDB52E-58BE-4A05-828C-414C18524CC8}"/>
    <cellStyle name="SAPBEXexcCritical6 16 2" xfId="1752" xr:uid="{66CFD1CC-686F-4C21-A2A8-0CF503270554}"/>
    <cellStyle name="SAPBEXexcCritical6 17" xfId="1753" xr:uid="{698DFBDC-927F-4D89-96CA-B46EDC775FD3}"/>
    <cellStyle name="SAPBEXexcCritical6 17 2" xfId="1754" xr:uid="{597152DC-11A5-415E-A1EB-8D6B541A7CD2}"/>
    <cellStyle name="SAPBEXexcCritical6 18" xfId="1755" xr:uid="{74EDD146-26C2-42D6-B101-344D3BC754A0}"/>
    <cellStyle name="SAPBEXexcCritical6 2" xfId="1756" xr:uid="{F9B599C5-801D-4171-B551-CD693F4F4793}"/>
    <cellStyle name="SAPBEXexcCritical6 2 2" xfId="1757" xr:uid="{8BE4A4CE-A383-4F01-8973-FA501678FBE9}"/>
    <cellStyle name="SAPBEXexcCritical6 3" xfId="1758" xr:uid="{98F9B30A-323D-4F26-945C-FE7C3E35CC87}"/>
    <cellStyle name="SAPBEXexcCritical6 3 2" xfId="1759" xr:uid="{FF34BB62-B3F1-4958-B0D1-5D06DFD43717}"/>
    <cellStyle name="SAPBEXexcCritical6 4" xfId="1760" xr:uid="{0F062670-AF64-4A90-9B92-AE37CB78E4CA}"/>
    <cellStyle name="SAPBEXexcCritical6 4 2" xfId="1761" xr:uid="{FCEF2422-33BF-48BA-8107-D13A3198D37F}"/>
    <cellStyle name="SAPBEXexcCritical6 5" xfId="1762" xr:uid="{EA1114E4-3C9B-4C16-AFC9-F76F158DA18C}"/>
    <cellStyle name="SAPBEXexcCritical6 5 2" xfId="1763" xr:uid="{ECCF097B-7D67-4983-A65E-754AEE441B32}"/>
    <cellStyle name="SAPBEXexcCritical6 6" xfId="1764" xr:uid="{028507E1-FB31-4C96-898A-30C2BEC7962A}"/>
    <cellStyle name="SAPBEXexcCritical6 6 2" xfId="1765" xr:uid="{4E3CED9B-9FE7-46AE-9376-A5E1856A02B6}"/>
    <cellStyle name="SAPBEXexcCritical6 7" xfId="1766" xr:uid="{A252420E-6005-481A-8C82-3C9AFC785D83}"/>
    <cellStyle name="SAPBEXexcCritical6 7 2" xfId="1767" xr:uid="{456FE716-D760-49C3-82BF-2C60E3523160}"/>
    <cellStyle name="SAPBEXexcCritical6 8" xfId="1768" xr:uid="{76873D43-3BD5-4B76-902D-1CF2DDDC0CF0}"/>
    <cellStyle name="SAPBEXexcCritical6 8 2" xfId="1769" xr:uid="{A790A20D-3E44-49FB-86EB-DC6CD7F9FACC}"/>
    <cellStyle name="SAPBEXexcCritical6 9" xfId="1770" xr:uid="{3735A8A4-9C4C-40CA-BEF2-BCDEB46278FD}"/>
    <cellStyle name="SAPBEXexcCritical6 9 2" xfId="1771" xr:uid="{EE48B962-89BB-4F8B-92A8-788E91311804}"/>
    <cellStyle name="SAPBEXexcCritical6_(B) R&amp;M" xfId="1772" xr:uid="{141D5E84-77D6-425A-A86A-0E159069CBC7}"/>
    <cellStyle name="SAPBEXexcGood1" xfId="1773" xr:uid="{AA160DEF-0C7C-46DD-985F-0E2920C40DE4}"/>
    <cellStyle name="SAPBEXexcGood1 10" xfId="1774" xr:uid="{FB853343-A051-4446-8825-CAC0203E2C3E}"/>
    <cellStyle name="SAPBEXexcGood1 10 2" xfId="1775" xr:uid="{B730DF08-8EEA-4828-B03F-44527058215A}"/>
    <cellStyle name="SAPBEXexcGood1 11" xfId="1776" xr:uid="{2D1FDFD4-35BF-4F53-BABA-8DEA1413B4A8}"/>
    <cellStyle name="SAPBEXexcGood1 11 2" xfId="1777" xr:uid="{01893469-9CE1-455D-9451-F8A24E2D48AA}"/>
    <cellStyle name="SAPBEXexcGood1 12" xfId="1778" xr:uid="{A52FF119-B727-46DB-B04B-EA7A317D42CD}"/>
    <cellStyle name="SAPBEXexcGood1 12 2" xfId="1779" xr:uid="{4AC7D6F4-A6E4-471D-B1EA-0EB377DFE621}"/>
    <cellStyle name="SAPBEXexcGood1 13" xfId="1780" xr:uid="{A7700785-D170-483C-8B21-3FB451A03180}"/>
    <cellStyle name="SAPBEXexcGood1 13 2" xfId="1781" xr:uid="{35B32407-D0A8-4EFD-AB8E-6998DA186221}"/>
    <cellStyle name="SAPBEXexcGood1 14" xfId="1782" xr:uid="{F9972BDB-7C8E-4ECE-AF2A-1D156350AB89}"/>
    <cellStyle name="SAPBEXexcGood1 14 2" xfId="1783" xr:uid="{401E4D97-81DE-46D2-8AB2-8B43D7BEFCEF}"/>
    <cellStyle name="SAPBEXexcGood1 15" xfId="1784" xr:uid="{9850E416-E82C-41A8-A23C-C98B9A38C240}"/>
    <cellStyle name="SAPBEXexcGood1 15 2" xfId="1785" xr:uid="{96E13C4D-9148-4CCF-9709-DFD6AA0674A0}"/>
    <cellStyle name="SAPBEXexcGood1 16" xfId="1786" xr:uid="{CC00B42B-CF06-4282-808D-3F4F51CFA45B}"/>
    <cellStyle name="SAPBEXexcGood1 16 2" xfId="1787" xr:uid="{17BBEA20-D6A0-4AD7-A276-7F79FD54393E}"/>
    <cellStyle name="SAPBEXexcGood1 17" xfId="1788" xr:uid="{5E34F540-FE6B-4997-BF74-CCD3AA6D5DE2}"/>
    <cellStyle name="SAPBEXexcGood1 17 2" xfId="1789" xr:uid="{F6C4828C-355E-4BC2-B50B-DCD19D581959}"/>
    <cellStyle name="SAPBEXexcGood1 18" xfId="1790" xr:uid="{B08C21BC-9B3A-4E1C-81C7-D63118C2AC6D}"/>
    <cellStyle name="SAPBEXexcGood1 2" xfId="1791" xr:uid="{B1CBFCDF-D22B-4B9E-96C9-A2E6B943409C}"/>
    <cellStyle name="SAPBEXexcGood1 2 2" xfId="1792" xr:uid="{2D4C5285-7FA6-4A56-B709-953EBE41AF25}"/>
    <cellStyle name="SAPBEXexcGood1 3" xfId="1793" xr:uid="{F14157E3-3A94-464D-B35A-57371091794F}"/>
    <cellStyle name="SAPBEXexcGood1 3 2" xfId="1794" xr:uid="{D812B7E7-5F98-4992-8DA3-886802B39E19}"/>
    <cellStyle name="SAPBEXexcGood1 4" xfId="1795" xr:uid="{A09BE95D-CADC-47DB-AF2E-980503ACD66D}"/>
    <cellStyle name="SAPBEXexcGood1 4 2" xfId="1796" xr:uid="{5AF01725-27A4-41CE-8952-7A9DEED7A796}"/>
    <cellStyle name="SAPBEXexcGood1 5" xfId="1797" xr:uid="{B75E685E-95C4-43A6-86DC-72E94F2FA109}"/>
    <cellStyle name="SAPBEXexcGood1 5 2" xfId="1798" xr:uid="{6D4D669F-A058-4D21-A80D-08D19C27E297}"/>
    <cellStyle name="SAPBEXexcGood1 6" xfId="1799" xr:uid="{72473B91-A643-4956-8045-EED8740A024E}"/>
    <cellStyle name="SAPBEXexcGood1 6 2" xfId="1800" xr:uid="{537E64BA-C6A6-483C-91B1-D3244A1E3D87}"/>
    <cellStyle name="SAPBEXexcGood1 7" xfId="1801" xr:uid="{54B7737A-4ADF-4D59-A8E8-8534D8469943}"/>
    <cellStyle name="SAPBEXexcGood1 7 2" xfId="1802" xr:uid="{7E95BBDC-8145-478D-BBD8-5258D8EC8545}"/>
    <cellStyle name="SAPBEXexcGood1 8" xfId="1803" xr:uid="{01A15983-AA5E-4726-973D-11BD0FE9C375}"/>
    <cellStyle name="SAPBEXexcGood1 8 2" xfId="1804" xr:uid="{628DDDBB-53E4-4978-874E-6F8E9B626CC7}"/>
    <cellStyle name="SAPBEXexcGood1 9" xfId="1805" xr:uid="{AFD410CF-878D-4964-8020-0E9B47FE14F6}"/>
    <cellStyle name="SAPBEXexcGood1 9 2" xfId="1806" xr:uid="{5EF21A84-E537-47EA-B0FC-B027A2BFEEE8}"/>
    <cellStyle name="SAPBEXexcGood1_(B) R&amp;M" xfId="1807" xr:uid="{AD391E12-12A9-46FF-B886-50EAC015B2A9}"/>
    <cellStyle name="SAPBEXexcGood2" xfId="1808" xr:uid="{D79D96F2-206F-4588-A68E-4E2275BF3881}"/>
    <cellStyle name="SAPBEXexcGood2 10" xfId="1809" xr:uid="{3FEEA2F7-0D71-48A9-AF2D-23D087806BCB}"/>
    <cellStyle name="SAPBEXexcGood2 10 2" xfId="1810" xr:uid="{9AB52757-C6D6-4B4E-BF70-9EF36CFE11DF}"/>
    <cellStyle name="SAPBEXexcGood2 11" xfId="1811" xr:uid="{C72E74CF-3696-4500-91BE-9DA78A03F8B2}"/>
    <cellStyle name="SAPBEXexcGood2 11 2" xfId="1812" xr:uid="{845447C8-2DE6-406C-92A7-7C8CF00AEF87}"/>
    <cellStyle name="SAPBEXexcGood2 12" xfId="1813" xr:uid="{03F6D7C0-BE8C-4019-805B-F8334B54F1C3}"/>
    <cellStyle name="SAPBEXexcGood2 12 2" xfId="1814" xr:uid="{688D4AC1-88AE-428D-865A-F126C5A03E52}"/>
    <cellStyle name="SAPBEXexcGood2 13" xfId="1815" xr:uid="{D7CC6C7E-CB4B-4E08-BC04-FD98C87FE4D6}"/>
    <cellStyle name="SAPBEXexcGood2 13 2" xfId="1816" xr:uid="{208E95F4-956B-438C-8932-E0983E91168C}"/>
    <cellStyle name="SAPBEXexcGood2 14" xfId="1817" xr:uid="{5E7110AD-1C0A-4191-BDD8-785AEA644128}"/>
    <cellStyle name="SAPBEXexcGood2 14 2" xfId="1818" xr:uid="{AA9C6C7E-1FE8-4ACE-BD8C-3F8AE1CAFEFA}"/>
    <cellStyle name="SAPBEXexcGood2 15" xfId="1819" xr:uid="{C4807625-CC59-41BE-BA02-32E5D1A8B20E}"/>
    <cellStyle name="SAPBEXexcGood2 15 2" xfId="1820" xr:uid="{4A881927-0E16-45C9-BB34-1FCBD85F78BE}"/>
    <cellStyle name="SAPBEXexcGood2 16" xfId="1821" xr:uid="{7711FC85-7E6F-49E2-8484-401249649A19}"/>
    <cellStyle name="SAPBEXexcGood2 16 2" xfId="1822" xr:uid="{6405A357-604E-4B92-A22E-9E8AD3C0CA55}"/>
    <cellStyle name="SAPBEXexcGood2 17" xfId="1823" xr:uid="{ED183F91-CEF2-4FD2-B396-727B485E0844}"/>
    <cellStyle name="SAPBEXexcGood2 17 2" xfId="1824" xr:uid="{92167E17-DA7F-45A7-91D9-816D33E76EAE}"/>
    <cellStyle name="SAPBEXexcGood2 18" xfId="1825" xr:uid="{C058DCE9-00BA-4AD4-8DCE-0D91680ABD67}"/>
    <cellStyle name="SAPBEXexcGood2 2" xfId="1826" xr:uid="{2D80CA2D-4352-43BC-9B34-6D05E7C4BCE1}"/>
    <cellStyle name="SAPBEXexcGood2 2 2" xfId="1827" xr:uid="{8C7BC8D6-6041-4E17-82F7-1D37E90E9114}"/>
    <cellStyle name="SAPBEXexcGood2 3" xfId="1828" xr:uid="{D8462C36-12BA-4F4D-815C-D255189F43B3}"/>
    <cellStyle name="SAPBEXexcGood2 3 2" xfId="1829" xr:uid="{AEE135E7-7A1E-4BC7-8161-086B0F9375C6}"/>
    <cellStyle name="SAPBEXexcGood2 4" xfId="1830" xr:uid="{D1098A51-5FAA-4A51-80DD-666BEACF09BA}"/>
    <cellStyle name="SAPBEXexcGood2 4 2" xfId="1831" xr:uid="{FF618946-576A-4A89-A29B-1FD47201D20A}"/>
    <cellStyle name="SAPBEXexcGood2 5" xfId="1832" xr:uid="{31A02826-826F-4231-884B-E65AA85B536D}"/>
    <cellStyle name="SAPBEXexcGood2 5 2" xfId="1833" xr:uid="{AB0FA885-A7FE-422B-9870-18447898DCC7}"/>
    <cellStyle name="SAPBEXexcGood2 6" xfId="1834" xr:uid="{B797EA65-12C4-4533-9B2C-9F8C26819891}"/>
    <cellStyle name="SAPBEXexcGood2 6 2" xfId="1835" xr:uid="{22D9665E-6DDA-4D8F-9DDD-5EDD80186D79}"/>
    <cellStyle name="SAPBEXexcGood2 7" xfId="1836" xr:uid="{14A3F83A-A498-42DF-B6B0-AA68AB00F99E}"/>
    <cellStyle name="SAPBEXexcGood2 7 2" xfId="1837" xr:uid="{CCB17BBE-6B85-4FB8-BD07-E9FEC2CC208C}"/>
    <cellStyle name="SAPBEXexcGood2 8" xfId="1838" xr:uid="{D2CFC4B7-3F4E-4C91-9471-083AE0B63C3E}"/>
    <cellStyle name="SAPBEXexcGood2 8 2" xfId="1839" xr:uid="{8B8E68F5-CBD3-4724-812D-665A6F887E0A}"/>
    <cellStyle name="SAPBEXexcGood2 9" xfId="1840" xr:uid="{E35A367C-7DAD-4EAE-B5C3-2DF5E12B4930}"/>
    <cellStyle name="SAPBEXexcGood2 9 2" xfId="1841" xr:uid="{FFD04C96-CAB7-46DA-B325-DCE06A3AD23A}"/>
    <cellStyle name="SAPBEXexcGood2_(B) R&amp;M" xfId="1842" xr:uid="{BDB7050A-CD70-42FC-A02F-0308466A519B}"/>
    <cellStyle name="SAPBEXexcGood3" xfId="1843" xr:uid="{39943642-0DD4-47E5-BF8C-6EAC40D14941}"/>
    <cellStyle name="SAPBEXexcGood3 10" xfId="1844" xr:uid="{40E10B7F-1417-4ACD-AA48-D1E0C5180718}"/>
    <cellStyle name="SAPBEXexcGood3 10 2" xfId="1845" xr:uid="{0B6CD813-5BF7-4AF6-8467-7CB00956E03C}"/>
    <cellStyle name="SAPBEXexcGood3 11" xfId="1846" xr:uid="{875133FB-298A-4E5A-A310-1854E50D6E34}"/>
    <cellStyle name="SAPBEXexcGood3 11 2" xfId="1847" xr:uid="{8A701B4D-34C3-4B79-BA04-535643ED0C9B}"/>
    <cellStyle name="SAPBEXexcGood3 12" xfId="1848" xr:uid="{2782F6AD-FEAF-4BF7-8B82-EFAA182BD26E}"/>
    <cellStyle name="SAPBEXexcGood3 12 2" xfId="1849" xr:uid="{65C35DD3-B8B6-4C0C-A6F4-BF38F38A35E3}"/>
    <cellStyle name="SAPBEXexcGood3 13" xfId="1850" xr:uid="{E53A01B0-F8AB-4FAD-BF17-8DCB876C26E6}"/>
    <cellStyle name="SAPBEXexcGood3 13 2" xfId="1851" xr:uid="{EF8D7B14-3F56-47AF-84D5-28CD131B2712}"/>
    <cellStyle name="SAPBEXexcGood3 14" xfId="1852" xr:uid="{D4B127BE-BE34-4466-BFDF-BB021205F93B}"/>
    <cellStyle name="SAPBEXexcGood3 14 2" xfId="1853" xr:uid="{8F095910-7384-495F-85F6-988B65FFD688}"/>
    <cellStyle name="SAPBEXexcGood3 15" xfId="1854" xr:uid="{B38B4DBB-0BD0-4133-8044-F3B09EFE4262}"/>
    <cellStyle name="SAPBEXexcGood3 15 2" xfId="1855" xr:uid="{08EFD3FF-FFF6-4541-B03F-BA0E854816A5}"/>
    <cellStyle name="SAPBEXexcGood3 16" xfId="1856" xr:uid="{455F6DA7-8A81-4AF7-A88B-0447F53080B9}"/>
    <cellStyle name="SAPBEXexcGood3 16 2" xfId="1857" xr:uid="{DDCE6F49-0B12-4BCB-9DB0-78AB90655BED}"/>
    <cellStyle name="SAPBEXexcGood3 17" xfId="1858" xr:uid="{1AAFC0E3-B12D-422F-ADED-83249321A1D9}"/>
    <cellStyle name="SAPBEXexcGood3 17 2" xfId="1859" xr:uid="{D0AF94E1-5F37-42F2-B81E-FE7D798C2494}"/>
    <cellStyle name="SAPBEXexcGood3 18" xfId="1860" xr:uid="{97ABD219-8DF3-40B6-975E-8B59BB61342B}"/>
    <cellStyle name="SAPBEXexcGood3 2" xfId="1861" xr:uid="{4B7AA7CC-05A7-4A42-ACA0-4BDC18FA7E7F}"/>
    <cellStyle name="SAPBEXexcGood3 2 2" xfId="1862" xr:uid="{42B6A1D7-DD30-424D-B9F1-AD08F6DBA56D}"/>
    <cellStyle name="SAPBEXexcGood3 3" xfId="1863" xr:uid="{8D84DD24-44BB-4AAB-8A77-5DAC89C169E0}"/>
    <cellStyle name="SAPBEXexcGood3 3 2" xfId="1864" xr:uid="{9F077690-073D-48FA-9EFB-A59A46814176}"/>
    <cellStyle name="SAPBEXexcGood3 4" xfId="1865" xr:uid="{BEC41374-EB50-4C04-A631-0B61898A0560}"/>
    <cellStyle name="SAPBEXexcGood3 4 2" xfId="1866" xr:uid="{44820530-16C9-4DE7-9338-1D7043442119}"/>
    <cellStyle name="SAPBEXexcGood3 5" xfId="1867" xr:uid="{A7749EAF-0526-4B7A-8258-48F59662097D}"/>
    <cellStyle name="SAPBEXexcGood3 5 2" xfId="1868" xr:uid="{613C40B4-772E-4FE4-B203-E28E248B4279}"/>
    <cellStyle name="SAPBEXexcGood3 6" xfId="1869" xr:uid="{B6CA8EAF-30CA-43AF-8358-8CBF97730393}"/>
    <cellStyle name="SAPBEXexcGood3 6 2" xfId="1870" xr:uid="{3785C5B4-D91E-427D-9FD5-192E1456512F}"/>
    <cellStyle name="SAPBEXexcGood3 7" xfId="1871" xr:uid="{4CC7B091-2B88-4084-9C6C-DC05EE40C5C7}"/>
    <cellStyle name="SAPBEXexcGood3 7 2" xfId="1872" xr:uid="{1A6C8359-7FF8-4F02-9D79-C6B9974FCCE9}"/>
    <cellStyle name="SAPBEXexcGood3 8" xfId="1873" xr:uid="{08AAD747-9EA3-4E05-A972-97FFEE1C3878}"/>
    <cellStyle name="SAPBEXexcGood3 8 2" xfId="1874" xr:uid="{AEB0D8E0-BDBA-49CA-9B92-5876712B3F10}"/>
    <cellStyle name="SAPBEXexcGood3 9" xfId="1875" xr:uid="{0B67D5A3-834A-4F9E-9CDD-7DA6F0DA5724}"/>
    <cellStyle name="SAPBEXexcGood3 9 2" xfId="1876" xr:uid="{1A4708DF-9E21-4001-B038-9AB695C37AF9}"/>
    <cellStyle name="SAPBEXexcGood3_(B) R&amp;M" xfId="1877" xr:uid="{F28DB73B-5FBD-467A-9DFB-2AF50E500D88}"/>
    <cellStyle name="SAPBEXfilterDrill" xfId="1878" xr:uid="{39F6D06C-91CC-483D-B932-8174C18ED4CD}"/>
    <cellStyle name="SAPBEXfilterDrill 10" xfId="1879" xr:uid="{6C6E97DC-A952-427A-9E60-D3F7BFDFF6F1}"/>
    <cellStyle name="SAPBEXfilterDrill 11" xfId="1880" xr:uid="{322F5D1C-A867-4F77-8DFB-F8ED0402C911}"/>
    <cellStyle name="SAPBEXfilterDrill 12" xfId="1881" xr:uid="{06128787-D50A-4150-8291-17234427808C}"/>
    <cellStyle name="SAPBEXfilterDrill 13" xfId="1882" xr:uid="{A304CEDE-7A57-4B27-A988-03DC2F54F37C}"/>
    <cellStyle name="SAPBEXfilterDrill 14" xfId="1883" xr:uid="{43129C71-0193-4D17-97BC-283C72304AC5}"/>
    <cellStyle name="SAPBEXfilterDrill 15" xfId="1884" xr:uid="{6B108758-A7EE-4BB5-9E6D-EE2BF51DA8B3}"/>
    <cellStyle name="SAPBEXfilterDrill 16" xfId="1885" xr:uid="{E53C891F-80FE-4211-9695-375CF5C1A558}"/>
    <cellStyle name="SAPBEXfilterDrill 17" xfId="1886" xr:uid="{080108E0-F0FC-4A74-BD94-A7C36B3114FD}"/>
    <cellStyle name="SAPBEXfilterDrill 2" xfId="1887" xr:uid="{701B6675-3464-486F-9B45-069FA46ACFF3}"/>
    <cellStyle name="SAPBEXfilterDrill 2 2" xfId="1888" xr:uid="{A4E42E36-8717-4135-8D0E-99BD5576A274}"/>
    <cellStyle name="SAPBEXfilterDrill 3" xfId="1889" xr:uid="{9B8C1A14-2446-4E35-84F0-928591A713F2}"/>
    <cellStyle name="SAPBEXfilterDrill 4" xfId="1890" xr:uid="{6DA9B7CA-7CA5-4C8D-A1E3-DA543A3803C6}"/>
    <cellStyle name="SAPBEXfilterDrill 5" xfId="1891" xr:uid="{E4D927BD-B0AE-41D2-8B8A-41096559D740}"/>
    <cellStyle name="SAPBEXfilterDrill 6" xfId="1892" xr:uid="{57EC3D2C-FCDE-4F63-A4CC-707B423882B6}"/>
    <cellStyle name="SAPBEXfilterDrill 7" xfId="1893" xr:uid="{FF746CEB-C77F-44B8-8191-58E2CCB60999}"/>
    <cellStyle name="SAPBEXfilterDrill 8" xfId="1894" xr:uid="{84A2052B-9F63-4F19-85B9-BB6AD27905A4}"/>
    <cellStyle name="SAPBEXfilterDrill 9" xfId="1895" xr:uid="{EAC0FD9C-E01A-40C6-A358-714A32C5C0E8}"/>
    <cellStyle name="SAPBEXfilterDrill_(B) R&amp;M" xfId="1896" xr:uid="{07C11256-67E6-4DC2-B8A8-55AF684E4F08}"/>
    <cellStyle name="SAPBEXfilterItem" xfId="1897" xr:uid="{8B0B7361-25CF-4D0B-9F2A-C8F2DFFEA981}"/>
    <cellStyle name="SAPBEXfilterItem 10" xfId="1898" xr:uid="{302863A1-0DEC-4560-BBB8-6927C57C82BC}"/>
    <cellStyle name="SAPBEXfilterItem 10 2" xfId="1899" xr:uid="{DA63AA27-3049-46B9-97AE-BBA589CD01AB}"/>
    <cellStyle name="SAPBEXfilterItem 10 2 2" xfId="1900" xr:uid="{679AFB8D-0A38-46C9-8900-C727DFEB9759}"/>
    <cellStyle name="SAPBEXfilterItem 10 3" xfId="1901" xr:uid="{8A141628-1E6A-4BDA-809A-1D48BF279FC5}"/>
    <cellStyle name="SAPBEXfilterItem 11" xfId="1902" xr:uid="{BA03F94C-B987-4240-8C09-70A8AE00076B}"/>
    <cellStyle name="SAPBEXfilterItem 11 2" xfId="1903" xr:uid="{3891F736-D3EA-4A22-A61B-B88EA21436A9}"/>
    <cellStyle name="SAPBEXfilterItem 11 2 2" xfId="1904" xr:uid="{CF9C93F2-E0D6-4392-946A-3BED9C9232F8}"/>
    <cellStyle name="SAPBEXfilterItem 11 3" xfId="1905" xr:uid="{7D6DD067-BDCB-4353-A395-8B535CBC7302}"/>
    <cellStyle name="SAPBEXfilterItem 12" xfId="1906" xr:uid="{A6388838-1BF0-48F7-B67F-CE967800668E}"/>
    <cellStyle name="SAPBEXfilterItem 12 2" xfId="1907" xr:uid="{368B7564-9683-4592-A764-CF8613704CB1}"/>
    <cellStyle name="SAPBEXfilterItem 12 2 2" xfId="1908" xr:uid="{2AF17683-7B65-4179-BF4C-E991D4937054}"/>
    <cellStyle name="SAPBEXfilterItem 12 3" xfId="1909" xr:uid="{73BC78B2-D0EA-42DA-BB54-CF2875476D98}"/>
    <cellStyle name="SAPBEXfilterItem 13" xfId="1910" xr:uid="{7B4521B3-03AC-4D25-A25F-48325EDDE631}"/>
    <cellStyle name="SAPBEXfilterItem 13 2" xfId="1911" xr:uid="{7F6A6A90-ADB0-4433-872F-58B4E2C439D0}"/>
    <cellStyle name="SAPBEXfilterItem 13 2 2" xfId="1912" xr:uid="{53C88CA0-185D-4837-AEB9-BFB1286107E1}"/>
    <cellStyle name="SAPBEXfilterItem 13 3" xfId="1913" xr:uid="{377F9DF8-CE3F-4FE2-A08C-A7E07007B116}"/>
    <cellStyle name="SAPBEXfilterItem 14" xfId="1914" xr:uid="{820BD7F2-B5F5-4DA3-BD11-4072287747D6}"/>
    <cellStyle name="SAPBEXfilterItem 14 2" xfId="1915" xr:uid="{55E9D5B8-9F3C-41B4-BBB9-293B18BE0BE8}"/>
    <cellStyle name="SAPBEXfilterItem 14 2 2" xfId="1916" xr:uid="{11CF4721-61D7-4822-AF14-2BAB3444FE67}"/>
    <cellStyle name="SAPBEXfilterItem 14 3" xfId="1917" xr:uid="{652CCD50-1063-4177-9633-DBF3F29EE445}"/>
    <cellStyle name="SAPBEXfilterItem 15" xfId="1918" xr:uid="{623D274D-0E6D-47D2-A1EE-750841622853}"/>
    <cellStyle name="SAPBEXfilterItem 15 2" xfId="1919" xr:uid="{BD1070F6-8D6C-4356-94A0-F621CE87CE06}"/>
    <cellStyle name="SAPBEXfilterItem 15 2 2" xfId="1920" xr:uid="{B6A2F323-058C-41A0-A9D1-35D77DC3506C}"/>
    <cellStyle name="SAPBEXfilterItem 15 3" xfId="1921" xr:uid="{0A0B5AB5-BE0B-48D9-9601-2E8A54B4FBA2}"/>
    <cellStyle name="SAPBEXfilterItem 16" xfId="1922" xr:uid="{519D8ABD-8656-4411-BF3C-AF158C087F22}"/>
    <cellStyle name="SAPBEXfilterItem 16 2" xfId="1923" xr:uid="{2D16B59C-390A-4C11-93B6-3AFF2A8AFDBD}"/>
    <cellStyle name="SAPBEXfilterItem 16 2 2" xfId="1924" xr:uid="{814A05EC-28D2-4649-AF14-493C0CDDF4C0}"/>
    <cellStyle name="SAPBEXfilterItem 16 3" xfId="1925" xr:uid="{16C082B0-28F6-43F5-8AB7-EC2A1598E882}"/>
    <cellStyle name="SAPBEXfilterItem 17" xfId="1926" xr:uid="{0CA47EB3-2EEC-4A9E-A0C5-A04624B4F6DE}"/>
    <cellStyle name="SAPBEXfilterItem 17 2" xfId="1927" xr:uid="{D94678EA-907A-4560-A3E8-30240726FB47}"/>
    <cellStyle name="SAPBEXfilterItem 17 2 2" xfId="1928" xr:uid="{199968F3-53D0-494E-A35B-76B83336F176}"/>
    <cellStyle name="SAPBEXfilterItem 17 3" xfId="1929" xr:uid="{EE32268E-3B9B-4E22-BCB4-CDAD94E7D89D}"/>
    <cellStyle name="SAPBEXfilterItem 18" xfId="1930" xr:uid="{66207B93-32C1-495E-891B-DF632BE111DF}"/>
    <cellStyle name="SAPBEXfilterItem 18 2" xfId="1931" xr:uid="{873B8AD9-3174-4208-9C63-97D25F7AFFD0}"/>
    <cellStyle name="SAPBEXfilterItem 19" xfId="1932" xr:uid="{FEA3954E-1581-4105-86FC-21CD66DC7672}"/>
    <cellStyle name="SAPBEXfilterItem 2" xfId="1933" xr:uid="{170AA05C-A9C2-48B5-96FC-B7324CAF954F}"/>
    <cellStyle name="SAPBEXfilterItem 2 2" xfId="1934" xr:uid="{05B6CE60-2BA6-472A-A285-C88143DCC4A7}"/>
    <cellStyle name="SAPBEXfilterItem 2 2 2" xfId="1935" xr:uid="{E60076C3-9E73-4B0A-A592-670E6C28E807}"/>
    <cellStyle name="SAPBEXfilterItem 2 3" xfId="1936" xr:uid="{A0F1E0E8-BD3B-4C67-948E-1EA56F70309D}"/>
    <cellStyle name="SAPBEXfilterItem 3" xfId="1937" xr:uid="{2F2A6786-7585-4644-8B3D-45C51907958C}"/>
    <cellStyle name="SAPBEXfilterItem 3 2" xfId="1938" xr:uid="{6BD65E83-DA34-4F7C-A420-FA4FDD6F64BB}"/>
    <cellStyle name="SAPBEXfilterItem 3 2 2" xfId="1939" xr:uid="{1602A834-264F-4D7C-B6D1-62974B22D517}"/>
    <cellStyle name="SAPBEXfilterItem 3 3" xfId="1940" xr:uid="{25C7FDE7-0EE8-42AE-87FB-6061DB3EF379}"/>
    <cellStyle name="SAPBEXfilterItem 4" xfId="1941" xr:uid="{A0361D9A-5F5C-4AF9-98CE-78094CAAC924}"/>
    <cellStyle name="SAPBEXfilterItem 4 2" xfId="1942" xr:uid="{DB342F4B-1A91-4966-A6B6-962E8DB077A2}"/>
    <cellStyle name="SAPBEXfilterItem 4 2 2" xfId="1943" xr:uid="{1FB8BBAE-8CE6-4D31-A573-0E9DAF1E3FFE}"/>
    <cellStyle name="SAPBEXfilterItem 4 3" xfId="1944" xr:uid="{E55439F3-BF38-443A-8833-B0E37B843742}"/>
    <cellStyle name="SAPBEXfilterItem 5" xfId="1945" xr:uid="{63837292-4EC3-4755-9F0D-D35ADBEC5DEC}"/>
    <cellStyle name="SAPBEXfilterItem 5 2" xfId="1946" xr:uid="{8C7468F7-268B-4AE8-85BF-35A349674878}"/>
    <cellStyle name="SAPBEXfilterItem 5 2 2" xfId="1947" xr:uid="{15F99451-E1E6-4F93-98AC-9F190EC03BDE}"/>
    <cellStyle name="SAPBEXfilterItem 5 3" xfId="1948" xr:uid="{04CBCD8D-D64F-4CC4-9E75-ADBE11D9873A}"/>
    <cellStyle name="SAPBEXfilterItem 6" xfId="1949" xr:uid="{A696EC3D-0E4B-4EBC-B2C4-BBBB64DBEA33}"/>
    <cellStyle name="SAPBEXfilterItem 6 2" xfId="1950" xr:uid="{39217BC8-8D45-41BE-82DB-5AEC66F6FFE4}"/>
    <cellStyle name="SAPBEXfilterItem 6 2 2" xfId="1951" xr:uid="{DE0E3386-A37A-412A-8BD2-B9B390BA3C9B}"/>
    <cellStyle name="SAPBEXfilterItem 6 3" xfId="1952" xr:uid="{224B0FD8-DDD6-4A3F-8885-BC732794631D}"/>
    <cellStyle name="SAPBEXfilterItem 7" xfId="1953" xr:uid="{EBF71E36-A61D-479F-A9FA-8A736F82D0E0}"/>
    <cellStyle name="SAPBEXfilterItem 7 2" xfId="1954" xr:uid="{BF7E3591-A7BD-4831-9DE4-7997F520A244}"/>
    <cellStyle name="SAPBEXfilterItem 7 2 2" xfId="1955" xr:uid="{630CF465-5EFD-40BB-8A71-1B5CF2DFC984}"/>
    <cellStyle name="SAPBEXfilterItem 7 3" xfId="1956" xr:uid="{2303FD6F-0687-41C5-AE90-91AE9CA51FDE}"/>
    <cellStyle name="SAPBEXfilterItem 8" xfId="1957" xr:uid="{C7B87097-0BC3-4EDA-9F94-1A3A22C09CCC}"/>
    <cellStyle name="SAPBEXfilterItem 8 2" xfId="1958" xr:uid="{8A8FDDF1-9B5C-438E-8647-E798CAF9AC2D}"/>
    <cellStyle name="SAPBEXfilterItem 8 2 2" xfId="1959" xr:uid="{7E7BEB67-022C-4AFF-948C-17FD681F7989}"/>
    <cellStyle name="SAPBEXfilterItem 8 3" xfId="1960" xr:uid="{78C09914-F4AC-4396-89A9-950DE57D3B2F}"/>
    <cellStyle name="SAPBEXfilterItem 9" xfId="1961" xr:uid="{560F68F3-AB0B-450E-AB4F-6A3451F885CE}"/>
    <cellStyle name="SAPBEXfilterItem 9 2" xfId="1962" xr:uid="{C28BDE41-E2A8-4A55-91E2-43FFCC8C4262}"/>
    <cellStyle name="SAPBEXfilterItem 9 2 2" xfId="1963" xr:uid="{E7F59FEA-94D8-48AE-8B14-C60A845AAC00}"/>
    <cellStyle name="SAPBEXfilterItem 9 3" xfId="1964" xr:uid="{BCC09F77-E560-4D70-AA5F-B3917DBD47CF}"/>
    <cellStyle name="SAPBEXfilterItem_(B) R&amp;M" xfId="1965" xr:uid="{8E971610-4B58-4293-9208-E5C3ED456A85}"/>
    <cellStyle name="SAPBEXfilterText" xfId="1966" xr:uid="{9D61AFBC-DC9D-4DFB-BB35-5922B8176254}"/>
    <cellStyle name="SAPBEXfilterText 10" xfId="1967" xr:uid="{40AAE207-FF07-4523-8E5A-855C831CC001}"/>
    <cellStyle name="SAPBEXfilterText 11" xfId="1968" xr:uid="{DA0DC264-65B5-4957-AB75-A9E951ADB066}"/>
    <cellStyle name="SAPBEXfilterText 12" xfId="1969" xr:uid="{6BF2B887-2DE2-44B1-9123-9897AFCB2608}"/>
    <cellStyle name="SAPBEXfilterText 13" xfId="1970" xr:uid="{D4FAC7EC-FFB2-4B95-87AF-4262224C8A2C}"/>
    <cellStyle name="SAPBEXfilterText 14" xfId="1971" xr:uid="{824BA089-385E-4D74-A813-F8A80A4112BE}"/>
    <cellStyle name="SAPBEXfilterText 15" xfId="1972" xr:uid="{06C6DFA1-E7D4-4467-B9C0-9BAF34392C1C}"/>
    <cellStyle name="SAPBEXfilterText 16" xfId="1973" xr:uid="{D4D4DEE8-F56D-4BAB-A61D-811ED119EEC0}"/>
    <cellStyle name="SAPBEXfilterText 17" xfId="1974" xr:uid="{3D3ED708-2446-449B-B352-992727C834D7}"/>
    <cellStyle name="SAPBEXfilterText 18" xfId="1975" xr:uid="{F2F61FE0-3F9C-4804-87F3-396D2C4EBFE9}"/>
    <cellStyle name="SAPBEXfilterText 18 2" xfId="1976" xr:uid="{A509DF37-51C9-4AAB-B4AC-8E7662432181}"/>
    <cellStyle name="SAPBEXfilterText 2" xfId="1977" xr:uid="{6ED44F1D-EBE4-4E83-AFDF-1B2155FB0536}"/>
    <cellStyle name="SAPBEXfilterText 3" xfId="1978" xr:uid="{82CDC4DF-AC6D-4CCD-B2ED-6297E83732C7}"/>
    <cellStyle name="SAPBEXfilterText 4" xfId="1979" xr:uid="{1A5C1A24-4C23-4EB7-915A-967866DB970C}"/>
    <cellStyle name="SAPBEXfilterText 5" xfId="1980" xr:uid="{40ADC56E-9ADF-4B07-B660-66418E85A306}"/>
    <cellStyle name="SAPBEXfilterText 6" xfId="1981" xr:uid="{B7274D90-44D6-4582-849D-15205876178B}"/>
    <cellStyle name="SAPBEXfilterText 7" xfId="1982" xr:uid="{59F2FEA7-9D38-4F06-816A-F8A818590B78}"/>
    <cellStyle name="SAPBEXfilterText 8" xfId="1983" xr:uid="{4401A42A-19D8-47BA-90CF-E82D494665D8}"/>
    <cellStyle name="SAPBEXfilterText 9" xfId="1984" xr:uid="{35B620C9-7619-4270-A717-E2158819146D}"/>
    <cellStyle name="SAPBEXfilterText_(B) R&amp;M" xfId="1985" xr:uid="{7EA1DEA3-66BA-48E9-90F6-9C32FA9FB9BE}"/>
    <cellStyle name="SAPBEXformats" xfId="1986" xr:uid="{72F72474-F3DD-41A3-8C1F-4872FA0B09B4}"/>
    <cellStyle name="SAPBEXformats 10" xfId="1987" xr:uid="{AE61F06A-6A0D-4144-833A-868AAB073C54}"/>
    <cellStyle name="SAPBEXformats 10 2" xfId="1988" xr:uid="{B16AD8E6-314B-4CC2-8605-5A4232BC7F8F}"/>
    <cellStyle name="SAPBEXformats 10 2 2" xfId="1989" xr:uid="{ABEA9830-A755-446F-ACBE-7CD4267FCA45}"/>
    <cellStyle name="SAPBEXformats 10 3" xfId="1990" xr:uid="{85034AE6-7F03-42C8-AE6B-EB7FCF8A6375}"/>
    <cellStyle name="SAPBEXformats 11" xfId="1991" xr:uid="{F9D583FC-1DB3-4188-9F80-226F0BE268BF}"/>
    <cellStyle name="SAPBEXformats 11 2" xfId="1992" xr:uid="{11046987-1594-4232-8E36-BA873E8757D5}"/>
    <cellStyle name="SAPBEXformats 11 2 2" xfId="1993" xr:uid="{A408356F-9BC8-49E6-986E-AD02DFAD79AB}"/>
    <cellStyle name="SAPBEXformats 11 3" xfId="1994" xr:uid="{7B467546-B368-4B6D-8159-5EC886708EF2}"/>
    <cellStyle name="SAPBEXformats 12" xfId="1995" xr:uid="{55174A92-7C5B-460E-9AF2-C9F40D1ADC30}"/>
    <cellStyle name="SAPBEXformats 12 2" xfId="1996" xr:uid="{EE9A3823-D29F-454F-8844-A963A4603AFB}"/>
    <cellStyle name="SAPBEXformats 12 2 2" xfId="1997" xr:uid="{6A8D6352-D9A9-42E5-A7D7-CB6181274A94}"/>
    <cellStyle name="SAPBEXformats 12 3" xfId="1998" xr:uid="{F65B9C6A-DCB5-4C29-8955-49034219D651}"/>
    <cellStyle name="SAPBEXformats 13" xfId="1999" xr:uid="{13F17342-7F60-4754-96E5-9F8BB85404B9}"/>
    <cellStyle name="SAPBEXformats 13 2" xfId="2000" xr:uid="{F0BA1C9A-0623-4593-A2FE-1EE3F20F5C3A}"/>
    <cellStyle name="SAPBEXformats 13 2 2" xfId="2001" xr:uid="{CA07B79C-E2CD-4336-830F-5477A672A505}"/>
    <cellStyle name="SAPBEXformats 13 3" xfId="2002" xr:uid="{188BA663-125B-431E-B4FD-902B014693FF}"/>
    <cellStyle name="SAPBEXformats 14" xfId="2003" xr:uid="{04735D69-0F0B-4430-91F0-5937A5A6B13D}"/>
    <cellStyle name="SAPBEXformats 14 2" xfId="2004" xr:uid="{CEB8FE73-ADA4-437D-83E3-C8BDC843FFD4}"/>
    <cellStyle name="SAPBEXformats 14 2 2" xfId="2005" xr:uid="{8860E283-369C-4421-AB6C-BEB9049B3F14}"/>
    <cellStyle name="SAPBEXformats 14 3" xfId="2006" xr:uid="{03A7E8FE-CD67-4B7A-81F1-26143AAC91C3}"/>
    <cellStyle name="SAPBEXformats 15" xfId="2007" xr:uid="{53ADF662-FCAE-4860-9B82-24A757720249}"/>
    <cellStyle name="SAPBEXformats 15 2" xfId="2008" xr:uid="{0A34A2F7-D013-4BBA-8D5B-D06D3E20FC14}"/>
    <cellStyle name="SAPBEXformats 15 2 2" xfId="2009" xr:uid="{716AF030-F9AA-4C0E-BBD4-F0DB217752E3}"/>
    <cellStyle name="SAPBEXformats 15 3" xfId="2010" xr:uid="{15EAD545-AB3D-49FE-9D5F-8B349D6F17AE}"/>
    <cellStyle name="SAPBEXformats 16" xfId="2011" xr:uid="{A2F84166-708C-40DC-9879-19CD7956A133}"/>
    <cellStyle name="SAPBEXformats 16 2" xfId="2012" xr:uid="{81CE810C-DCF7-49AE-B483-81FADB844841}"/>
    <cellStyle name="SAPBEXformats 16 2 2" xfId="2013" xr:uid="{8DD7E443-9CB5-4531-A61C-07B5354B35DB}"/>
    <cellStyle name="SAPBEXformats 16 3" xfId="2014" xr:uid="{A98AAFFF-CF65-4199-8C70-2357E457A33A}"/>
    <cellStyle name="SAPBEXformats 17" xfId="2015" xr:uid="{8FEC011A-3EFC-4091-BAD3-24A9721C94F3}"/>
    <cellStyle name="SAPBEXformats 17 2" xfId="2016" xr:uid="{4E0405ED-0E4F-46BA-A963-A5B8A0324D95}"/>
    <cellStyle name="SAPBEXformats 17 2 2" xfId="2017" xr:uid="{A3658491-12B0-494F-98BF-0C4E0AD33459}"/>
    <cellStyle name="SAPBEXformats 17 3" xfId="2018" xr:uid="{8C9B1888-E90E-4FA4-99C9-2C6C954FAED5}"/>
    <cellStyle name="SAPBEXformats 18" xfId="2019" xr:uid="{CC3956F9-AB19-45FF-B493-01D52C539138}"/>
    <cellStyle name="SAPBEXformats 18 2" xfId="2020" xr:uid="{C51B38E2-3724-46D5-A8F0-24DBF102836F}"/>
    <cellStyle name="SAPBEXformats 2" xfId="2021" xr:uid="{F01E9677-D03D-438E-85A9-18A3E6C9EABF}"/>
    <cellStyle name="SAPBEXformats 2 2" xfId="2022" xr:uid="{4EBF1CA3-7C2C-4F5F-A87A-E5F70164B067}"/>
    <cellStyle name="SAPBEXformats 2 2 2" xfId="2023" xr:uid="{293994BF-928D-4AD4-88D4-6CDD8639317E}"/>
    <cellStyle name="SAPBEXformats 2 3" xfId="2024" xr:uid="{B8BEC4F5-FE46-405F-889B-A562CCE8C90C}"/>
    <cellStyle name="SAPBEXformats 3" xfId="2025" xr:uid="{8EB642B3-66AB-4850-9429-B3FCB59416F7}"/>
    <cellStyle name="SAPBEXformats 3 2" xfId="2026" xr:uid="{0555CBFA-7DCF-4E36-BC07-18E58407BADC}"/>
    <cellStyle name="SAPBEXformats 3 2 2" xfId="2027" xr:uid="{B676734A-419C-49EB-8E5D-B6AF79DEC41E}"/>
    <cellStyle name="SAPBEXformats 3 3" xfId="2028" xr:uid="{941D705F-31EA-4A07-98B1-CB328AD0ED4C}"/>
    <cellStyle name="SAPBEXformats 4" xfId="2029" xr:uid="{C5CA6792-F72E-4C36-B7EE-2C45E0FB467E}"/>
    <cellStyle name="SAPBEXformats 4 2" xfId="2030" xr:uid="{A5A51AEF-7AB6-47BE-BC77-AACCB695C95C}"/>
    <cellStyle name="SAPBEXformats 4 2 2" xfId="2031" xr:uid="{DE170C62-261F-4B81-92EC-44E7BC978787}"/>
    <cellStyle name="SAPBEXformats 4 3" xfId="2032" xr:uid="{25FA60FB-8FFB-419D-96D1-7CF014D1C249}"/>
    <cellStyle name="SAPBEXformats 5" xfId="2033" xr:uid="{3297D9AB-C860-4C7A-8D57-3A3061EB5A33}"/>
    <cellStyle name="SAPBEXformats 5 2" xfId="2034" xr:uid="{ED2FFA6D-5EBC-4300-92DB-1528B1AEE7BB}"/>
    <cellStyle name="SAPBEXformats 5 2 2" xfId="2035" xr:uid="{A71F4ACC-85CE-4FD4-96A2-34B122FDEF99}"/>
    <cellStyle name="SAPBEXformats 5 3" xfId="2036" xr:uid="{D0DC3C1C-813A-4EF4-9ED8-CBBF8D541BAC}"/>
    <cellStyle name="SAPBEXformats 6" xfId="2037" xr:uid="{72A3455A-FAE1-4304-B868-32D91452ED39}"/>
    <cellStyle name="SAPBEXformats 6 2" xfId="2038" xr:uid="{0FBCC6A3-2F72-4ABD-A0A8-92071E4BCE61}"/>
    <cellStyle name="SAPBEXformats 6 2 2" xfId="2039" xr:uid="{FEBBC2F2-0901-4F26-AD33-5371F78D18DE}"/>
    <cellStyle name="SAPBEXformats 6 3" xfId="2040" xr:uid="{90AA2EE9-5406-498A-9A94-D7005AD2F9C4}"/>
    <cellStyle name="SAPBEXformats 7" xfId="2041" xr:uid="{E1912442-81B1-4138-8839-98F0849B9A56}"/>
    <cellStyle name="SAPBEXformats 7 2" xfId="2042" xr:uid="{06063BD5-0753-40DA-BCCF-F38B0765AAA5}"/>
    <cellStyle name="SAPBEXformats 7 2 2" xfId="2043" xr:uid="{ED631A6E-D371-4636-8B79-55C256B10ABE}"/>
    <cellStyle name="SAPBEXformats 7 3" xfId="2044" xr:uid="{A6855BDD-2CD3-4DE3-A046-870E803B9136}"/>
    <cellStyle name="SAPBEXformats 8" xfId="2045" xr:uid="{6664A236-D075-41B0-A24F-C80DAB86FA74}"/>
    <cellStyle name="SAPBEXformats 8 2" xfId="2046" xr:uid="{4949300C-2D47-4CFE-B3E7-B1D69420B1EA}"/>
    <cellStyle name="SAPBEXformats 8 2 2" xfId="2047" xr:uid="{60CF84C0-ADC2-4154-940E-41143E245876}"/>
    <cellStyle name="SAPBEXformats 8 3" xfId="2048" xr:uid="{D8E07833-3AA4-4A12-A76A-69CF5A27C733}"/>
    <cellStyle name="SAPBEXformats 9" xfId="2049" xr:uid="{154DFE0A-74F3-4908-999C-A7DAD7E93EA7}"/>
    <cellStyle name="SAPBEXformats 9 2" xfId="2050" xr:uid="{9BD137D4-8F68-4396-BAD3-392F2FE7FD83}"/>
    <cellStyle name="SAPBEXformats 9 2 2" xfId="2051" xr:uid="{276B525E-F26C-431D-8628-B949E7ECC550}"/>
    <cellStyle name="SAPBEXformats 9 3" xfId="2052" xr:uid="{C36DF0F4-FD38-4AD1-9B3B-51BA69ECBE04}"/>
    <cellStyle name="SAPBEXformats_(B) R&amp;M" xfId="2053" xr:uid="{584E2253-399F-4915-88A9-04C869A6A513}"/>
    <cellStyle name="SAPBEXheaderItem" xfId="2054" xr:uid="{A3D2CE1D-4676-430A-8B96-344790F4E827}"/>
    <cellStyle name="SAPBEXheaderItem 10" xfId="2055" xr:uid="{CB626B9C-84B4-4F3F-8B9D-307050C4930A}"/>
    <cellStyle name="SAPBEXheaderItem 10 2" xfId="2056" xr:uid="{A023F93E-B9F0-4184-B493-94E6D5E978D9}"/>
    <cellStyle name="SAPBEXheaderItem 11" xfId="2057" xr:uid="{BFAC0AC6-A06B-4FE0-A2C0-E9977D61B0CD}"/>
    <cellStyle name="SAPBEXheaderItem 11 2" xfId="2058" xr:uid="{EC3A1463-1BD3-4A8B-B432-BF57BDC1BC90}"/>
    <cellStyle name="SAPBEXheaderItem 12" xfId="2059" xr:uid="{7A1AD1B2-3BC0-4705-925A-53CC2B5D956E}"/>
    <cellStyle name="SAPBEXheaderItem 12 2" xfId="2060" xr:uid="{9EBF6E41-FB0D-46D8-8416-6A81AEB482BB}"/>
    <cellStyle name="SAPBEXheaderItem 13" xfId="2061" xr:uid="{12A017A2-2D95-45FF-A66C-B51DD1C5895E}"/>
    <cellStyle name="SAPBEXheaderItem 13 2" xfId="2062" xr:uid="{46CCB8E7-74C7-46CD-99F7-CF680E023B80}"/>
    <cellStyle name="SAPBEXheaderItem 14" xfId="2063" xr:uid="{64F0A935-BB9E-4D86-88C9-2CD01AD8D9E3}"/>
    <cellStyle name="SAPBEXheaderItem 14 2" xfId="2064" xr:uid="{92F5F1A4-B4D0-43BA-ACE1-7F98617B0893}"/>
    <cellStyle name="SAPBEXheaderItem 15" xfId="2065" xr:uid="{69C26693-ED65-474D-BB46-707F068AD2C8}"/>
    <cellStyle name="SAPBEXheaderItem 15 2" xfId="2066" xr:uid="{04FDF4E3-63EB-4AC9-83B2-FA4AB1B70630}"/>
    <cellStyle name="SAPBEXheaderItem 16" xfId="2067" xr:uid="{E90FA89F-B83B-4155-B971-5B8C95A378C3}"/>
    <cellStyle name="SAPBEXheaderItem 16 2" xfId="2068" xr:uid="{005EA7F6-9683-46B5-8BFE-C5DC7127F56A}"/>
    <cellStyle name="SAPBEXheaderItem 17" xfId="2069" xr:uid="{87563CDC-4380-47AF-B6C4-F0B14A55E211}"/>
    <cellStyle name="SAPBEXheaderItem 17 2" xfId="2070" xr:uid="{B7A52DF9-D1E0-4D81-9282-ADDA343AAB59}"/>
    <cellStyle name="SAPBEXheaderItem 18" xfId="2071" xr:uid="{65F8BAA7-9349-4115-A735-BAEA3024786C}"/>
    <cellStyle name="SAPBEXheaderItem 18 2" xfId="2072" xr:uid="{2B4F146D-9528-4BE8-A781-520F2FF00C0C}"/>
    <cellStyle name="SAPBEXheaderItem 19" xfId="2073" xr:uid="{370B948D-432B-4F13-98C5-619EF31BAD68}"/>
    <cellStyle name="SAPBEXheaderItem 2" xfId="2074" xr:uid="{AE647F76-6265-4DC5-836B-D72104F2FA79}"/>
    <cellStyle name="SAPBEXheaderItem 2 2" xfId="2075" xr:uid="{24241100-378C-41F1-89BF-4D4E8C18BFD2}"/>
    <cellStyle name="SAPBEXheaderItem 3" xfId="2076" xr:uid="{DDF0D5F7-5929-4DD0-BF8D-603BFB1DF9E4}"/>
    <cellStyle name="SAPBEXheaderItem 3 2" xfId="2077" xr:uid="{1ED9CFAF-DC62-4A40-A400-4FFC5E7D0CC9}"/>
    <cellStyle name="SAPBEXheaderItem 4" xfId="2078" xr:uid="{F33B3921-4A07-475D-938E-2AF37D1A89CB}"/>
    <cellStyle name="SAPBEXheaderItem 4 2" xfId="2079" xr:uid="{D1FD4C1F-46A4-45C0-88A2-93F59004C2E7}"/>
    <cellStyle name="SAPBEXheaderItem 5" xfId="2080" xr:uid="{C675EEC6-87C0-44E4-90BF-DB86D23D9503}"/>
    <cellStyle name="SAPBEXheaderItem 5 2" xfId="2081" xr:uid="{6AD3BE69-447C-4C07-8890-1A54CEFDF4B6}"/>
    <cellStyle name="SAPBEXheaderItem 6" xfId="2082" xr:uid="{84805709-6695-49E7-A3C3-8E5B852BEA62}"/>
    <cellStyle name="SAPBEXheaderItem 6 2" xfId="2083" xr:uid="{6B0E956B-C438-41A1-B3EF-7944E01B402A}"/>
    <cellStyle name="SAPBEXheaderItem 7" xfId="2084" xr:uid="{A5854E7A-61F6-47FB-B8C7-7FC65B38E177}"/>
    <cellStyle name="SAPBEXheaderItem 7 2" xfId="2085" xr:uid="{6174886B-038E-462C-97CA-BFF23C51168E}"/>
    <cellStyle name="SAPBEXheaderItem 8" xfId="2086" xr:uid="{2A6D9D58-F2CF-445B-B097-74B818F520E1}"/>
    <cellStyle name="SAPBEXheaderItem 8 2" xfId="2087" xr:uid="{B6830F6E-7497-48BF-BABC-56DCEABA0546}"/>
    <cellStyle name="SAPBEXheaderItem 9" xfId="2088" xr:uid="{55EBD184-E959-4172-B836-BA5444A02D88}"/>
    <cellStyle name="SAPBEXheaderItem 9 2" xfId="2089" xr:uid="{B52B284D-95FE-4AF1-B797-C2EB8E5DFA7F}"/>
    <cellStyle name="SAPBEXheaderItem_(B) R&amp;M" xfId="2090" xr:uid="{8D243A0D-610C-4D2A-9F7C-B6963D0EA552}"/>
    <cellStyle name="SAPBEXheaderText" xfId="2091" xr:uid="{C992964D-868B-4A65-A0D3-6C5E17AEA065}"/>
    <cellStyle name="SAPBEXheaderText 10" xfId="2092" xr:uid="{569899F8-6323-4D52-AF56-68D55D677E01}"/>
    <cellStyle name="SAPBEXheaderText 10 2" xfId="2093" xr:uid="{82F0B329-C97F-41C7-8593-9B4CC0AEAB5A}"/>
    <cellStyle name="SAPBEXheaderText 11" xfId="2094" xr:uid="{2A4B16C3-0FA3-445B-A9BC-7E38815CB6B0}"/>
    <cellStyle name="SAPBEXheaderText 11 2" xfId="2095" xr:uid="{C0B7DA61-5EC7-48DF-A9DA-03A865F5C97D}"/>
    <cellStyle name="SAPBEXheaderText 12" xfId="2096" xr:uid="{93ECD22B-D915-49A0-9D77-3E48E43A6B8C}"/>
    <cellStyle name="SAPBEXheaderText 12 2" xfId="2097" xr:uid="{8FD1682B-7B4F-4155-BA6C-2548742C6422}"/>
    <cellStyle name="SAPBEXheaderText 13" xfId="2098" xr:uid="{160FEB41-65CE-4AB1-A686-897235E3E9CE}"/>
    <cellStyle name="SAPBEXheaderText 13 2" xfId="2099" xr:uid="{5B40E85A-A628-451A-8DAC-42BADB2F2619}"/>
    <cellStyle name="SAPBEXheaderText 14" xfId="2100" xr:uid="{E92A97B5-4A4C-4A17-BEE7-5F7E9F90D05E}"/>
    <cellStyle name="SAPBEXheaderText 14 2" xfId="2101" xr:uid="{B568BEA2-6A5B-48C5-A126-81703895C0E6}"/>
    <cellStyle name="SAPBEXheaderText 15" xfId="2102" xr:uid="{2FC1F544-C822-4D78-8FF3-11E872752F5D}"/>
    <cellStyle name="SAPBEXheaderText 15 2" xfId="2103" xr:uid="{2DDC13AC-549A-4CFF-BA66-57892E683962}"/>
    <cellStyle name="SAPBEXheaderText 16" xfId="2104" xr:uid="{5D6447B0-C754-4E31-8458-7476D2887C53}"/>
    <cellStyle name="SAPBEXheaderText 16 2" xfId="2105" xr:uid="{BE53AFDF-41F0-471B-8D2F-36012C4732A9}"/>
    <cellStyle name="SAPBEXheaderText 17" xfId="2106" xr:uid="{B07E0BFC-7D11-4340-8BF2-140D8F0DD47D}"/>
    <cellStyle name="SAPBEXheaderText 17 2" xfId="2107" xr:uid="{FC0BF75B-9C93-432F-BFC7-98AF9FA337E1}"/>
    <cellStyle name="SAPBEXheaderText 18" xfId="2108" xr:uid="{3941BE89-A21A-46C2-9C4F-CF7E57017CB5}"/>
    <cellStyle name="SAPBEXheaderText 18 2" xfId="2109" xr:uid="{8441A3ED-81DF-4B19-AFE7-A52398B3B6A1}"/>
    <cellStyle name="SAPBEXheaderText 19" xfId="2110" xr:uid="{C9562D8E-CE51-4B53-81E4-C49F45A18D82}"/>
    <cellStyle name="SAPBEXheaderText 2" xfId="2111" xr:uid="{2EAC89B7-E5DC-4F95-A6EA-7D128DBFA516}"/>
    <cellStyle name="SAPBEXheaderText 2 2" xfId="2112" xr:uid="{37B6D69E-1EBB-4918-926A-4C2847C84D5C}"/>
    <cellStyle name="SAPBEXheaderText 3" xfId="2113" xr:uid="{438DB482-4650-46E3-9453-5486C1411074}"/>
    <cellStyle name="SAPBEXheaderText 3 2" xfId="2114" xr:uid="{07CCAD43-F6B2-458F-8A94-7E762F232FD0}"/>
    <cellStyle name="SAPBEXheaderText 4" xfId="2115" xr:uid="{04A54742-35DB-41F1-B193-D7A43AA8503D}"/>
    <cellStyle name="SAPBEXheaderText 4 2" xfId="2116" xr:uid="{29D2A7A5-FEC8-4B78-BA1F-8862FA4F44AE}"/>
    <cellStyle name="SAPBEXheaderText 5" xfId="2117" xr:uid="{E614FC3E-F588-4085-AA35-7BCBEE2FED43}"/>
    <cellStyle name="SAPBEXheaderText 5 2" xfId="2118" xr:uid="{A3F36F28-4443-4AA9-9F73-9A6FD3FD048B}"/>
    <cellStyle name="SAPBEXheaderText 6" xfId="2119" xr:uid="{8EE01AAD-45D0-4E19-9EE8-D33342B4172A}"/>
    <cellStyle name="SAPBEXheaderText 6 2" xfId="2120" xr:uid="{42477D94-0210-4FA6-B51C-6D1559E25804}"/>
    <cellStyle name="SAPBEXheaderText 7" xfId="2121" xr:uid="{BA19931D-9EA7-4CBA-B8BC-431F6F25996E}"/>
    <cellStyle name="SAPBEXheaderText 7 2" xfId="2122" xr:uid="{4A4EFE0E-0D9F-4C6A-838A-C1DADAF54350}"/>
    <cellStyle name="SAPBEXheaderText 8" xfId="2123" xr:uid="{DF8F579C-EF6A-4840-973E-F4C1AF687D1A}"/>
    <cellStyle name="SAPBEXheaderText 8 2" xfId="2124" xr:uid="{9772493C-CEB6-4A73-806D-EE67299399D5}"/>
    <cellStyle name="SAPBEXheaderText 9" xfId="2125" xr:uid="{90F913AE-0A41-45E5-9C5C-49BA9C7D23EE}"/>
    <cellStyle name="SAPBEXheaderText 9 2" xfId="2126" xr:uid="{6805D00F-B228-456A-9624-D45552453E75}"/>
    <cellStyle name="SAPBEXheaderText_(B) R&amp;M" xfId="2127" xr:uid="{712CD2F6-C8EC-43EF-8D24-A00D7F5155D5}"/>
    <cellStyle name="SAPBEXHLevel0" xfId="2128" xr:uid="{15D060AF-96BE-4FC2-A9EC-3CD090164F2E}"/>
    <cellStyle name="SAPBEXHLevel0 10" xfId="2129" xr:uid="{75089EAC-94B0-4971-A471-3E932B4424CE}"/>
    <cellStyle name="SAPBEXHLevel0 10 2" xfId="2130" xr:uid="{551D6D4B-E037-499D-98E4-29B6F04D8D94}"/>
    <cellStyle name="SAPBEXHLevel0 10 2 2" xfId="2131" xr:uid="{2D676BAC-C6A3-47D2-982B-98AA5857E75C}"/>
    <cellStyle name="SAPBEXHLevel0 10 3" xfId="2132" xr:uid="{17CCA422-6A71-4AD7-9B3C-DB4CC6D5424B}"/>
    <cellStyle name="SAPBEXHLevel0 11" xfId="2133" xr:uid="{7E92A74A-6B8C-4E55-90E8-E1E8D1C1083F}"/>
    <cellStyle name="SAPBEXHLevel0 11 2" xfId="2134" xr:uid="{C40DD837-0157-46E4-9BAF-1F46B749EC03}"/>
    <cellStyle name="SAPBEXHLevel0 11 2 2" xfId="2135" xr:uid="{77F6BB9E-9157-4997-8443-0F1E6C6A1AC7}"/>
    <cellStyle name="SAPBEXHLevel0 11 3" xfId="2136" xr:uid="{27ACC65A-8AB3-4D99-ABE8-F96E68E8E660}"/>
    <cellStyle name="SAPBEXHLevel0 12" xfId="2137" xr:uid="{AE80B6DF-C37B-46DF-884C-5EC3178DF870}"/>
    <cellStyle name="SAPBEXHLevel0 12 2" xfId="2138" xr:uid="{DA3977FB-5EF6-41F5-90BE-C3480C3ECF4E}"/>
    <cellStyle name="SAPBEXHLevel0 12 2 2" xfId="2139" xr:uid="{088ACDD0-BAEA-429C-9E4B-02804DCECDFD}"/>
    <cellStyle name="SAPBEXHLevel0 12 3" xfId="2140" xr:uid="{0123E5AB-34CF-4F1C-939E-7B2184E41012}"/>
    <cellStyle name="SAPBEXHLevel0 13" xfId="2141" xr:uid="{6DCE4547-0A47-4A00-897C-EE651E029E37}"/>
    <cellStyle name="SAPBEXHLevel0 13 2" xfId="2142" xr:uid="{DD2CED27-BD25-457A-9B27-C055C8BB300A}"/>
    <cellStyle name="SAPBEXHLevel0 13 2 2" xfId="2143" xr:uid="{121B7B68-086E-4CEB-BB5C-8F138F516ED5}"/>
    <cellStyle name="SAPBEXHLevel0 13 3" xfId="2144" xr:uid="{5583DA4C-9624-4C69-ACEC-32F3D6684587}"/>
    <cellStyle name="SAPBEXHLevel0 14" xfId="2145" xr:uid="{9657C85F-8AA6-4093-B2DF-D838F3D9A725}"/>
    <cellStyle name="SAPBEXHLevel0 14 2" xfId="2146" xr:uid="{A3DF5A0D-0434-4A1A-A037-333B340A387B}"/>
    <cellStyle name="SAPBEXHLevel0 14 2 2" xfId="2147" xr:uid="{CB52BD06-4D94-4F3A-9280-E5EF6983958D}"/>
    <cellStyle name="SAPBEXHLevel0 14 3" xfId="2148" xr:uid="{7FDB28E0-2918-46CD-9AC0-21EF64756B1B}"/>
    <cellStyle name="SAPBEXHLevel0 15" xfId="2149" xr:uid="{374BB012-F1CB-4B83-AC0E-4C91A1C6D1D4}"/>
    <cellStyle name="SAPBEXHLevel0 15 2" xfId="2150" xr:uid="{C58C3FAD-90B3-42FD-8F34-9530753942E2}"/>
    <cellStyle name="SAPBEXHLevel0 15 2 2" xfId="2151" xr:uid="{52A704AE-2672-439F-A509-BDCA840B7348}"/>
    <cellStyle name="SAPBEXHLevel0 15 3" xfId="2152" xr:uid="{238C60A5-E4B2-417F-9B4A-CCF567BC22B2}"/>
    <cellStyle name="SAPBEXHLevel0 16" xfId="2153" xr:uid="{89D8729C-1666-4531-AFB1-0B7B81BFF9E8}"/>
    <cellStyle name="SAPBEXHLevel0 16 2" xfId="2154" xr:uid="{C9ECC4CC-3AF4-42C1-AAFE-E196C2940308}"/>
    <cellStyle name="SAPBEXHLevel0 16 2 2" xfId="2155" xr:uid="{81482819-9623-41F3-9867-C6FEB18B96AE}"/>
    <cellStyle name="SAPBEXHLevel0 16 3" xfId="2156" xr:uid="{0B62CAB6-17BA-4E7A-B29C-0B563D1847C7}"/>
    <cellStyle name="SAPBEXHLevel0 17" xfId="2157" xr:uid="{D0DAAABB-2C36-4C89-9FAB-AB68F02F29A5}"/>
    <cellStyle name="SAPBEXHLevel0 17 2" xfId="2158" xr:uid="{5A4F89E7-070F-4CD2-B4A7-9EADC659A8CF}"/>
    <cellStyle name="SAPBEXHLevel0 17 2 2" xfId="2159" xr:uid="{EAF31D04-A574-4799-A6E3-070820967550}"/>
    <cellStyle name="SAPBEXHLevel0 17 3" xfId="2160" xr:uid="{C8A3676D-4023-4332-9820-9E1EEB71F0AA}"/>
    <cellStyle name="SAPBEXHLevel0 18" xfId="2161" xr:uid="{F53A9D91-1A41-4815-A30B-56D12BE4169B}"/>
    <cellStyle name="SAPBEXHLevel0 18 2" xfId="2162" xr:uid="{C5A31463-B5F5-4529-B180-D7D4C062B639}"/>
    <cellStyle name="SAPBEXHLevel0 2" xfId="2163" xr:uid="{56F62B5C-00A9-4EAF-B004-5CE2783CBFA3}"/>
    <cellStyle name="SAPBEXHLevel0 2 2" xfId="2164" xr:uid="{85D1E3C4-462A-4D63-AC0A-E8FBDD25A4B7}"/>
    <cellStyle name="SAPBEXHLevel0 2 2 2" xfId="2165" xr:uid="{72C87232-8A61-4201-9BBC-6E7354730210}"/>
    <cellStyle name="SAPBEXHLevel0 2 3" xfId="2166" xr:uid="{8FD38A54-B423-4BEE-AD63-201C56C3E21F}"/>
    <cellStyle name="SAPBEXHLevel0 3" xfId="2167" xr:uid="{79BA738E-6A7E-4F8A-87EA-0BA373799E26}"/>
    <cellStyle name="SAPBEXHLevel0 3 2" xfId="2168" xr:uid="{4CB54A13-89A8-4045-9003-DB9907CC1DFB}"/>
    <cellStyle name="SAPBEXHLevel0 3 2 2" xfId="2169" xr:uid="{2F3D1B2C-4C49-4E32-8DB0-4216FE798166}"/>
    <cellStyle name="SAPBEXHLevel0 3 3" xfId="2170" xr:uid="{32FC5B32-0D0B-46E7-AF8A-58343017DA39}"/>
    <cellStyle name="SAPBEXHLevel0 4" xfId="2171" xr:uid="{C23E9421-1B94-4AFC-A560-ED08FAF7AE8E}"/>
    <cellStyle name="SAPBEXHLevel0 4 2" xfId="2172" xr:uid="{17B6D643-4174-4CDA-98D5-0B127BD0F763}"/>
    <cellStyle name="SAPBEXHLevel0 4 2 2" xfId="2173" xr:uid="{289376DD-B9F8-4117-BF85-BAE8A98D0AEE}"/>
    <cellStyle name="SAPBEXHLevel0 4 3" xfId="2174" xr:uid="{A91A20EB-C52D-402D-802F-9AD60E29AC63}"/>
    <cellStyle name="SAPBEXHLevel0 5" xfId="2175" xr:uid="{D66D45BD-088F-4362-A503-D02412B9C1B6}"/>
    <cellStyle name="SAPBEXHLevel0 5 2" xfId="2176" xr:uid="{D5EC7328-9726-4924-8994-43C8D643356D}"/>
    <cellStyle name="SAPBEXHLevel0 5 2 2" xfId="2177" xr:uid="{A41A9CEA-1934-4DDE-9A82-3BDCAAEEE246}"/>
    <cellStyle name="SAPBEXHLevel0 5 3" xfId="2178" xr:uid="{8C453131-9D16-4FCB-899D-1FC4D3758EBE}"/>
    <cellStyle name="SAPBEXHLevel0 6" xfId="2179" xr:uid="{985B6EBA-378B-434B-A578-99C3EBCCCCD6}"/>
    <cellStyle name="SAPBEXHLevel0 6 2" xfId="2180" xr:uid="{3E1B5E8F-A0F1-492D-B97E-24A31235DA01}"/>
    <cellStyle name="SAPBEXHLevel0 6 2 2" xfId="2181" xr:uid="{0B272B30-4264-475D-AB55-B560F1ECE558}"/>
    <cellStyle name="SAPBEXHLevel0 6 3" xfId="2182" xr:uid="{DAAE501B-2532-4CA1-B278-DF3DBA5E4475}"/>
    <cellStyle name="SAPBEXHLevel0 7" xfId="2183" xr:uid="{FC9A3552-1E9D-4208-BA9B-1BC18DA61AAF}"/>
    <cellStyle name="SAPBEXHLevel0 7 2" xfId="2184" xr:uid="{A5F75D8E-9B23-4809-91A8-A0C40B429B07}"/>
    <cellStyle name="SAPBEXHLevel0 7 2 2" xfId="2185" xr:uid="{8B8FBB63-EBE2-41A7-B0D3-EE46219B73A3}"/>
    <cellStyle name="SAPBEXHLevel0 7 3" xfId="2186" xr:uid="{E702A6E6-C824-455E-908E-5462DA6C55A2}"/>
    <cellStyle name="SAPBEXHLevel0 8" xfId="2187" xr:uid="{75FA1D68-8217-48B8-8B9B-2BAB47EDED1A}"/>
    <cellStyle name="SAPBEXHLevel0 8 2" xfId="2188" xr:uid="{A4AD80A3-05BC-4836-87D8-4F2D3444E405}"/>
    <cellStyle name="SAPBEXHLevel0 8 2 2" xfId="2189" xr:uid="{76C32F83-3025-4FB3-B8DD-FF1C1878D2F5}"/>
    <cellStyle name="SAPBEXHLevel0 8 3" xfId="2190" xr:uid="{94B0BEC7-BF63-4645-9EAB-097A747FE090}"/>
    <cellStyle name="SAPBEXHLevel0 9" xfId="2191" xr:uid="{C737636A-4DB8-48A9-A038-414B8A1401ED}"/>
    <cellStyle name="SAPBEXHLevel0 9 2" xfId="2192" xr:uid="{76FDA270-949E-4887-93C8-153866BA91A0}"/>
    <cellStyle name="SAPBEXHLevel0 9 2 2" xfId="2193" xr:uid="{3B157CAF-3C82-4B46-8411-9B19D5485721}"/>
    <cellStyle name="SAPBEXHLevel0 9 3" xfId="2194" xr:uid="{9C4C8A15-3E5F-455B-94FD-3CCC6DDA6C80}"/>
    <cellStyle name="SAPBEXHLevel0_(B) R&amp;M" xfId="2195" xr:uid="{CAB5A0AA-5757-4F08-B936-5F96B145EA57}"/>
    <cellStyle name="SAPBEXHLevel0X" xfId="2196" xr:uid="{A35B9F2F-089B-42E5-91E6-E275B217223C}"/>
    <cellStyle name="SAPBEXHLevel0X 10" xfId="2197" xr:uid="{502D3605-ECF0-434C-9D4D-20433C54F01B}"/>
    <cellStyle name="SAPBEXHLevel0X 10 2" xfId="2198" xr:uid="{50967462-3468-4961-8FFC-289359F20F0C}"/>
    <cellStyle name="SAPBEXHLevel0X 10 2 2" xfId="2199" xr:uid="{C4085B6A-7F07-4942-95C6-69E62751A19C}"/>
    <cellStyle name="SAPBEXHLevel0X 10 3" xfId="2200" xr:uid="{C9BCEDD3-8B23-48A9-A4CE-BAC0436E2DAC}"/>
    <cellStyle name="SAPBEXHLevel0X 11" xfId="2201" xr:uid="{5FD3CE48-3682-44D8-BBF7-7717D7D67F29}"/>
    <cellStyle name="SAPBEXHLevel0X 11 2" xfId="2202" xr:uid="{A62E12A2-C688-4319-8025-D48F8431BA25}"/>
    <cellStyle name="SAPBEXHLevel0X 11 2 2" xfId="2203" xr:uid="{2C8A4D41-72D3-4B04-A50F-0B12D5F6EFA1}"/>
    <cellStyle name="SAPBEXHLevel0X 11 3" xfId="2204" xr:uid="{67461631-C4AD-4442-81BE-0E71F0DF12C2}"/>
    <cellStyle name="SAPBEXHLevel0X 12" xfId="2205" xr:uid="{5547E1B5-1F0E-423A-BB61-BC5FD7EF7442}"/>
    <cellStyle name="SAPBEXHLevel0X 12 2" xfId="2206" xr:uid="{B39FFB43-DAED-4AE3-8BF5-68CF083489C2}"/>
    <cellStyle name="SAPBEXHLevel0X 12 2 2" xfId="2207" xr:uid="{55AE5EC5-4AEA-4B02-940D-087A3ABBBBE0}"/>
    <cellStyle name="SAPBEXHLevel0X 12 3" xfId="2208" xr:uid="{52290713-D96B-45D6-82A4-08F9DD4A5CB1}"/>
    <cellStyle name="SAPBEXHLevel0X 13" xfId="2209" xr:uid="{507DCBE6-3D10-4F4F-AA9F-AA5AACAD3465}"/>
    <cellStyle name="SAPBEXHLevel0X 13 2" xfId="2210" xr:uid="{636385EE-F283-4A91-81C2-5479E225BD86}"/>
    <cellStyle name="SAPBEXHLevel0X 13 2 2" xfId="2211" xr:uid="{EAC01D85-B74E-4CE5-9089-CAF576727C86}"/>
    <cellStyle name="SAPBEXHLevel0X 13 3" xfId="2212" xr:uid="{2CCA5D76-0444-4F67-B499-97C2EFCB3328}"/>
    <cellStyle name="SAPBEXHLevel0X 14" xfId="2213" xr:uid="{D1EF45BD-BD5C-4E87-93F2-1CAA91B31EC6}"/>
    <cellStyle name="SAPBEXHLevel0X 14 2" xfId="2214" xr:uid="{46D92BB9-7CCE-41B5-91F9-F61BAF09ADB3}"/>
    <cellStyle name="SAPBEXHLevel0X 14 2 2" xfId="2215" xr:uid="{1A57A9D0-19C3-466E-BD32-77ABE3B691EC}"/>
    <cellStyle name="SAPBEXHLevel0X 14 3" xfId="2216" xr:uid="{7C9E9522-BCAC-4109-B94C-3155A79371E0}"/>
    <cellStyle name="SAPBEXHLevel0X 15" xfId="2217" xr:uid="{BAC52F13-7EAB-4334-8EC7-95E486F46C67}"/>
    <cellStyle name="SAPBEXHLevel0X 15 2" xfId="2218" xr:uid="{A11B8664-A989-4DA1-A578-9C62F639A22B}"/>
    <cellStyle name="SAPBEXHLevel0X 15 2 2" xfId="2219" xr:uid="{3EA4365B-D278-4C92-8B86-D74140DFE3C3}"/>
    <cellStyle name="SAPBEXHLevel0X 15 3" xfId="2220" xr:uid="{42D32999-4046-4208-B097-99EECB014DD9}"/>
    <cellStyle name="SAPBEXHLevel0X 16" xfId="2221" xr:uid="{C39709AF-D2A8-4E7A-AD9D-AA6C03003C10}"/>
    <cellStyle name="SAPBEXHLevel0X 16 2" xfId="2222" xr:uid="{E47D0E07-6DA9-474D-927B-3D4007BF9895}"/>
    <cellStyle name="SAPBEXHLevel0X 16 2 2" xfId="2223" xr:uid="{DD60AEFC-623E-4D50-A2DD-9CD919020B59}"/>
    <cellStyle name="SAPBEXHLevel0X 16 3" xfId="2224" xr:uid="{1896D5B3-24DD-4656-8746-9FFD3D16C681}"/>
    <cellStyle name="SAPBEXHLevel0X 17" xfId="2225" xr:uid="{17EAB0D1-C2D2-4112-A2FD-072268874C44}"/>
    <cellStyle name="SAPBEXHLevel0X 17 2" xfId="2226" xr:uid="{88C66D94-5A21-4B8B-B0A1-9469B357998F}"/>
    <cellStyle name="SAPBEXHLevel0X 17 2 2" xfId="2227" xr:uid="{D1401E56-CB05-4C9E-A772-ED5D34892BC9}"/>
    <cellStyle name="SAPBEXHLevel0X 17 3" xfId="2228" xr:uid="{38A8A0BF-6B68-495C-BE0E-C612E442FC87}"/>
    <cellStyle name="SAPBEXHLevel0X 18" xfId="2229" xr:uid="{D8782292-083C-4657-B4E1-361455C3258D}"/>
    <cellStyle name="SAPBEXHLevel0X 18 2" xfId="2230" xr:uid="{AEA10A68-E0A8-428A-B634-0994EFD0C9F5}"/>
    <cellStyle name="SAPBEXHLevel0X 2" xfId="2231" xr:uid="{09A26CFD-3FE7-44C6-88B6-9B7608E90EF6}"/>
    <cellStyle name="SAPBEXHLevel0X 2 2" xfId="2232" xr:uid="{C0BCBB79-8F48-4598-81B7-1AF0C5EFD85D}"/>
    <cellStyle name="SAPBEXHLevel0X 2 2 2" xfId="2233" xr:uid="{88DB4A80-E94A-4AF0-A9F2-BF0885D62BD0}"/>
    <cellStyle name="SAPBEXHLevel0X 2 3" xfId="2234" xr:uid="{7DD7F521-81E6-4D05-B673-E998B04CC17F}"/>
    <cellStyle name="SAPBEXHLevel0X 3" xfId="2235" xr:uid="{A0DAFA21-AB7D-48EE-9A93-2EC84320B9F9}"/>
    <cellStyle name="SAPBEXHLevel0X 3 2" xfId="2236" xr:uid="{26AD0423-CA13-4C26-BF4D-4672FAF84C2C}"/>
    <cellStyle name="SAPBEXHLevel0X 3 2 2" xfId="2237" xr:uid="{C70B8309-0ABD-44B7-AA2B-DD25A06F34BC}"/>
    <cellStyle name="SAPBEXHLevel0X 3 3" xfId="2238" xr:uid="{141250C5-CFFD-4FF8-8BD0-EE951F5617C4}"/>
    <cellStyle name="SAPBEXHLevel0X 4" xfId="2239" xr:uid="{4F3F521F-2691-4775-8A59-106E47D91FE6}"/>
    <cellStyle name="SAPBEXHLevel0X 4 2" xfId="2240" xr:uid="{4D09F5D5-A111-475F-91D3-38E05AC01A90}"/>
    <cellStyle name="SAPBEXHLevel0X 4 2 2" xfId="2241" xr:uid="{07E09909-2D5D-462D-B07C-E5BC3CD0414E}"/>
    <cellStyle name="SAPBEXHLevel0X 4 3" xfId="2242" xr:uid="{313650B2-969F-4C28-9112-507833E19966}"/>
    <cellStyle name="SAPBEXHLevel0X 5" xfId="2243" xr:uid="{67339C5F-859D-497B-849F-6D83DBE21B0D}"/>
    <cellStyle name="SAPBEXHLevel0X 5 2" xfId="2244" xr:uid="{BD301D25-791B-4E2E-A399-D07B17D98FDB}"/>
    <cellStyle name="SAPBEXHLevel0X 5 2 2" xfId="2245" xr:uid="{B4B4A78F-95DC-43F3-8CFD-7BDF33CCD05E}"/>
    <cellStyle name="SAPBEXHLevel0X 5 3" xfId="2246" xr:uid="{444DAE24-5B94-4D9E-BEE4-FCE82E615B2E}"/>
    <cellStyle name="SAPBEXHLevel0X 6" xfId="2247" xr:uid="{20C04E77-C21A-4A4B-9E1C-D956D187F065}"/>
    <cellStyle name="SAPBEXHLevel0X 6 2" xfId="2248" xr:uid="{B88D3F41-DBEB-414A-9795-FE3E052836E0}"/>
    <cellStyle name="SAPBEXHLevel0X 6 2 2" xfId="2249" xr:uid="{9C9B6464-89A5-4A17-8D1D-CA82437BF63F}"/>
    <cellStyle name="SAPBEXHLevel0X 6 3" xfId="2250" xr:uid="{69E60E0A-6195-4062-81D3-55D1CEF3C99B}"/>
    <cellStyle name="SAPBEXHLevel0X 7" xfId="2251" xr:uid="{8F5CA7F4-FC87-41D6-9D01-9EA946D3D92E}"/>
    <cellStyle name="SAPBEXHLevel0X 7 2" xfId="2252" xr:uid="{03E7DDE9-E12B-4B85-93A3-049B2809BE73}"/>
    <cellStyle name="SAPBEXHLevel0X 7 2 2" xfId="2253" xr:uid="{D448452F-7161-4C72-8399-734250FC4CE8}"/>
    <cellStyle name="SAPBEXHLevel0X 7 3" xfId="2254" xr:uid="{8D027ADD-1A5F-4730-845E-5D07A4E38E2E}"/>
    <cellStyle name="SAPBEXHLevel0X 8" xfId="2255" xr:uid="{D4E4D501-B765-498A-A2F2-892253121F97}"/>
    <cellStyle name="SAPBEXHLevel0X 8 2" xfId="2256" xr:uid="{96E56B34-3C27-4F45-829D-B06DF0554ACF}"/>
    <cellStyle name="SAPBEXHLevel0X 8 2 2" xfId="2257" xr:uid="{F64C9FBC-4A9D-4750-B8DC-D9BBEF04345B}"/>
    <cellStyle name="SAPBEXHLevel0X 8 3" xfId="2258" xr:uid="{C506D628-4F7E-408C-BE67-54FC5D55CBF6}"/>
    <cellStyle name="SAPBEXHLevel0X 9" xfId="2259" xr:uid="{71DC83CC-8B41-492F-A85B-F215D2C0BC5B}"/>
    <cellStyle name="SAPBEXHLevel0X 9 2" xfId="2260" xr:uid="{BD879BC9-B834-4E07-B4C5-AF59AED9DA29}"/>
    <cellStyle name="SAPBEXHLevel0X 9 2 2" xfId="2261" xr:uid="{19574606-F9CF-449B-B3A1-94377C87001E}"/>
    <cellStyle name="SAPBEXHLevel0X 9 3" xfId="2262" xr:uid="{AD92C1D6-9777-4755-AC94-021010ED7728}"/>
    <cellStyle name="SAPBEXHLevel0X_(B) R&amp;M" xfId="2263" xr:uid="{719A37DE-8008-41E3-970C-D4D76EE8FD57}"/>
    <cellStyle name="SAPBEXHLevel1" xfId="2264" xr:uid="{99AB068B-C084-4A78-89C1-01F6E005E9C4}"/>
    <cellStyle name="SAPBEXHLevel1 10" xfId="2265" xr:uid="{5B359C9B-33FD-4050-9E3C-943B4E849052}"/>
    <cellStyle name="SAPBEXHLevel1 10 2" xfId="2266" xr:uid="{15D6560E-7BD3-427E-83F7-77909930D650}"/>
    <cellStyle name="SAPBEXHLevel1 10 2 2" xfId="2267" xr:uid="{8206B2A0-F0C7-4B09-9409-8715BAD355ED}"/>
    <cellStyle name="SAPBEXHLevel1 10 3" xfId="2268" xr:uid="{AFDFC7B3-D5A0-4ED7-B466-3A7B000A34B1}"/>
    <cellStyle name="SAPBEXHLevel1 11" xfId="2269" xr:uid="{138E26D7-F0B0-47FA-BD57-FAF74076DCE1}"/>
    <cellStyle name="SAPBEXHLevel1 11 2" xfId="2270" xr:uid="{081AF976-BA45-4C5E-B35B-491DD8DAA31E}"/>
    <cellStyle name="SAPBEXHLevel1 11 2 2" xfId="2271" xr:uid="{B49DAC80-E577-4F45-9107-7D09E4D0719D}"/>
    <cellStyle name="SAPBEXHLevel1 11 3" xfId="2272" xr:uid="{C31DA1D3-C3CE-4C9C-981F-6C1CD2A4FA53}"/>
    <cellStyle name="SAPBEXHLevel1 12" xfId="2273" xr:uid="{DBD6255B-4560-461A-AB04-229D21C2BD1C}"/>
    <cellStyle name="SAPBEXHLevel1 12 2" xfId="2274" xr:uid="{D9B51091-F6A2-4F1D-93B7-F989CD168768}"/>
    <cellStyle name="SAPBEXHLevel1 12 2 2" xfId="2275" xr:uid="{07ABCAC0-CCB0-4DC5-BCF6-CA6195644BC4}"/>
    <cellStyle name="SAPBEXHLevel1 12 3" xfId="2276" xr:uid="{745D6EA7-1861-46D4-BCE3-A0C098B8D814}"/>
    <cellStyle name="SAPBEXHLevel1 13" xfId="2277" xr:uid="{4762E1D3-0FE4-4E7F-854D-1AD3B69971D6}"/>
    <cellStyle name="SAPBEXHLevel1 13 2" xfId="2278" xr:uid="{DEBA8722-3BBB-456B-AF7E-E88091249069}"/>
    <cellStyle name="SAPBEXHLevel1 13 2 2" xfId="2279" xr:uid="{49196860-3B6A-4AB8-93AC-6CF15C1FDAC3}"/>
    <cellStyle name="SAPBEXHLevel1 13 3" xfId="2280" xr:uid="{8D66FB6B-24BF-4DD5-AEF8-B81577C6BAE4}"/>
    <cellStyle name="SAPBEXHLevel1 14" xfId="2281" xr:uid="{C3AA6A06-341B-480F-B7E4-1C2A041E751B}"/>
    <cellStyle name="SAPBEXHLevel1 14 2" xfId="2282" xr:uid="{A12D662C-5852-407B-B305-3E5258505E5F}"/>
    <cellStyle name="SAPBEXHLevel1 14 2 2" xfId="2283" xr:uid="{827E34F9-5483-4BC0-B930-5D9C93EC785F}"/>
    <cellStyle name="SAPBEXHLevel1 14 3" xfId="2284" xr:uid="{7931A932-7345-4146-98C8-0C00BD1D871B}"/>
    <cellStyle name="SAPBEXHLevel1 15" xfId="2285" xr:uid="{BB8A5DDD-7091-4A18-A818-F6D2F32A75F7}"/>
    <cellStyle name="SAPBEXHLevel1 15 2" xfId="2286" xr:uid="{220F190D-1E37-4191-8DE4-6B0DA0CCDDDC}"/>
    <cellStyle name="SAPBEXHLevel1 15 2 2" xfId="2287" xr:uid="{AC863B3C-9733-40A0-A66B-E80FB9422D44}"/>
    <cellStyle name="SAPBEXHLevel1 15 3" xfId="2288" xr:uid="{F6E48A0A-DB2D-4814-BACA-A753893C3BFA}"/>
    <cellStyle name="SAPBEXHLevel1 16" xfId="2289" xr:uid="{051ED48F-510E-4BBE-990E-48A1FE181872}"/>
    <cellStyle name="SAPBEXHLevel1 16 2" xfId="2290" xr:uid="{8E3E1129-6B66-4B4F-B741-00868FF64540}"/>
    <cellStyle name="SAPBEXHLevel1 16 2 2" xfId="2291" xr:uid="{364FBFCE-D6E2-4E34-A5E5-797E6B9A3F0D}"/>
    <cellStyle name="SAPBEXHLevel1 16 3" xfId="2292" xr:uid="{3F81327A-C05D-4088-91E8-554AD0E55AE0}"/>
    <cellStyle name="SAPBEXHLevel1 17" xfId="2293" xr:uid="{CCBC90F5-79DE-470C-8BFD-A92E9B438632}"/>
    <cellStyle name="SAPBEXHLevel1 17 2" xfId="2294" xr:uid="{EB87AC42-A384-4E60-A242-B4C83FFB1833}"/>
    <cellStyle name="SAPBEXHLevel1 17 2 2" xfId="2295" xr:uid="{E8CB5233-E4FD-4290-9978-08A98EA02DFE}"/>
    <cellStyle name="SAPBEXHLevel1 17 3" xfId="2296" xr:uid="{0C244714-D5CD-4DEA-82A7-CD8CE56A2E68}"/>
    <cellStyle name="SAPBEXHLevel1 18" xfId="2297" xr:uid="{0221DDE0-CA6A-4784-AAFB-73FA1060546C}"/>
    <cellStyle name="SAPBEXHLevel1 18 2" xfId="2298" xr:uid="{2A9A8BA5-4767-49EC-895F-6D3829B9611F}"/>
    <cellStyle name="SAPBEXHLevel1 2" xfId="2299" xr:uid="{62561426-FCE3-4E05-B083-7350997C7B36}"/>
    <cellStyle name="SAPBEXHLevel1 2 2" xfId="2300" xr:uid="{0885738E-848B-4898-965F-E5FE43527A94}"/>
    <cellStyle name="SAPBEXHLevel1 2 2 2" xfId="2301" xr:uid="{18D55170-FEC0-46D0-A96A-33D9434D087D}"/>
    <cellStyle name="SAPBEXHLevel1 2 3" xfId="2302" xr:uid="{31B71A69-ACAA-4AE0-BB3B-455B35F8FCBC}"/>
    <cellStyle name="SAPBEXHLevel1 3" xfId="2303" xr:uid="{3086E5A2-4253-4B57-83AB-CD5EAA58855C}"/>
    <cellStyle name="SAPBEXHLevel1 3 2" xfId="2304" xr:uid="{5CF3EF97-2F2D-44E9-AE85-39883BC57E01}"/>
    <cellStyle name="SAPBEXHLevel1 3 2 2" xfId="2305" xr:uid="{59A15EC0-EBCC-4462-9531-EBE3C253B4F8}"/>
    <cellStyle name="SAPBEXHLevel1 3 3" xfId="2306" xr:uid="{B03541E5-7487-4EAD-901A-53B7FB13089F}"/>
    <cellStyle name="SAPBEXHLevel1 4" xfId="2307" xr:uid="{49A6FA74-B4D7-416A-93D0-C3AD56DBE803}"/>
    <cellStyle name="SAPBEXHLevel1 4 2" xfId="2308" xr:uid="{94D0973A-1FEA-485E-86AC-5040DE953B51}"/>
    <cellStyle name="SAPBEXHLevel1 4 2 2" xfId="2309" xr:uid="{E0ED34F7-4C70-4EF4-9F96-85B3AD4DDB6F}"/>
    <cellStyle name="SAPBEXHLevel1 4 3" xfId="2310" xr:uid="{870D7566-E200-4CFA-B149-4CB63D94E955}"/>
    <cellStyle name="SAPBEXHLevel1 5" xfId="2311" xr:uid="{A520542A-E621-453D-A253-1E1E6EC99882}"/>
    <cellStyle name="SAPBEXHLevel1 5 2" xfId="2312" xr:uid="{C0C47406-4E4C-42AD-B24C-5035D7067289}"/>
    <cellStyle name="SAPBEXHLevel1 5 2 2" xfId="2313" xr:uid="{A25EF2A4-9667-4BC3-ACC8-A6B591A403B0}"/>
    <cellStyle name="SAPBEXHLevel1 5 3" xfId="2314" xr:uid="{CF0C402D-C7C9-4569-8414-41FBB535ECE7}"/>
    <cellStyle name="SAPBEXHLevel1 6" xfId="2315" xr:uid="{B1763E7B-70C8-44A9-A752-4231EA352D0A}"/>
    <cellStyle name="SAPBEXHLevel1 6 2" xfId="2316" xr:uid="{49173ED5-4208-41A8-AFCB-DF8A8CB06569}"/>
    <cellStyle name="SAPBEXHLevel1 6 2 2" xfId="2317" xr:uid="{59B39B5E-A5E4-4099-A134-ED6504A4B211}"/>
    <cellStyle name="SAPBEXHLevel1 6 3" xfId="2318" xr:uid="{FD94557C-A533-4BCB-A8C8-DA573C840C2C}"/>
    <cellStyle name="SAPBEXHLevel1 7" xfId="2319" xr:uid="{9D426A97-946F-4E96-8FEB-57F9BDC42636}"/>
    <cellStyle name="SAPBEXHLevel1 7 2" xfId="2320" xr:uid="{B10EBB29-37F3-42FF-B869-CEE11DC9F123}"/>
    <cellStyle name="SAPBEXHLevel1 7 2 2" xfId="2321" xr:uid="{D36BE403-E96E-4494-A362-683D2816386C}"/>
    <cellStyle name="SAPBEXHLevel1 7 3" xfId="2322" xr:uid="{78DA18FE-A72A-4A97-A2C3-2C010DC2DC9F}"/>
    <cellStyle name="SAPBEXHLevel1 8" xfId="2323" xr:uid="{4DBEA573-E70E-4F4A-B130-5E669A36C4C0}"/>
    <cellStyle name="SAPBEXHLevel1 8 2" xfId="2324" xr:uid="{FAADC611-0BDE-4E91-9EB3-45D81BADCFF0}"/>
    <cellStyle name="SAPBEXHLevel1 8 2 2" xfId="2325" xr:uid="{63D8F279-74E1-44B1-82BC-F8A9BA64D3B5}"/>
    <cellStyle name="SAPBEXHLevel1 8 3" xfId="2326" xr:uid="{0011CE40-3000-4D59-85B2-750F3CE93464}"/>
    <cellStyle name="SAPBEXHLevel1 9" xfId="2327" xr:uid="{3AD33822-86A2-40C8-9E44-BAAD37F305E6}"/>
    <cellStyle name="SAPBEXHLevel1 9 2" xfId="2328" xr:uid="{13B8F932-90AC-4C8B-B6F5-AA2B4F4447F8}"/>
    <cellStyle name="SAPBEXHLevel1 9 2 2" xfId="2329" xr:uid="{1E137C03-00E7-4B47-8073-A19C84C55286}"/>
    <cellStyle name="SAPBEXHLevel1 9 3" xfId="2330" xr:uid="{E4C02B81-047C-4B57-AE02-1386D329F7F8}"/>
    <cellStyle name="SAPBEXHLevel1_(B) R&amp;M" xfId="2331" xr:uid="{3447CD81-519D-4BD8-9A78-112B4D1E23BB}"/>
    <cellStyle name="SAPBEXHLevel1X" xfId="2332" xr:uid="{0BC975C3-DA43-4A08-9DB3-7CEC3113A7A7}"/>
    <cellStyle name="SAPBEXHLevel1X 10" xfId="2333" xr:uid="{FC69E39F-0CB5-417C-A6D9-01DD021D43D2}"/>
    <cellStyle name="SAPBEXHLevel1X 10 2" xfId="2334" xr:uid="{A051BADB-9B9F-4DBF-91E4-B3E0B566CB34}"/>
    <cellStyle name="SAPBEXHLevel1X 10 2 2" xfId="2335" xr:uid="{5064CA67-2C46-4863-B6FF-70DF4A5B2006}"/>
    <cellStyle name="SAPBEXHLevel1X 10 3" xfId="2336" xr:uid="{F4CAB76F-9281-4B9C-8999-C7432F578289}"/>
    <cellStyle name="SAPBEXHLevel1X 11" xfId="2337" xr:uid="{90C5438E-9CBC-4EBD-A07E-01596B4C3681}"/>
    <cellStyle name="SAPBEXHLevel1X 11 2" xfId="2338" xr:uid="{167890BC-4C7D-4A9F-B2A2-A9AF79511DD4}"/>
    <cellStyle name="SAPBEXHLevel1X 11 2 2" xfId="2339" xr:uid="{C8A63D8C-A9E4-4F50-98C4-50F5C9763243}"/>
    <cellStyle name="SAPBEXHLevel1X 11 3" xfId="2340" xr:uid="{65DC414B-08F6-4D8A-83C0-EEBBF398C21E}"/>
    <cellStyle name="SAPBEXHLevel1X 12" xfId="2341" xr:uid="{D2181BD5-7D3D-4259-8C53-209C9E353E48}"/>
    <cellStyle name="SAPBEXHLevel1X 12 2" xfId="2342" xr:uid="{B2FCCFAC-0013-41B1-BA07-66B4C7ABBDF3}"/>
    <cellStyle name="SAPBEXHLevel1X 12 2 2" xfId="2343" xr:uid="{E988F280-5844-40A9-83BA-36BE1AF85E14}"/>
    <cellStyle name="SAPBEXHLevel1X 12 3" xfId="2344" xr:uid="{96E3E44B-3638-4E49-A07F-7C448CDAE02D}"/>
    <cellStyle name="SAPBEXHLevel1X 13" xfId="2345" xr:uid="{730F5654-2F16-436D-9D30-71EDA41C51F3}"/>
    <cellStyle name="SAPBEXHLevel1X 13 2" xfId="2346" xr:uid="{53583485-5172-4884-89D3-F9BEA584289A}"/>
    <cellStyle name="SAPBEXHLevel1X 13 2 2" xfId="2347" xr:uid="{9F4DB242-5273-4793-AA1B-7A2865F90ADD}"/>
    <cellStyle name="SAPBEXHLevel1X 13 3" xfId="2348" xr:uid="{E0C877C9-BAD8-448B-B92C-4EE6BFECD955}"/>
    <cellStyle name="SAPBEXHLevel1X 14" xfId="2349" xr:uid="{35A893AF-6E2E-4F49-A71A-616C432AF023}"/>
    <cellStyle name="SAPBEXHLevel1X 14 2" xfId="2350" xr:uid="{CDF47EA8-89DC-4E53-AF36-6544C44AB746}"/>
    <cellStyle name="SAPBEXHLevel1X 14 2 2" xfId="2351" xr:uid="{9A8324D6-7DA3-4120-961B-56053EBEB157}"/>
    <cellStyle name="SAPBEXHLevel1X 14 3" xfId="2352" xr:uid="{B48BDC19-3E55-455B-8F62-AEB9080DA360}"/>
    <cellStyle name="SAPBEXHLevel1X 15" xfId="2353" xr:uid="{6C077942-BCC6-41F6-899D-9243F46922C4}"/>
    <cellStyle name="SAPBEXHLevel1X 15 2" xfId="2354" xr:uid="{F1371FFD-5FEA-4ACD-8FE2-E0077EC8B42C}"/>
    <cellStyle name="SAPBEXHLevel1X 15 2 2" xfId="2355" xr:uid="{117F61C5-FCF5-4076-9535-4777EB416066}"/>
    <cellStyle name="SAPBEXHLevel1X 15 3" xfId="2356" xr:uid="{964D509B-0D37-42D2-9831-AF7445BF683A}"/>
    <cellStyle name="SAPBEXHLevel1X 16" xfId="2357" xr:uid="{9F986921-DB42-4B18-9204-2CFD27A20F71}"/>
    <cellStyle name="SAPBEXHLevel1X 16 2" xfId="2358" xr:uid="{643AD823-6C89-4F4B-8854-ECABC57395F3}"/>
    <cellStyle name="SAPBEXHLevel1X 16 2 2" xfId="2359" xr:uid="{347A60BC-2B2A-4DFD-83C5-75EAAF3E27EB}"/>
    <cellStyle name="SAPBEXHLevel1X 16 3" xfId="2360" xr:uid="{BAC0A441-CEA7-48DB-8F68-FC9797386526}"/>
    <cellStyle name="SAPBEXHLevel1X 17" xfId="2361" xr:uid="{902B631D-9850-4BE1-B25F-CECFDFAC2D5A}"/>
    <cellStyle name="SAPBEXHLevel1X 17 2" xfId="2362" xr:uid="{6FB7604E-5064-495B-ACC2-D6777A787E2B}"/>
    <cellStyle name="SAPBEXHLevel1X 17 2 2" xfId="2363" xr:uid="{A044FE10-1C75-400C-B18B-C9AB9DB053DD}"/>
    <cellStyle name="SAPBEXHLevel1X 17 3" xfId="2364" xr:uid="{6C64C105-E1FF-4CBB-A76E-D64E098A8719}"/>
    <cellStyle name="SAPBEXHLevel1X 18" xfId="2365" xr:uid="{0B70CC2C-0468-4EF0-B28C-4B9EEB1DCF55}"/>
    <cellStyle name="SAPBEXHLevel1X 18 2" xfId="2366" xr:uid="{6D1B434A-F339-4D2D-90A9-E64658CAF465}"/>
    <cellStyle name="SAPBEXHLevel1X 2" xfId="2367" xr:uid="{C9C700B2-19A1-49E1-80EA-B95E6F9507DF}"/>
    <cellStyle name="SAPBEXHLevel1X 2 2" xfId="2368" xr:uid="{862B235C-45E0-4A60-A42B-9561A5B10218}"/>
    <cellStyle name="SAPBEXHLevel1X 2 2 2" xfId="2369" xr:uid="{E5561DFD-71A5-4D32-81FC-C323CE130202}"/>
    <cellStyle name="SAPBEXHLevel1X 2 3" xfId="2370" xr:uid="{5D8D93D6-8AA8-4FCC-9F4C-2C85DE8FBC6F}"/>
    <cellStyle name="SAPBEXHLevel1X 3" xfId="2371" xr:uid="{E72D6313-D4B3-423D-A1C6-938B65DDB3DB}"/>
    <cellStyle name="SAPBEXHLevel1X 3 2" xfId="2372" xr:uid="{90719553-40FD-42AA-A340-A6881F79B160}"/>
    <cellStyle name="SAPBEXHLevel1X 3 2 2" xfId="2373" xr:uid="{1FA2FE4C-30CB-489F-827F-CA309A578DEF}"/>
    <cellStyle name="SAPBEXHLevel1X 3 3" xfId="2374" xr:uid="{BCCAA589-241D-4C26-A018-587B2BC75DA4}"/>
    <cellStyle name="SAPBEXHLevel1X 4" xfId="2375" xr:uid="{33C90F3D-E443-461F-8C09-9BE42760803A}"/>
    <cellStyle name="SAPBEXHLevel1X 4 2" xfId="2376" xr:uid="{D376348E-9F64-4E21-83F3-BEC8B0FCA66F}"/>
    <cellStyle name="SAPBEXHLevel1X 4 2 2" xfId="2377" xr:uid="{810383A7-D74A-4A32-8045-108546A810C2}"/>
    <cellStyle name="SAPBEXHLevel1X 4 3" xfId="2378" xr:uid="{C65B5CD0-F863-42A2-BD8F-04C2CDB04D79}"/>
    <cellStyle name="SAPBEXHLevel1X 5" xfId="2379" xr:uid="{883D948B-C7D2-44D3-A410-B5D45A1285AA}"/>
    <cellStyle name="SAPBEXHLevel1X 5 2" xfId="2380" xr:uid="{7C304320-3EB8-4872-8323-1A0A887EED12}"/>
    <cellStyle name="SAPBEXHLevel1X 5 2 2" xfId="2381" xr:uid="{A5579668-B5EB-4D6D-9D70-DA368F59B858}"/>
    <cellStyle name="SAPBEXHLevel1X 5 3" xfId="2382" xr:uid="{09B9B449-2654-4CF8-9F51-1E1AE0DE6C65}"/>
    <cellStyle name="SAPBEXHLevel1X 6" xfId="2383" xr:uid="{E22D728B-6189-4139-A30F-1762F770EEF7}"/>
    <cellStyle name="SAPBEXHLevel1X 6 2" xfId="2384" xr:uid="{0082E34D-AB90-4E02-B10B-C6255102ADBB}"/>
    <cellStyle name="SAPBEXHLevel1X 6 2 2" xfId="2385" xr:uid="{39257636-DCF5-4114-9DD8-1A0D1A075398}"/>
    <cellStyle name="SAPBEXHLevel1X 6 3" xfId="2386" xr:uid="{46EA357F-855A-4BB9-88E9-841ED6C7A5A5}"/>
    <cellStyle name="SAPBEXHLevel1X 7" xfId="2387" xr:uid="{CBBCD573-6BC3-4E93-81A0-72E065049402}"/>
    <cellStyle name="SAPBEXHLevel1X 7 2" xfId="2388" xr:uid="{ACCA01AD-51E0-4A5B-BD94-AF9C4C5DDC19}"/>
    <cellStyle name="SAPBEXHLevel1X 7 2 2" xfId="2389" xr:uid="{F87020DE-A855-4840-960B-CAD7240D4FA3}"/>
    <cellStyle name="SAPBEXHLevel1X 7 3" xfId="2390" xr:uid="{FD695BA4-891A-4D1B-A1D1-CAE9007339C4}"/>
    <cellStyle name="SAPBEXHLevel1X 8" xfId="2391" xr:uid="{E72AECE2-0940-4951-99E9-4D7599A47341}"/>
    <cellStyle name="SAPBEXHLevel1X 8 2" xfId="2392" xr:uid="{97ADDCAC-60DD-4B62-9E1B-961145D5468A}"/>
    <cellStyle name="SAPBEXHLevel1X 8 2 2" xfId="2393" xr:uid="{1B968498-FCD2-432C-A9DE-D913DE6226EE}"/>
    <cellStyle name="SAPBEXHLevel1X 8 3" xfId="2394" xr:uid="{B0DC2C3E-27EB-4A6E-9634-6BCADBA4BE97}"/>
    <cellStyle name="SAPBEXHLevel1X 9" xfId="2395" xr:uid="{5EB519AF-B115-4EC7-BCEB-09E9865C2204}"/>
    <cellStyle name="SAPBEXHLevel1X 9 2" xfId="2396" xr:uid="{AC5EC1C1-F047-467B-A88C-A06A6EEDCD89}"/>
    <cellStyle name="SAPBEXHLevel1X 9 2 2" xfId="2397" xr:uid="{D83CA343-9749-495B-929B-6B10C8E5D189}"/>
    <cellStyle name="SAPBEXHLevel1X 9 3" xfId="2398" xr:uid="{956211B0-3AAC-4F7F-A33D-3B8AA203F28A}"/>
    <cellStyle name="SAPBEXHLevel1X_(B) R&amp;M" xfId="2399" xr:uid="{81BC3B40-E7E6-434D-B90A-73E57E4A8E51}"/>
    <cellStyle name="SAPBEXHLevel2" xfId="2400" xr:uid="{B70A84C1-A77E-4F8D-ADF7-EC30ADE801E7}"/>
    <cellStyle name="SAPBEXHLevel2 10" xfId="2401" xr:uid="{79CE1E16-70E5-45B0-91D3-9CC2852674CD}"/>
    <cellStyle name="SAPBEXHLevel2 10 2" xfId="2402" xr:uid="{4BA97759-5319-4710-BFF8-CDA87B1EEC0D}"/>
    <cellStyle name="SAPBEXHLevel2 10 2 2" xfId="2403" xr:uid="{2B4C8DA2-0F9F-4265-AFFF-9381288FEBFB}"/>
    <cellStyle name="SAPBEXHLevel2 10 3" xfId="2404" xr:uid="{D652184F-56CE-45AA-AFBA-CF6E71A87999}"/>
    <cellStyle name="SAPBEXHLevel2 11" xfId="2405" xr:uid="{68E2BD16-31BF-4C29-84B9-CEA73C1E4170}"/>
    <cellStyle name="SAPBEXHLevel2 11 2" xfId="2406" xr:uid="{D94BC404-F8C9-408A-8633-7CC9E7CD41C5}"/>
    <cellStyle name="SAPBEXHLevel2 11 2 2" xfId="2407" xr:uid="{369D08F0-D47D-4BA4-BC0A-C78A1FA7A435}"/>
    <cellStyle name="SAPBEXHLevel2 11 3" xfId="2408" xr:uid="{5F8DB24E-958D-47D1-AA04-A219FB396D1D}"/>
    <cellStyle name="SAPBEXHLevel2 12" xfId="2409" xr:uid="{3143DA3C-5F3D-4CB0-8BAC-DF3D30B7E250}"/>
    <cellStyle name="SAPBEXHLevel2 12 2" xfId="2410" xr:uid="{9C1353BB-45D1-4DCA-B15D-22933BB60D59}"/>
    <cellStyle name="SAPBEXHLevel2 12 2 2" xfId="2411" xr:uid="{1963CE30-66DB-43EE-98BD-2FD72BE0F028}"/>
    <cellStyle name="SAPBEXHLevel2 12 3" xfId="2412" xr:uid="{166FA6D9-C2E1-43C3-A2B1-E5EB5AC0E4CF}"/>
    <cellStyle name="SAPBEXHLevel2 13" xfId="2413" xr:uid="{95DBBFB2-5232-445B-AF14-184C9A51F9D7}"/>
    <cellStyle name="SAPBEXHLevel2 13 2" xfId="2414" xr:uid="{231FED41-97F1-4A9C-B177-DFCD8D1D40A3}"/>
    <cellStyle name="SAPBEXHLevel2 13 2 2" xfId="2415" xr:uid="{0E86D15C-3308-47D2-94FC-8A6603640BB6}"/>
    <cellStyle name="SAPBEXHLevel2 13 3" xfId="2416" xr:uid="{DA3B8521-50E5-4CFE-B571-AB79FFE3E323}"/>
    <cellStyle name="SAPBEXHLevel2 14" xfId="2417" xr:uid="{B1988F69-5B70-49EF-A069-653888653DC5}"/>
    <cellStyle name="SAPBEXHLevel2 14 2" xfId="2418" xr:uid="{200B19FD-8686-460D-BCA3-7E2493AB6B32}"/>
    <cellStyle name="SAPBEXHLevel2 14 2 2" xfId="2419" xr:uid="{5DDAC843-430D-4AB0-A9E4-010D1E749B6B}"/>
    <cellStyle name="SAPBEXHLevel2 14 3" xfId="2420" xr:uid="{4D894822-F733-4890-9FFF-E50E4DA05DBA}"/>
    <cellStyle name="SAPBEXHLevel2 15" xfId="2421" xr:uid="{CC96D7D1-8C78-4F58-8A12-5E6B6978506D}"/>
    <cellStyle name="SAPBEXHLevel2 15 2" xfId="2422" xr:uid="{C564CB97-310F-417F-B967-BDC099CF4BD3}"/>
    <cellStyle name="SAPBEXHLevel2 15 2 2" xfId="2423" xr:uid="{61168966-EABE-45C0-8A81-B4B74C91E6E3}"/>
    <cellStyle name="SAPBEXHLevel2 15 3" xfId="2424" xr:uid="{DDF8839E-2C3F-474B-90C5-9D2CECA5878F}"/>
    <cellStyle name="SAPBEXHLevel2 16" xfId="2425" xr:uid="{59133F66-1D3E-49C7-8511-363D71D2D5ED}"/>
    <cellStyle name="SAPBEXHLevel2 16 2" xfId="2426" xr:uid="{D01F97AB-ED77-4CBB-948B-CC31148EA7B6}"/>
    <cellStyle name="SAPBEXHLevel2 16 2 2" xfId="2427" xr:uid="{1B970323-3F74-4B7E-8D4C-F03C013B0ED1}"/>
    <cellStyle name="SAPBEXHLevel2 16 3" xfId="2428" xr:uid="{8BBE1C28-C2CC-4BFD-B253-A401BC8EDA59}"/>
    <cellStyle name="SAPBEXHLevel2 17" xfId="2429" xr:uid="{A4430618-572D-4EE5-9A53-56A4371BB33A}"/>
    <cellStyle name="SAPBEXHLevel2 17 2" xfId="2430" xr:uid="{B8BF7F37-1F3F-4200-9DEA-E7C1E012B0A4}"/>
    <cellStyle name="SAPBEXHLevel2 17 2 2" xfId="2431" xr:uid="{2624004B-E1C9-486C-8B29-E1C915A89717}"/>
    <cellStyle name="SAPBEXHLevel2 17 3" xfId="2432" xr:uid="{2BF481D0-2AD4-4A8A-BCBB-0BAB83A76A9A}"/>
    <cellStyle name="SAPBEXHLevel2 18" xfId="2433" xr:uid="{0EC85BC2-91CA-4FD9-B4B3-81564DD7DB2B}"/>
    <cellStyle name="SAPBEXHLevel2 18 2" xfId="2434" xr:uid="{EF51D392-27A0-41E3-9140-8537F46281F6}"/>
    <cellStyle name="SAPBEXHLevel2 2" xfId="2435" xr:uid="{81B38866-1033-4AF6-99DB-94A9D2033605}"/>
    <cellStyle name="SAPBEXHLevel2 2 2" xfId="2436" xr:uid="{B1A137EA-C2AE-47CA-B2D3-8FFFE7BB6150}"/>
    <cellStyle name="SAPBEXHLevel2 2 2 2" xfId="2437" xr:uid="{E34F30B8-FB8D-4CC7-94A9-518D293BBC8B}"/>
    <cellStyle name="SAPBEXHLevel2 2 3" xfId="2438" xr:uid="{6DF34ADD-8B39-4A91-9890-B003DC526931}"/>
    <cellStyle name="SAPBEXHLevel2 3" xfId="2439" xr:uid="{86E8EE7F-7BB9-42F3-A44C-DFF3F46DF8D6}"/>
    <cellStyle name="SAPBEXHLevel2 3 2" xfId="2440" xr:uid="{A8A9259F-80F7-4BE0-B505-94235F20D074}"/>
    <cellStyle name="SAPBEXHLevel2 3 2 2" xfId="2441" xr:uid="{A5E56D53-A66E-4DC5-85F7-D3D382FFE1C1}"/>
    <cellStyle name="SAPBEXHLevel2 3 3" xfId="2442" xr:uid="{555FFCE5-B8E6-4873-92A5-5C6A540FD912}"/>
    <cellStyle name="SAPBEXHLevel2 4" xfId="2443" xr:uid="{95E68DB3-CAB7-4079-8FD2-A27AB53BB724}"/>
    <cellStyle name="SAPBEXHLevel2 4 2" xfId="2444" xr:uid="{5AD314ED-6C24-46AF-8A7A-C175F548DB6D}"/>
    <cellStyle name="SAPBEXHLevel2 4 2 2" xfId="2445" xr:uid="{8FE3946E-103E-4942-9746-0A8A093427E8}"/>
    <cellStyle name="SAPBEXHLevel2 4 3" xfId="2446" xr:uid="{4C27427A-EFB9-4B9E-92CE-7D1BABFC1450}"/>
    <cellStyle name="SAPBEXHLevel2 5" xfId="2447" xr:uid="{C4D76711-F8F9-4C94-801C-AD48479D5515}"/>
    <cellStyle name="SAPBEXHLevel2 5 2" xfId="2448" xr:uid="{52574243-EE90-4E85-9346-4A9AB5FEF504}"/>
    <cellStyle name="SAPBEXHLevel2 5 2 2" xfId="2449" xr:uid="{61F15709-B293-46DD-AFF2-2EC82ECEFF15}"/>
    <cellStyle name="SAPBEXHLevel2 5 3" xfId="2450" xr:uid="{035BEBE4-21DF-4040-98E1-A59053B7A2BF}"/>
    <cellStyle name="SAPBEXHLevel2 6" xfId="2451" xr:uid="{400E4F71-5963-4AAC-B6FE-0E20CABB00D3}"/>
    <cellStyle name="SAPBEXHLevel2 6 2" xfId="2452" xr:uid="{90C811D8-AFF2-42B2-ADF9-F7998679D71D}"/>
    <cellStyle name="SAPBEXHLevel2 6 2 2" xfId="2453" xr:uid="{4DB5E0C1-1EF2-412C-8456-3EA8FAF939E1}"/>
    <cellStyle name="SAPBEXHLevel2 6 3" xfId="2454" xr:uid="{6C71A119-BE52-4A91-9063-433743D6541B}"/>
    <cellStyle name="SAPBEXHLevel2 7" xfId="2455" xr:uid="{1FFD622F-40AB-488A-A601-F7AD59A34091}"/>
    <cellStyle name="SAPBEXHLevel2 7 2" xfId="2456" xr:uid="{22041403-A996-42F0-8551-B7B6D5D09D31}"/>
    <cellStyle name="SAPBEXHLevel2 7 2 2" xfId="2457" xr:uid="{68238AB9-D0C6-449E-A2FA-75D4AC9FA371}"/>
    <cellStyle name="SAPBEXHLevel2 7 3" xfId="2458" xr:uid="{A4DC89F4-6ED4-4784-81BF-5CB481A5B833}"/>
    <cellStyle name="SAPBEXHLevel2 8" xfId="2459" xr:uid="{890CB637-6D45-44B4-BA4F-37BD6A63391A}"/>
    <cellStyle name="SAPBEXHLevel2 8 2" xfId="2460" xr:uid="{42A4D222-1079-45CC-9140-6BCB1FE24017}"/>
    <cellStyle name="SAPBEXHLevel2 8 2 2" xfId="2461" xr:uid="{3EDD355D-86D9-4CEB-B204-B1D038B56B43}"/>
    <cellStyle name="SAPBEXHLevel2 8 3" xfId="2462" xr:uid="{A68E152B-E9EB-480A-9CE9-033ED67F5AA4}"/>
    <cellStyle name="SAPBEXHLevel2 9" xfId="2463" xr:uid="{6CA5F5A3-E802-4354-A53E-FBDA75B7FAE7}"/>
    <cellStyle name="SAPBEXHLevel2 9 2" xfId="2464" xr:uid="{7EF6522D-CEE8-4A45-A303-D4D261E813EC}"/>
    <cellStyle name="SAPBEXHLevel2 9 2 2" xfId="2465" xr:uid="{CE94EDF7-4C7D-46C5-B437-62D80386030A}"/>
    <cellStyle name="SAPBEXHLevel2 9 3" xfId="2466" xr:uid="{3528B850-EAE0-4462-9361-A0405F7AB0AC}"/>
    <cellStyle name="SAPBEXHLevel2_(B) R&amp;M" xfId="2467" xr:uid="{5F413107-5AE8-49AC-AE59-BA0B1892DBBA}"/>
    <cellStyle name="SAPBEXHLevel2X" xfId="2468" xr:uid="{BC3615C3-C00E-44A6-9407-7FD5F48B0A87}"/>
    <cellStyle name="SAPBEXHLevel2X 10" xfId="2469" xr:uid="{9495332E-51F4-4672-B9FE-1E596B1111C3}"/>
    <cellStyle name="SAPBEXHLevel2X 10 2" xfId="2470" xr:uid="{BB7AC5AC-044C-4FDF-ABFA-120858CEAE91}"/>
    <cellStyle name="SAPBEXHLevel2X 10 2 2" xfId="2471" xr:uid="{08194E95-1D9D-496A-90B9-8AF3FA28C935}"/>
    <cellStyle name="SAPBEXHLevel2X 10 3" xfId="2472" xr:uid="{BA1E6EE3-5D33-4AE7-91B7-96953BEE3BAD}"/>
    <cellStyle name="SAPBEXHLevel2X 11" xfId="2473" xr:uid="{36ECC910-1983-4AF3-A70B-73B2BBD1F490}"/>
    <cellStyle name="SAPBEXHLevel2X 11 2" xfId="2474" xr:uid="{68D02646-EDF6-4F80-982C-8A0471768D9B}"/>
    <cellStyle name="SAPBEXHLevel2X 11 2 2" xfId="2475" xr:uid="{AE763C35-FCA4-4382-96D8-BA3F9C879998}"/>
    <cellStyle name="SAPBEXHLevel2X 11 3" xfId="2476" xr:uid="{E4D4AF6A-7004-43EB-89E3-47BB13A546BA}"/>
    <cellStyle name="SAPBEXHLevel2X 12" xfId="2477" xr:uid="{D1DDB188-8447-4AED-9168-0B76B07F2775}"/>
    <cellStyle name="SAPBEXHLevel2X 12 2" xfId="2478" xr:uid="{6920807E-B299-4503-AF8F-890DEF616A2E}"/>
    <cellStyle name="SAPBEXHLevel2X 12 2 2" xfId="2479" xr:uid="{119D784F-A311-45E4-BB7C-801F454AD7F1}"/>
    <cellStyle name="SAPBEXHLevel2X 12 3" xfId="2480" xr:uid="{27C93267-79B2-4247-956D-DA50ADF1CECE}"/>
    <cellStyle name="SAPBEXHLevel2X 13" xfId="2481" xr:uid="{28EF68E1-4C5E-4067-8BE5-8B59A53CC5E7}"/>
    <cellStyle name="SAPBEXHLevel2X 13 2" xfId="2482" xr:uid="{644E4949-9616-46D4-8854-FB6E6F928B87}"/>
    <cellStyle name="SAPBEXHLevel2X 13 2 2" xfId="2483" xr:uid="{4A5E2AB3-747F-4680-9F01-4D2984D47FB2}"/>
    <cellStyle name="SAPBEXHLevel2X 13 3" xfId="2484" xr:uid="{AEDC9404-8916-4D93-88DB-C61F41ECE49C}"/>
    <cellStyle name="SAPBEXHLevel2X 14" xfId="2485" xr:uid="{2BEC2A39-DD7B-4C47-8B57-957925F47D91}"/>
    <cellStyle name="SAPBEXHLevel2X 14 2" xfId="2486" xr:uid="{A6A17524-BC7A-477F-B70F-A0860767614D}"/>
    <cellStyle name="SAPBEXHLevel2X 14 2 2" xfId="2487" xr:uid="{E417BC73-760C-412B-ADEA-A988F75A6C92}"/>
    <cellStyle name="SAPBEXHLevel2X 14 3" xfId="2488" xr:uid="{937C2698-0457-45D4-9EBB-48A5898CBFE9}"/>
    <cellStyle name="SAPBEXHLevel2X 15" xfId="2489" xr:uid="{B5FB266A-ECF1-4325-9DC1-935768B4EC01}"/>
    <cellStyle name="SAPBEXHLevel2X 15 2" xfId="2490" xr:uid="{C81A3A17-5EC9-421E-8E60-770B6075AC17}"/>
    <cellStyle name="SAPBEXHLevel2X 15 2 2" xfId="2491" xr:uid="{AB5F1E59-A3ED-4117-8A96-357F1A9B0738}"/>
    <cellStyle name="SAPBEXHLevel2X 15 3" xfId="2492" xr:uid="{4C3D5B98-A236-4FAE-9388-A4013D63C133}"/>
    <cellStyle name="SAPBEXHLevel2X 16" xfId="2493" xr:uid="{D84DBE9C-81E5-4413-B0A0-B1D691E7C680}"/>
    <cellStyle name="SAPBEXHLevel2X 16 2" xfId="2494" xr:uid="{5025BA60-AB5B-41B6-90E4-98D4BE55165B}"/>
    <cellStyle name="SAPBEXHLevel2X 16 2 2" xfId="2495" xr:uid="{5CD39C5C-6C8E-4A32-B424-5A67AFDAD8BC}"/>
    <cellStyle name="SAPBEXHLevel2X 16 3" xfId="2496" xr:uid="{98FC19A3-232E-4460-97AB-82B037A80277}"/>
    <cellStyle name="SAPBEXHLevel2X 17" xfId="2497" xr:uid="{30306CB6-0370-446E-9291-66BD15E1D03A}"/>
    <cellStyle name="SAPBEXHLevel2X 17 2" xfId="2498" xr:uid="{173C5F83-C167-4670-8C0B-9B030605E1B8}"/>
    <cellStyle name="SAPBEXHLevel2X 17 2 2" xfId="2499" xr:uid="{FE6AABB6-4556-49CB-92F8-A817DC9564E8}"/>
    <cellStyle name="SAPBEXHLevel2X 17 3" xfId="2500" xr:uid="{F82F0AFD-5FF6-48BE-A9A7-E3913A69325A}"/>
    <cellStyle name="SAPBEXHLevel2X 18" xfId="2501" xr:uid="{0998AD7D-EEA3-48EA-AED0-09718C336FD9}"/>
    <cellStyle name="SAPBEXHLevel2X 18 2" xfId="2502" xr:uid="{4B203A30-C681-46F9-AC2E-1800FBBE1BEF}"/>
    <cellStyle name="SAPBEXHLevel2X 2" xfId="2503" xr:uid="{2F8F5D11-96D1-4A2A-B61E-BABB26792179}"/>
    <cellStyle name="SAPBEXHLevel2X 2 2" xfId="2504" xr:uid="{DFA9C7A5-36C7-4ECB-BFD4-E67CAFDA4F62}"/>
    <cellStyle name="SAPBEXHLevel2X 2 2 2" xfId="2505" xr:uid="{AE999AF3-AF1C-4DA3-B333-3C6F941D5653}"/>
    <cellStyle name="SAPBEXHLevel2X 2 3" xfId="2506" xr:uid="{217EE8BE-1EDC-458F-8105-27F8BC3E6092}"/>
    <cellStyle name="SAPBEXHLevel2X 3" xfId="2507" xr:uid="{C901C8E2-E39A-491B-90CE-3584813A2458}"/>
    <cellStyle name="SAPBEXHLevel2X 3 2" xfId="2508" xr:uid="{43B60062-749E-4407-B97C-B22D1FF593FD}"/>
    <cellStyle name="SAPBEXHLevel2X 3 2 2" xfId="2509" xr:uid="{053E983B-D11D-4CB3-98BF-D8B8F219FBE0}"/>
    <cellStyle name="SAPBEXHLevel2X 3 3" xfId="2510" xr:uid="{487E3D54-C871-492D-9E01-07B91DC01D1B}"/>
    <cellStyle name="SAPBEXHLevel2X 4" xfId="2511" xr:uid="{55FD1C4A-1653-420D-AAA0-D207DDD9995D}"/>
    <cellStyle name="SAPBEXHLevel2X 4 2" xfId="2512" xr:uid="{2D2077D4-0DB9-419D-9170-CF48FE0BB683}"/>
    <cellStyle name="SAPBEXHLevel2X 4 2 2" xfId="2513" xr:uid="{0E5BB210-4111-4ED0-84F2-48C6449B087D}"/>
    <cellStyle name="SAPBEXHLevel2X 4 3" xfId="2514" xr:uid="{22611A06-2A96-4EE5-83F3-37B54B22F927}"/>
    <cellStyle name="SAPBEXHLevel2X 5" xfId="2515" xr:uid="{36B9731D-E012-4382-B0EB-1BF57AC7564A}"/>
    <cellStyle name="SAPBEXHLevel2X 5 2" xfId="2516" xr:uid="{76172FE6-2E1A-4669-9062-B83F4D82352A}"/>
    <cellStyle name="SAPBEXHLevel2X 5 2 2" xfId="2517" xr:uid="{B6BBF193-0788-42E4-AC71-213259E9156F}"/>
    <cellStyle name="SAPBEXHLevel2X 5 3" xfId="2518" xr:uid="{EBB883D7-D94F-4BA8-9E57-D3107DAB9E07}"/>
    <cellStyle name="SAPBEXHLevel2X 6" xfId="2519" xr:uid="{3AD9D07F-8276-4A16-BD69-C5E8026E4CE9}"/>
    <cellStyle name="SAPBEXHLevel2X 6 2" xfId="2520" xr:uid="{7B4E5080-941A-4D11-B9ED-3F1474D9C789}"/>
    <cellStyle name="SAPBEXHLevel2X 6 2 2" xfId="2521" xr:uid="{6060BE5F-496F-4C20-B482-B3DDD15B676B}"/>
    <cellStyle name="SAPBEXHLevel2X 6 3" xfId="2522" xr:uid="{F5A364E1-4CDC-4110-8FBB-710AAF82D446}"/>
    <cellStyle name="SAPBEXHLevel2X 7" xfId="2523" xr:uid="{DCF65663-A995-4A02-A062-5A2115A00969}"/>
    <cellStyle name="SAPBEXHLevel2X 7 2" xfId="2524" xr:uid="{72C48825-5445-4E0F-A246-A98D14068811}"/>
    <cellStyle name="SAPBEXHLevel2X 7 2 2" xfId="2525" xr:uid="{F9D4813E-F68F-4A59-8B2A-B6D9300ABEF5}"/>
    <cellStyle name="SAPBEXHLevel2X 7 3" xfId="2526" xr:uid="{A9787865-F845-4B54-8FBD-41F51FDE5076}"/>
    <cellStyle name="SAPBEXHLevel2X 8" xfId="2527" xr:uid="{8A1495CF-523A-4995-921C-BA2466802783}"/>
    <cellStyle name="SAPBEXHLevel2X 8 2" xfId="2528" xr:uid="{C422F5A9-D832-4DA1-B3F2-7F4B64EB3768}"/>
    <cellStyle name="SAPBEXHLevel2X 8 2 2" xfId="2529" xr:uid="{F949C199-0158-42DC-A5D4-0CDDD8BD809D}"/>
    <cellStyle name="SAPBEXHLevel2X 8 3" xfId="2530" xr:uid="{2E551E16-9150-4D83-93C7-1F9AE58A479C}"/>
    <cellStyle name="SAPBEXHLevel2X 9" xfId="2531" xr:uid="{EA44A3A6-AFBF-4EF1-8166-35FD4E2BDA7C}"/>
    <cellStyle name="SAPBEXHLevel2X 9 2" xfId="2532" xr:uid="{2B65D0E7-CC17-4328-9C17-AC57713EE598}"/>
    <cellStyle name="SAPBEXHLevel2X 9 2 2" xfId="2533" xr:uid="{9EFE2C37-F107-4AA9-B67B-D9EC23BDCF01}"/>
    <cellStyle name="SAPBEXHLevel2X 9 3" xfId="2534" xr:uid="{5E74D1E1-1F4F-48BB-9965-6DB8C0FD1AF2}"/>
    <cellStyle name="SAPBEXHLevel2X_(B) R&amp;M" xfId="2535" xr:uid="{E03C8519-36CE-4DB2-89E9-B0E458548AEF}"/>
    <cellStyle name="SAPBEXHLevel3" xfId="2536" xr:uid="{6E0054C6-E0CA-47F5-AABD-F30D48FCE84C}"/>
    <cellStyle name="SAPBEXHLevel3 10" xfId="2537" xr:uid="{B179899E-81A3-4ACC-B3EC-AF4E7F0CEB46}"/>
    <cellStyle name="SAPBEXHLevel3 10 2" xfId="2538" xr:uid="{1129FF10-BA84-4685-B81E-44D674FF6CBB}"/>
    <cellStyle name="SAPBEXHLevel3 10 2 2" xfId="2539" xr:uid="{F535AE03-D1E2-4120-94DE-CA3B70A82736}"/>
    <cellStyle name="SAPBEXHLevel3 10 3" xfId="2540" xr:uid="{367C5E42-F0F0-47ED-AD9C-E7B8933B8EC8}"/>
    <cellStyle name="SAPBEXHLevel3 11" xfId="2541" xr:uid="{1C9E3F0D-BA38-414E-9668-7279C2F018AB}"/>
    <cellStyle name="SAPBEXHLevel3 11 2" xfId="2542" xr:uid="{73D73ED6-6D37-42EC-B72C-98127E1B070F}"/>
    <cellStyle name="SAPBEXHLevel3 11 2 2" xfId="2543" xr:uid="{905857D6-1A3F-4190-8FF8-E991B0688C16}"/>
    <cellStyle name="SAPBEXHLevel3 11 3" xfId="2544" xr:uid="{86BC6E1C-87AD-466E-BA64-C056CCD1A8C8}"/>
    <cellStyle name="SAPBEXHLevel3 12" xfId="2545" xr:uid="{CF673879-0125-400A-8370-546C24EE7E87}"/>
    <cellStyle name="SAPBEXHLevel3 12 2" xfId="2546" xr:uid="{0A389EC2-56F2-4F17-B668-7B7E1D9E64B7}"/>
    <cellStyle name="SAPBEXHLevel3 12 2 2" xfId="2547" xr:uid="{C4706A0B-C243-44CE-BBA3-C1B8ADCC9873}"/>
    <cellStyle name="SAPBEXHLevel3 12 3" xfId="2548" xr:uid="{60A485A5-C061-4B82-8B2D-46DAE128FC9C}"/>
    <cellStyle name="SAPBEXHLevel3 13" xfId="2549" xr:uid="{BE0C26DD-F955-4ABA-8167-3585597FE851}"/>
    <cellStyle name="SAPBEXHLevel3 13 2" xfId="2550" xr:uid="{B0869EB4-970A-43FA-875F-A7DD324D48A6}"/>
    <cellStyle name="SAPBEXHLevel3 13 2 2" xfId="2551" xr:uid="{70947D1F-1899-4E69-B008-D67DB2627B63}"/>
    <cellStyle name="SAPBEXHLevel3 13 3" xfId="2552" xr:uid="{EFC2B17D-8AD9-46CA-AA17-8B4F66420492}"/>
    <cellStyle name="SAPBEXHLevel3 14" xfId="2553" xr:uid="{894F931F-45B7-41B3-8638-BBD79706F9AE}"/>
    <cellStyle name="SAPBEXHLevel3 14 2" xfId="2554" xr:uid="{F4AB3FF5-90A7-4E40-8CF5-FCF1270EED55}"/>
    <cellStyle name="SAPBEXHLevel3 14 2 2" xfId="2555" xr:uid="{22D747D3-06A0-45D8-9547-55D59084E47D}"/>
    <cellStyle name="SAPBEXHLevel3 14 3" xfId="2556" xr:uid="{EF8634AF-281F-4EB6-80A3-B37C6C89B19C}"/>
    <cellStyle name="SAPBEXHLevel3 15" xfId="2557" xr:uid="{C2DE3CB9-7B4A-4D30-AF4D-63F8B14FA43D}"/>
    <cellStyle name="SAPBEXHLevel3 15 2" xfId="2558" xr:uid="{FE20DB35-E507-4C2B-BDD2-F267A7B850F1}"/>
    <cellStyle name="SAPBEXHLevel3 15 2 2" xfId="2559" xr:uid="{AEB2F460-E84C-409D-A77B-E3A429BBA50D}"/>
    <cellStyle name="SAPBEXHLevel3 15 3" xfId="2560" xr:uid="{67A9520F-519B-4CB3-A2DF-D2BB8C9DC7ED}"/>
    <cellStyle name="SAPBEXHLevel3 16" xfId="2561" xr:uid="{111625C0-1695-4A24-8E40-9770B246929E}"/>
    <cellStyle name="SAPBEXHLevel3 16 2" xfId="2562" xr:uid="{6E03C62C-2C5F-443D-8B54-16CEA32C4668}"/>
    <cellStyle name="SAPBEXHLevel3 16 2 2" xfId="2563" xr:uid="{6285CAEE-1501-4850-BA1D-97B22E8EA1D0}"/>
    <cellStyle name="SAPBEXHLevel3 16 3" xfId="2564" xr:uid="{D56359A3-AACD-4900-8F75-7F82E1D8F41D}"/>
    <cellStyle name="SAPBEXHLevel3 17" xfId="2565" xr:uid="{49E17CC6-FC46-42F4-BA10-3B67912491E3}"/>
    <cellStyle name="SAPBEXHLevel3 17 2" xfId="2566" xr:uid="{18C3AC15-D5B1-44BB-A030-96231786D590}"/>
    <cellStyle name="SAPBEXHLevel3 17 2 2" xfId="2567" xr:uid="{EEAF97E0-1418-49D4-916E-033640C5C92A}"/>
    <cellStyle name="SAPBEXHLevel3 17 3" xfId="2568" xr:uid="{A0339C63-93AA-4B8B-96E8-FA810E79CCDC}"/>
    <cellStyle name="SAPBEXHLevel3 18" xfId="2569" xr:uid="{7C69E437-2433-4656-B2F1-95E0BD899003}"/>
    <cellStyle name="SAPBEXHLevel3 18 2" xfId="2570" xr:uid="{69F94431-19AA-47EF-B8DD-101737BEB030}"/>
    <cellStyle name="SAPBEXHLevel3 2" xfId="2571" xr:uid="{3FC2F8CB-2D36-4CE9-938A-41B1232E9D83}"/>
    <cellStyle name="SAPBEXHLevel3 2 2" xfId="2572" xr:uid="{E0D7F59F-719A-41A6-B63D-737CFC2EFF6C}"/>
    <cellStyle name="SAPBEXHLevel3 2 2 2" xfId="2573" xr:uid="{EE4D8207-DD88-4199-8273-A9152C743208}"/>
    <cellStyle name="SAPBEXHLevel3 2 3" xfId="2574" xr:uid="{EC488C4F-A626-4ABC-A2A9-3345A2EB6653}"/>
    <cellStyle name="SAPBEXHLevel3 3" xfId="2575" xr:uid="{17954370-9EDD-4D9A-A7D1-A1B2C4D25E53}"/>
    <cellStyle name="SAPBEXHLevel3 3 2" xfId="2576" xr:uid="{0071B480-9BCD-4EB9-A1E5-AF25A35C1465}"/>
    <cellStyle name="SAPBEXHLevel3 3 2 2" xfId="2577" xr:uid="{7A53E864-6496-4310-8181-147A43D17139}"/>
    <cellStyle name="SAPBEXHLevel3 3 3" xfId="2578" xr:uid="{09B7DD1F-40CD-4431-97A5-7974962C4B01}"/>
    <cellStyle name="SAPBEXHLevel3 4" xfId="2579" xr:uid="{A701105A-B465-4349-AAA3-F4F7E5E3DC4B}"/>
    <cellStyle name="SAPBEXHLevel3 4 2" xfId="2580" xr:uid="{03E6787C-2EB3-455F-9D90-78884967250C}"/>
    <cellStyle name="SAPBEXHLevel3 4 2 2" xfId="2581" xr:uid="{E55ED60F-7429-488B-A18F-EF17286CBCB5}"/>
    <cellStyle name="SAPBEXHLevel3 4 3" xfId="2582" xr:uid="{AEBCE1BC-A29D-4FD6-903C-9A4650D056CD}"/>
    <cellStyle name="SAPBEXHLevel3 5" xfId="2583" xr:uid="{8771E1A0-FFAA-4722-A3CE-5185903C9C2F}"/>
    <cellStyle name="SAPBEXHLevel3 5 2" xfId="2584" xr:uid="{E6EB8E92-BB11-491F-B986-0C7AC289152C}"/>
    <cellStyle name="SAPBEXHLevel3 5 2 2" xfId="2585" xr:uid="{37AD9722-DCF7-4A72-9D43-1C994A6203B5}"/>
    <cellStyle name="SAPBEXHLevel3 5 3" xfId="2586" xr:uid="{4108D652-152D-4B7C-82BC-076987D07F04}"/>
    <cellStyle name="SAPBEXHLevel3 6" xfId="2587" xr:uid="{39253E8F-AFBF-40E5-92B6-41C88AC2BA18}"/>
    <cellStyle name="SAPBEXHLevel3 6 2" xfId="2588" xr:uid="{9B7B693B-2DD6-42B3-8262-C182077DEA59}"/>
    <cellStyle name="SAPBEXHLevel3 6 2 2" xfId="2589" xr:uid="{8305BDE8-A823-40AB-B1F1-63236704FD29}"/>
    <cellStyle name="SAPBEXHLevel3 6 3" xfId="2590" xr:uid="{8F637C09-7C03-4B09-8ECB-46DE6B3A3C32}"/>
    <cellStyle name="SAPBEXHLevel3 7" xfId="2591" xr:uid="{1254FA28-1856-4A80-B1B5-82E31493DB6B}"/>
    <cellStyle name="SAPBEXHLevel3 7 2" xfId="2592" xr:uid="{C724EAED-518C-4D91-9FB7-EA6B9385A872}"/>
    <cellStyle name="SAPBEXHLevel3 7 2 2" xfId="2593" xr:uid="{89282F1D-2EA6-4636-B387-D8663A38B24B}"/>
    <cellStyle name="SAPBEXHLevel3 7 3" xfId="2594" xr:uid="{AF7A4C25-3E8A-4F71-8CA5-C076AAE30DC0}"/>
    <cellStyle name="SAPBEXHLevel3 8" xfId="2595" xr:uid="{632EBE3E-917A-4E30-97C8-A2E314FFEE93}"/>
    <cellStyle name="SAPBEXHLevel3 8 2" xfId="2596" xr:uid="{383B4A96-E9B5-42AB-8843-CBC9752815CE}"/>
    <cellStyle name="SAPBEXHLevel3 8 2 2" xfId="2597" xr:uid="{A508DDF0-2AA0-4209-B286-7DD6DC4C51D9}"/>
    <cellStyle name="SAPBEXHLevel3 8 3" xfId="2598" xr:uid="{0B26FDFB-037E-43D4-80CB-963C19069CA1}"/>
    <cellStyle name="SAPBEXHLevel3 9" xfId="2599" xr:uid="{546947A4-2AA2-4FEF-9710-D891C5460B2E}"/>
    <cellStyle name="SAPBEXHLevel3 9 2" xfId="2600" xr:uid="{9E195DC2-EB5C-4C60-AE76-B0143EBCF954}"/>
    <cellStyle name="SAPBEXHLevel3 9 2 2" xfId="2601" xr:uid="{DA7FD90A-EB8B-4430-8224-11418B56C7D4}"/>
    <cellStyle name="SAPBEXHLevel3 9 3" xfId="2602" xr:uid="{8C87B4BE-7D5A-40C1-B7C6-649E478C2600}"/>
    <cellStyle name="SAPBEXHLevel3_(B) R&amp;M" xfId="2603" xr:uid="{BA699E41-E7F6-4B0F-9D88-7909C2572A1D}"/>
    <cellStyle name="SAPBEXHLevel3X" xfId="2604" xr:uid="{410F67A6-0B55-4C82-B302-ADEC4A8286C0}"/>
    <cellStyle name="SAPBEXHLevel3X 10" xfId="2605" xr:uid="{FABC0AEE-2171-4262-8E75-95D4C8F1788C}"/>
    <cellStyle name="SAPBEXHLevel3X 10 2" xfId="2606" xr:uid="{98FE7142-6130-4EF4-8D19-E3DBF0AEEDF7}"/>
    <cellStyle name="SAPBEXHLevel3X 10 2 2" xfId="2607" xr:uid="{C5B5409A-4669-44DF-BD37-DDF541F5E06F}"/>
    <cellStyle name="SAPBEXHLevel3X 10 3" xfId="2608" xr:uid="{B7E10FD6-8D61-4EDF-9D40-60880CA2C34F}"/>
    <cellStyle name="SAPBEXHLevel3X 11" xfId="2609" xr:uid="{7BCB9BB9-DCA8-45B4-9A45-B9F8BF2A6DB3}"/>
    <cellStyle name="SAPBEXHLevel3X 11 2" xfId="2610" xr:uid="{949F1F11-F88F-413D-87C7-AC74574773F0}"/>
    <cellStyle name="SAPBEXHLevel3X 11 2 2" xfId="2611" xr:uid="{52631467-035E-4A9F-AC1E-715DBBEEDA0A}"/>
    <cellStyle name="SAPBEXHLevel3X 11 3" xfId="2612" xr:uid="{18E4684C-27FD-4CC2-998C-946D3B435F6C}"/>
    <cellStyle name="SAPBEXHLevel3X 12" xfId="2613" xr:uid="{A8926BB3-2B00-477E-9D08-24EF6BF5350B}"/>
    <cellStyle name="SAPBEXHLevel3X 12 2" xfId="2614" xr:uid="{E965FE12-0BB2-4128-A2DC-72A0172E3F31}"/>
    <cellStyle name="SAPBEXHLevel3X 12 2 2" xfId="2615" xr:uid="{1ACD5343-44B3-4385-9133-3DE01020BE01}"/>
    <cellStyle name="SAPBEXHLevel3X 12 3" xfId="2616" xr:uid="{60A9887E-865B-4CB3-B5F6-F0DDA49DE405}"/>
    <cellStyle name="SAPBEXHLevel3X 13" xfId="2617" xr:uid="{41623B1A-B775-404C-AC35-768E56749E3E}"/>
    <cellStyle name="SAPBEXHLevel3X 13 2" xfId="2618" xr:uid="{F1EE438A-C4BB-4339-94C1-C9E40FFA1034}"/>
    <cellStyle name="SAPBEXHLevel3X 13 2 2" xfId="2619" xr:uid="{A9D71FB6-190C-44BD-9873-FC1DFF34DB60}"/>
    <cellStyle name="SAPBEXHLevel3X 13 3" xfId="2620" xr:uid="{EB6317F2-2ED2-4C9E-B3C3-776AA457C8D1}"/>
    <cellStyle name="SAPBEXHLevel3X 14" xfId="2621" xr:uid="{79CB26C0-2446-4F82-962C-D4DF1A97F1EF}"/>
    <cellStyle name="SAPBEXHLevel3X 14 2" xfId="2622" xr:uid="{65892D6D-3AF9-48C9-8E95-84827FCBE0FF}"/>
    <cellStyle name="SAPBEXHLevel3X 14 2 2" xfId="2623" xr:uid="{F1E31909-4CB7-46B3-A0F9-11B920D01568}"/>
    <cellStyle name="SAPBEXHLevel3X 14 3" xfId="2624" xr:uid="{D45825C8-17F3-4469-B868-2FE0387B2E5E}"/>
    <cellStyle name="SAPBEXHLevel3X 15" xfId="2625" xr:uid="{27BA5576-51C2-4077-A60E-9382F0616AB4}"/>
    <cellStyle name="SAPBEXHLevel3X 15 2" xfId="2626" xr:uid="{5D8FC82E-5B2D-4A40-9BE5-42B39F738747}"/>
    <cellStyle name="SAPBEXHLevel3X 15 2 2" xfId="2627" xr:uid="{4FA865CC-AC17-4116-B7B3-06AEA0C343F6}"/>
    <cellStyle name="SAPBEXHLevel3X 15 3" xfId="2628" xr:uid="{2AAE8046-109D-4C56-888A-1C2A391995F2}"/>
    <cellStyle name="SAPBEXHLevel3X 16" xfId="2629" xr:uid="{955B9275-F1B7-4879-AA82-93B30280377A}"/>
    <cellStyle name="SAPBEXHLevel3X 16 2" xfId="2630" xr:uid="{BC3167F0-38D2-4D29-A82F-34718D1CA41D}"/>
    <cellStyle name="SAPBEXHLevel3X 16 2 2" xfId="2631" xr:uid="{F6E00CC5-4BF5-4411-A8EE-20B7D5648B99}"/>
    <cellStyle name="SAPBEXHLevel3X 16 3" xfId="2632" xr:uid="{60B844FB-1A35-4DD8-A0D9-74F139FB36F9}"/>
    <cellStyle name="SAPBEXHLevel3X 17" xfId="2633" xr:uid="{D1D24745-0F2F-4E7F-A178-6C97DD2F8507}"/>
    <cellStyle name="SAPBEXHLevel3X 17 2" xfId="2634" xr:uid="{DF1860D8-C87A-4505-8FEA-9DDBA17AE459}"/>
    <cellStyle name="SAPBEXHLevel3X 17 2 2" xfId="2635" xr:uid="{67E703D8-7A50-47EA-BA19-E077E902BF01}"/>
    <cellStyle name="SAPBEXHLevel3X 17 3" xfId="2636" xr:uid="{D8C4C965-9DF8-450D-AA49-83392B593FEE}"/>
    <cellStyle name="SAPBEXHLevel3X 18" xfId="2637" xr:uid="{9192CC07-D5B6-4393-A3C7-F0ABEA338A7F}"/>
    <cellStyle name="SAPBEXHLevel3X 18 2" xfId="2638" xr:uid="{945B6CA6-EBA1-45CF-A20E-1E012C5AE207}"/>
    <cellStyle name="SAPBEXHLevel3X 2" xfId="2639" xr:uid="{162FC5B7-D036-4F45-B23A-72F915EC2300}"/>
    <cellStyle name="SAPBEXHLevel3X 2 2" xfId="2640" xr:uid="{726D4582-0B86-4540-874C-248B16E5A9BE}"/>
    <cellStyle name="SAPBEXHLevel3X 2 2 2" xfId="2641" xr:uid="{153A3269-5E37-4E01-B33D-01A03B2F1E09}"/>
    <cellStyle name="SAPBEXHLevel3X 2 3" xfId="2642" xr:uid="{5F3B234B-3B3B-4647-A298-12638D882C26}"/>
    <cellStyle name="SAPBEXHLevel3X 3" xfId="2643" xr:uid="{8B8DF0F3-9849-4435-A660-3206F3C7F885}"/>
    <cellStyle name="SAPBEXHLevel3X 3 2" xfId="2644" xr:uid="{E8B0F689-147D-493B-A1A4-5BCC4E582507}"/>
    <cellStyle name="SAPBEXHLevel3X 3 2 2" xfId="2645" xr:uid="{668BD790-38E9-4EEF-9AB8-DE01AEF81CE5}"/>
    <cellStyle name="SAPBEXHLevel3X 3 3" xfId="2646" xr:uid="{99F9A0E8-2F9E-47E1-A933-AE3BF3AE3ED2}"/>
    <cellStyle name="SAPBEXHLevel3X 4" xfId="2647" xr:uid="{E9C50087-260B-4E29-9AD3-57822A4AC48F}"/>
    <cellStyle name="SAPBEXHLevel3X 4 2" xfId="2648" xr:uid="{8C2706EE-E09F-418A-A12B-A1FE4A6B8BB3}"/>
    <cellStyle name="SAPBEXHLevel3X 4 2 2" xfId="2649" xr:uid="{FC50C1E0-36A3-4E89-9D16-E284F22D821A}"/>
    <cellStyle name="SAPBEXHLevel3X 4 3" xfId="2650" xr:uid="{521CD89D-DCA4-46E9-B33C-D4915B37E3CA}"/>
    <cellStyle name="SAPBEXHLevel3X 5" xfId="2651" xr:uid="{1709117D-2C51-412F-86EF-FBD1BEB3D548}"/>
    <cellStyle name="SAPBEXHLevel3X 5 2" xfId="2652" xr:uid="{814E7562-4F42-46CA-9CC5-BAA898BE1A75}"/>
    <cellStyle name="SAPBEXHLevel3X 5 2 2" xfId="2653" xr:uid="{284DBDDA-ADDA-495B-B252-B11305445B4D}"/>
    <cellStyle name="SAPBEXHLevel3X 5 3" xfId="2654" xr:uid="{5308E755-6298-4919-8003-1E2ED4A485A6}"/>
    <cellStyle name="SAPBEXHLevel3X 6" xfId="2655" xr:uid="{81F0013B-21F0-471B-B188-7DC013B4F329}"/>
    <cellStyle name="SAPBEXHLevel3X 6 2" xfId="2656" xr:uid="{97B14842-D465-44B4-AFDE-323008605BE9}"/>
    <cellStyle name="SAPBEXHLevel3X 6 2 2" xfId="2657" xr:uid="{543A114A-998C-450E-A7C3-1ED23665C10A}"/>
    <cellStyle name="SAPBEXHLevel3X 6 3" xfId="2658" xr:uid="{5FDA327F-159B-4174-9910-EB292B4F31DB}"/>
    <cellStyle name="SAPBEXHLevel3X 7" xfId="2659" xr:uid="{E4A92875-B3FC-4F01-838D-36C5DB7ED3F7}"/>
    <cellStyle name="SAPBEXHLevel3X 7 2" xfId="2660" xr:uid="{4AB400CC-4689-4D1C-A891-FD51C6D7BCBE}"/>
    <cellStyle name="SAPBEXHLevel3X 7 2 2" xfId="2661" xr:uid="{F28EC53E-5666-4919-BC51-8AF7D006525A}"/>
    <cellStyle name="SAPBEXHLevel3X 7 3" xfId="2662" xr:uid="{3E3CA191-97F5-4D92-8A6A-F930F57F2FF9}"/>
    <cellStyle name="SAPBEXHLevel3X 8" xfId="2663" xr:uid="{4364D6A0-EABD-4292-A911-2C6F42FEC3FC}"/>
    <cellStyle name="SAPBEXHLevel3X 8 2" xfId="2664" xr:uid="{DDF60725-1B4C-4605-A2D6-D1A5794E0838}"/>
    <cellStyle name="SAPBEXHLevel3X 8 2 2" xfId="2665" xr:uid="{276961D6-97E2-4CFE-BEAC-6D31D9761978}"/>
    <cellStyle name="SAPBEXHLevel3X 8 3" xfId="2666" xr:uid="{D55F63EB-6D2D-4912-A3D2-9D68B2DBBF21}"/>
    <cellStyle name="SAPBEXHLevel3X 9" xfId="2667" xr:uid="{E1738EA0-3736-4C07-9E0D-E136CBA4570B}"/>
    <cellStyle name="SAPBEXHLevel3X 9 2" xfId="2668" xr:uid="{25661C92-D78A-4341-BB26-95443C4CC3B9}"/>
    <cellStyle name="SAPBEXHLevel3X 9 2 2" xfId="2669" xr:uid="{F82C72FE-D47F-46F2-994B-7B6F47240119}"/>
    <cellStyle name="SAPBEXHLevel3X 9 3" xfId="2670" xr:uid="{A8CEB1C6-64AB-4F43-A95B-9639E62FA7F0}"/>
    <cellStyle name="SAPBEXHLevel3X_(B) R&amp;M" xfId="2671" xr:uid="{AE161EB3-1ED2-49D9-ABD9-312343A67C03}"/>
    <cellStyle name="SAPBEXinputData" xfId="2672" xr:uid="{79664079-789C-47E3-B849-07A02459FCE1}"/>
    <cellStyle name="SAPBEXinputData 2" xfId="2673" xr:uid="{47CB43AA-D5AE-458F-AC3D-B93419C93C72}"/>
    <cellStyle name="SAPBEXinputData 2 2" xfId="2674" xr:uid="{B514F39E-4786-4E1E-B134-CFDECD0762DD}"/>
    <cellStyle name="SAPBEXinputData 3" xfId="2675" xr:uid="{CB23AC6A-C20B-427D-AFE5-2CBCA125EA30}"/>
    <cellStyle name="SAPBEXItemHeader" xfId="2676" xr:uid="{F254BB04-88D1-49AE-8A45-D4176B0FB6AA}"/>
    <cellStyle name="SAPBEXItemHeader 2" xfId="2677" xr:uid="{5A40260E-051D-4D28-AA5A-2E4F6778E2CA}"/>
    <cellStyle name="SAPBEXresData" xfId="2678" xr:uid="{F712F890-ABFC-46CA-A56E-1AAFFD2271A0}"/>
    <cellStyle name="SAPBEXresData 10" xfId="2679" xr:uid="{94EE22A4-EBE4-4BB1-8E2F-EDFA1CB1768E}"/>
    <cellStyle name="SAPBEXresData 10 2" xfId="2680" xr:uid="{B55A16FB-F4E8-407D-843B-E9A2E12ECE2A}"/>
    <cellStyle name="SAPBEXresData 11" xfId="2681" xr:uid="{02BA8C5D-6EBC-4DA4-A1B0-A86FE8998A21}"/>
    <cellStyle name="SAPBEXresData 11 2" xfId="2682" xr:uid="{7947A3B7-1BEF-4A9E-B217-D5C18DFEC2CD}"/>
    <cellStyle name="SAPBEXresData 12" xfId="2683" xr:uid="{471BDD50-0916-4E95-BAAA-82A3C51ED881}"/>
    <cellStyle name="SAPBEXresData 12 2" xfId="2684" xr:uid="{06B3E87B-B5B3-4770-AA44-390CE0ED8912}"/>
    <cellStyle name="SAPBEXresData 13" xfId="2685" xr:uid="{6A16455C-157A-4A5F-AD4D-8EC5CB8645DD}"/>
    <cellStyle name="SAPBEXresData 13 2" xfId="2686" xr:uid="{8FBDA808-EC3B-4EEB-8D7D-808129842792}"/>
    <cellStyle name="SAPBEXresData 14" xfId="2687" xr:uid="{4D6551A5-FDC0-42CB-B122-66374BF3FFE0}"/>
    <cellStyle name="SAPBEXresData 14 2" xfId="2688" xr:uid="{7A99E2E2-5EA6-42A6-B297-93FAC969F15A}"/>
    <cellStyle name="SAPBEXresData 15" xfId="2689" xr:uid="{88C87EE8-73A8-4D58-9A58-E8EC914D951C}"/>
    <cellStyle name="SAPBEXresData 15 2" xfId="2690" xr:uid="{D872A0A9-0FF6-46CB-92AE-6C5574658D3B}"/>
    <cellStyle name="SAPBEXresData 16" xfId="2691" xr:uid="{716F5F2E-AE06-4A6A-AB82-C02C43017590}"/>
    <cellStyle name="SAPBEXresData 16 2" xfId="2692" xr:uid="{DB0F5CC5-0627-4CFE-8992-0738305CEBD8}"/>
    <cellStyle name="SAPBEXresData 17" xfId="2693" xr:uid="{0B083173-B6FD-4D5D-A188-A7652F14B714}"/>
    <cellStyle name="SAPBEXresData 17 2" xfId="2694" xr:uid="{0B72925A-F975-49C6-9310-E7BA09CFE524}"/>
    <cellStyle name="SAPBEXresData 18" xfId="2695" xr:uid="{F060FE45-4391-4263-8BE3-476632051FBA}"/>
    <cellStyle name="SAPBEXresData 2" xfId="2696" xr:uid="{497AA59F-E6E0-4751-8D8C-D56D061F907C}"/>
    <cellStyle name="SAPBEXresData 2 2" xfId="2697" xr:uid="{87642D58-96C1-48D4-883D-33F256F98A68}"/>
    <cellStyle name="SAPBEXresData 3" xfId="2698" xr:uid="{A3D0FBE1-AA81-4162-B6AD-43EA380597A1}"/>
    <cellStyle name="SAPBEXresData 3 2" xfId="2699" xr:uid="{042A9F1F-EA21-43B6-9445-A267C7582ACA}"/>
    <cellStyle name="SAPBEXresData 4" xfId="2700" xr:uid="{2C6FFC82-3DBB-4227-A382-A64EF2E2FA7D}"/>
    <cellStyle name="SAPBEXresData 4 2" xfId="2701" xr:uid="{BA4684D6-2E5B-4EE0-9D45-FE458872EA60}"/>
    <cellStyle name="SAPBEXresData 5" xfId="2702" xr:uid="{D87DA0A0-4617-423F-A2F4-82AB7CD351FD}"/>
    <cellStyle name="SAPBEXresData 5 2" xfId="2703" xr:uid="{19F2C237-BFA4-4C68-B701-FA1E0B76AF8B}"/>
    <cellStyle name="SAPBEXresData 6" xfId="2704" xr:uid="{6F64B3E0-131D-4C58-AC5B-F433E97CC5B7}"/>
    <cellStyle name="SAPBEXresData 6 2" xfId="2705" xr:uid="{0F267A9B-6D3B-47A2-8D8E-52A4F09FB49A}"/>
    <cellStyle name="SAPBEXresData 7" xfId="2706" xr:uid="{A8AFC944-3B86-4409-9630-6224A7ACE25B}"/>
    <cellStyle name="SAPBEXresData 7 2" xfId="2707" xr:uid="{2AE7100B-7773-4303-A4BB-132E886186B3}"/>
    <cellStyle name="SAPBEXresData 8" xfId="2708" xr:uid="{2F44430F-73BF-4248-B586-97EE3545F371}"/>
    <cellStyle name="SAPBEXresData 8 2" xfId="2709" xr:uid="{88E2AB38-3A5C-48F0-8435-34B0BF373E71}"/>
    <cellStyle name="SAPBEXresData 9" xfId="2710" xr:uid="{AD7E4E65-0036-4671-BA71-26BEAF21A726}"/>
    <cellStyle name="SAPBEXresData 9 2" xfId="2711" xr:uid="{883BB375-724E-4C89-A51F-90CA67007680}"/>
    <cellStyle name="SAPBEXresData_(B) R&amp;M" xfId="2712" xr:uid="{0D2105F7-9D36-41EC-A528-820AEB143260}"/>
    <cellStyle name="SAPBEXresDataEmph" xfId="2713" xr:uid="{1AD93794-3770-41D5-A080-47606B467216}"/>
    <cellStyle name="SAPBEXresDataEmph 10" xfId="2714" xr:uid="{CE78F014-156B-45EE-85F8-6B4522ABE00F}"/>
    <cellStyle name="SAPBEXresDataEmph 11" xfId="2715" xr:uid="{5C21F1CB-702D-4791-8CB4-2D01FE78DDF3}"/>
    <cellStyle name="SAPBEXresDataEmph 12" xfId="2716" xr:uid="{77A3A5AF-A9C2-4E5B-9A8D-76656F6B4C36}"/>
    <cellStyle name="SAPBEXresDataEmph 13" xfId="2717" xr:uid="{8DF6652A-91C9-4411-9BEE-07C1E1023B79}"/>
    <cellStyle name="SAPBEXresDataEmph 14" xfId="2718" xr:uid="{04502B98-A339-4AC3-A150-97FC6008A107}"/>
    <cellStyle name="SAPBEXresDataEmph 15" xfId="2719" xr:uid="{C0D9C413-3D74-45E9-9FD0-7D363ACCEF1F}"/>
    <cellStyle name="SAPBEXresDataEmph 16" xfId="2720" xr:uid="{EC8E7ECA-F5AC-4EFC-8D5B-866D02046C41}"/>
    <cellStyle name="SAPBEXresDataEmph 17" xfId="2721" xr:uid="{42560696-7C54-49D1-AF43-3F65F0789898}"/>
    <cellStyle name="SAPBEXresDataEmph 2" xfId="2722" xr:uid="{98E7337A-6100-48A4-A44C-4871E1FACFE6}"/>
    <cellStyle name="SAPBEXresDataEmph 3" xfId="2723" xr:uid="{2F3EB3E7-DB1F-4511-99B9-73A304DF8A2A}"/>
    <cellStyle name="SAPBEXresDataEmph 4" xfId="2724" xr:uid="{27116388-4729-4915-9129-9411606AC36C}"/>
    <cellStyle name="SAPBEXresDataEmph 5" xfId="2725" xr:uid="{878F5236-82A0-4DF0-AD22-B9ADDDBFF06E}"/>
    <cellStyle name="SAPBEXresDataEmph 6" xfId="2726" xr:uid="{8CAB51A3-3526-494E-A9CA-D769B8631846}"/>
    <cellStyle name="SAPBEXresDataEmph 7" xfId="2727" xr:uid="{451F9D5C-0030-4CE2-8222-5D12683ED036}"/>
    <cellStyle name="SAPBEXresDataEmph 8" xfId="2728" xr:uid="{82F97730-37B3-41A6-BD72-31058480D7BF}"/>
    <cellStyle name="SAPBEXresDataEmph 9" xfId="2729" xr:uid="{FDE48938-313A-42B6-95CB-A32EE4AC494E}"/>
    <cellStyle name="SAPBEXresDataEmph_(B) R&amp;M" xfId="2730" xr:uid="{285151EA-13A9-4114-9CB6-B0998108803A}"/>
    <cellStyle name="SAPBEXresItem" xfId="2731" xr:uid="{BA6F2647-A158-4E5A-8F40-8321A5481D54}"/>
    <cellStyle name="SAPBEXresItem 10" xfId="2732" xr:uid="{6374A3D6-9AFB-4613-B36C-064E0CF80738}"/>
    <cellStyle name="SAPBEXresItem 10 2" xfId="2733" xr:uid="{365E9B11-A8A7-4A0E-8552-35CB07C2F77F}"/>
    <cellStyle name="SAPBEXresItem 11" xfId="2734" xr:uid="{78373FBA-70C6-4133-B282-5C71E214BD84}"/>
    <cellStyle name="SAPBEXresItem 11 2" xfId="2735" xr:uid="{86AFDEF7-CB6E-4748-97AF-0A5A97136BAC}"/>
    <cellStyle name="SAPBEXresItem 12" xfId="2736" xr:uid="{555E14AF-4B5A-4470-8500-815A464B10B8}"/>
    <cellStyle name="SAPBEXresItem 12 2" xfId="2737" xr:uid="{9EFC01AB-6BA9-44DF-9D9E-5C203D30608F}"/>
    <cellStyle name="SAPBEXresItem 13" xfId="2738" xr:uid="{C639C772-C543-4727-9669-6DEDD46E4B2C}"/>
    <cellStyle name="SAPBEXresItem 13 2" xfId="2739" xr:uid="{BD7D16BB-EC5E-45EE-BBCD-1E3BB2381C4F}"/>
    <cellStyle name="SAPBEXresItem 14" xfId="2740" xr:uid="{D40371CD-D05C-48EA-ABC2-F10BC424E25A}"/>
    <cellStyle name="SAPBEXresItem 14 2" xfId="2741" xr:uid="{74B26F93-00B2-4F2B-AF46-8E1DF1406881}"/>
    <cellStyle name="SAPBEXresItem 15" xfId="2742" xr:uid="{A1A3C7D8-35B1-4907-BAB8-CA156AD51E7D}"/>
    <cellStyle name="SAPBEXresItem 15 2" xfId="2743" xr:uid="{ED75C14E-B439-46B4-8CA7-6F5974B5BCE2}"/>
    <cellStyle name="SAPBEXresItem 16" xfId="2744" xr:uid="{E7F58912-16EE-48E4-AE8C-F3334CC2AE68}"/>
    <cellStyle name="SAPBEXresItem 16 2" xfId="2745" xr:uid="{6BC56482-9250-4B08-82C8-DAD41DF67F73}"/>
    <cellStyle name="SAPBEXresItem 17" xfId="2746" xr:uid="{0C4E35C4-1A70-47BA-B8F9-2239CDC99028}"/>
    <cellStyle name="SAPBEXresItem 17 2" xfId="2747" xr:uid="{95BF01DE-10B2-4FB9-A97C-C59F4DBDEFD8}"/>
    <cellStyle name="SAPBEXresItem 18" xfId="2748" xr:uid="{68A4F90D-FA15-42AB-A8DA-9399A68264A9}"/>
    <cellStyle name="SAPBEXresItem 2" xfId="2749" xr:uid="{289A4BB3-8AB8-447F-9947-04877601A59F}"/>
    <cellStyle name="SAPBEXresItem 2 2" xfId="2750" xr:uid="{4D6F9312-319C-4937-83CA-24D8CA18CAE0}"/>
    <cellStyle name="SAPBEXresItem 3" xfId="2751" xr:uid="{C916E792-096C-4ECB-88CD-9566EDB9D4CD}"/>
    <cellStyle name="SAPBEXresItem 3 2" xfId="2752" xr:uid="{A76A7091-19A2-46E2-BF03-B5EFE7A1D72E}"/>
    <cellStyle name="SAPBEXresItem 4" xfId="2753" xr:uid="{EFC0BDED-92F6-4C8F-93D3-74CB233FCAFC}"/>
    <cellStyle name="SAPBEXresItem 4 2" xfId="2754" xr:uid="{EAB89E12-2CEB-43F1-9850-D24B104F1DDC}"/>
    <cellStyle name="SAPBEXresItem 5" xfId="2755" xr:uid="{8CA7ABF6-3F16-43EC-8674-1FEA89DD5C88}"/>
    <cellStyle name="SAPBEXresItem 5 2" xfId="2756" xr:uid="{0E4A12FB-D8AF-4E19-94F2-2EC5D0A93FD2}"/>
    <cellStyle name="SAPBEXresItem 6" xfId="2757" xr:uid="{02303057-544E-4E07-AFCF-C9AB4BCFED81}"/>
    <cellStyle name="SAPBEXresItem 6 2" xfId="2758" xr:uid="{33E89649-C35A-4E1D-AEBF-669EC2BC0C93}"/>
    <cellStyle name="SAPBEXresItem 7" xfId="2759" xr:uid="{AFF34C45-5D6B-4DC0-AD2C-A43A4515945E}"/>
    <cellStyle name="SAPBEXresItem 7 2" xfId="2760" xr:uid="{0B8FDF02-AAE2-4356-9A55-3499752BA0B3}"/>
    <cellStyle name="SAPBEXresItem 8" xfId="2761" xr:uid="{1FBAD286-B32F-4A24-BB77-6F0CB58F1829}"/>
    <cellStyle name="SAPBEXresItem 8 2" xfId="2762" xr:uid="{257F729B-E333-40C9-997B-8DA1F968F619}"/>
    <cellStyle name="SAPBEXresItem 9" xfId="2763" xr:uid="{8C88EB8C-4423-4C10-8C82-CC84D140059D}"/>
    <cellStyle name="SAPBEXresItem 9 2" xfId="2764" xr:uid="{1378E905-AE10-438D-9AEF-9500F1C0A9BA}"/>
    <cellStyle name="SAPBEXresItem_(B) R&amp;M" xfId="2765" xr:uid="{8D49E1E4-C132-4B75-B5FC-8FEB0AD5CFFE}"/>
    <cellStyle name="SAPBEXresItemX" xfId="2766" xr:uid="{7F55124C-F6C5-45CC-93EF-FCB1BFE52180}"/>
    <cellStyle name="SAPBEXresItemX 10" xfId="2767" xr:uid="{D287F017-A8AD-49D1-846B-ADDF1A3B9F95}"/>
    <cellStyle name="SAPBEXresItemX 10 2" xfId="2768" xr:uid="{1D5DA20B-8AEC-449C-850F-EC6433F7D1E7}"/>
    <cellStyle name="SAPBEXresItemX 11" xfId="2769" xr:uid="{BDDFDD81-E633-496A-944D-B7A4B8DBE17A}"/>
    <cellStyle name="SAPBEXresItemX 11 2" xfId="2770" xr:uid="{0AF4B9F3-966F-4E60-931A-9A3BF9553643}"/>
    <cellStyle name="SAPBEXresItemX 12" xfId="2771" xr:uid="{FE0BE779-2AE8-4146-95C1-1DF81DD6738B}"/>
    <cellStyle name="SAPBEXresItemX 12 2" xfId="2772" xr:uid="{4C5DF22E-0DD3-4541-9DBD-5A37A945F44D}"/>
    <cellStyle name="SAPBEXresItemX 13" xfId="2773" xr:uid="{6EDAD657-F2D2-43F7-A326-ACECDB9DFF2C}"/>
    <cellStyle name="SAPBEXresItemX 13 2" xfId="2774" xr:uid="{292C63D4-46DC-4751-9BF8-2A0CA39EAAB6}"/>
    <cellStyle name="SAPBEXresItemX 14" xfId="2775" xr:uid="{E5E7B2E1-B5CB-46D1-A65C-6110732D106A}"/>
    <cellStyle name="SAPBEXresItemX 14 2" xfId="2776" xr:uid="{3FD3769F-3C46-4A38-BD94-9A0B325062AF}"/>
    <cellStyle name="SAPBEXresItemX 15" xfId="2777" xr:uid="{C5587035-5D04-4CE1-BED6-9300B696076E}"/>
    <cellStyle name="SAPBEXresItemX 15 2" xfId="2778" xr:uid="{CD702EB6-1867-42D2-AE36-117037BE92B0}"/>
    <cellStyle name="SAPBEXresItemX 16" xfId="2779" xr:uid="{72944ECC-295F-43D1-A79B-AF83108DE628}"/>
    <cellStyle name="SAPBEXresItemX 16 2" xfId="2780" xr:uid="{B7A79EC8-DC52-4938-836B-83FA9C134B5E}"/>
    <cellStyle name="SAPBEXresItemX 17" xfId="2781" xr:uid="{A9E5405C-EFCF-4A82-8558-18948BF150DF}"/>
    <cellStyle name="SAPBEXresItemX 17 2" xfId="2782" xr:uid="{B3E55DDA-DD4D-4565-A959-AFA916B890EB}"/>
    <cellStyle name="SAPBEXresItemX 18" xfId="2783" xr:uid="{D9FDB08A-D9FB-4B66-AB6A-A5BAFA52D841}"/>
    <cellStyle name="SAPBEXresItemX 2" xfId="2784" xr:uid="{40AA42C9-F9C9-42C1-A180-7FB57CA45C55}"/>
    <cellStyle name="SAPBEXresItemX 2 2" xfId="2785" xr:uid="{51D98CF9-CD6D-45C0-9042-201739E6698F}"/>
    <cellStyle name="SAPBEXresItemX 3" xfId="2786" xr:uid="{92A24F3B-EE60-4E20-A9A7-4B57F339B385}"/>
    <cellStyle name="SAPBEXresItemX 3 2" xfId="2787" xr:uid="{4D309A52-AE35-4112-8180-94B512264B64}"/>
    <cellStyle name="SAPBEXresItemX 4" xfId="2788" xr:uid="{E3A275CF-04F1-4913-B4F4-0A249DFAC5DC}"/>
    <cellStyle name="SAPBEXresItemX 4 2" xfId="2789" xr:uid="{4158FB42-A37D-4656-9D8D-ABDF43C1BF60}"/>
    <cellStyle name="SAPBEXresItemX 5" xfId="2790" xr:uid="{9E052F2F-A264-45F5-82C4-6D087FB622F8}"/>
    <cellStyle name="SAPBEXresItemX 5 2" xfId="2791" xr:uid="{EE940AE7-E11D-44EE-905D-7C928C3894C1}"/>
    <cellStyle name="SAPBEXresItemX 6" xfId="2792" xr:uid="{FF57DAA4-06BB-4B61-9447-5D1C03E7DC7C}"/>
    <cellStyle name="SAPBEXresItemX 6 2" xfId="2793" xr:uid="{3AA54FDC-8680-41F5-8AB5-5CAA40F70E3C}"/>
    <cellStyle name="SAPBEXresItemX 7" xfId="2794" xr:uid="{A818BC4E-4401-4539-A8E2-64A4CF925FD9}"/>
    <cellStyle name="SAPBEXresItemX 7 2" xfId="2795" xr:uid="{282EBF8D-CE83-4060-BC0B-BA3DD927B5EA}"/>
    <cellStyle name="SAPBEXresItemX 8" xfId="2796" xr:uid="{43E506DA-F3E5-47AC-BBDE-5C8F44E61675}"/>
    <cellStyle name="SAPBEXresItemX 8 2" xfId="2797" xr:uid="{3D97A74F-FD1D-461E-924D-203CA097AF2A}"/>
    <cellStyle name="SAPBEXresItemX 9" xfId="2798" xr:uid="{ED80CCE6-CF66-4239-9338-420A8D47750F}"/>
    <cellStyle name="SAPBEXresItemX 9 2" xfId="2799" xr:uid="{5096AEE3-1E2C-41DD-B994-92F2288475C4}"/>
    <cellStyle name="SAPBEXresItemX_(B) R&amp;M" xfId="2800" xr:uid="{5CE943CA-E856-4383-9A1B-B65BEF98BE37}"/>
    <cellStyle name="SAPBEXstdData" xfId="2801" xr:uid="{C30808B2-48DB-461C-B765-CA469BA398F3}"/>
    <cellStyle name="SAPBEXstdData 10" xfId="2802" xr:uid="{9708FC61-C3EF-433F-803A-F1061AFE9F11}"/>
    <cellStyle name="SAPBEXstdData 10 2" xfId="2803" xr:uid="{02C3470F-29AC-4EEE-B9E5-0926F5056338}"/>
    <cellStyle name="SAPBEXstdData 11" xfId="2804" xr:uid="{EEAD3E61-A2E8-4649-BFBE-CFF4A8851D84}"/>
    <cellStyle name="SAPBEXstdData 11 2" xfId="2805" xr:uid="{CC1C8557-04E7-4143-8359-ED6B97182D61}"/>
    <cellStyle name="SAPBEXstdData 12" xfId="2806" xr:uid="{46470DE2-D2D9-446A-89D8-5FE75493D8CF}"/>
    <cellStyle name="SAPBEXstdData 12 2" xfId="2807" xr:uid="{ABCE444E-3E6F-4F0C-B428-361A86421C00}"/>
    <cellStyle name="SAPBEXstdData 13" xfId="2808" xr:uid="{FC7319E2-7C6F-45CF-A8F4-09432DF0BDA7}"/>
    <cellStyle name="SAPBEXstdData 13 2" xfId="2809" xr:uid="{A57BA4B8-6520-4A39-BA7F-964F23D1A717}"/>
    <cellStyle name="SAPBEXstdData 14" xfId="2810" xr:uid="{4E645B17-B504-4658-99E3-D5298FF3C2F2}"/>
    <cellStyle name="SAPBEXstdData 14 2" xfId="2811" xr:uid="{36BDE380-96A5-4BB7-9E83-F3FB62A21BA1}"/>
    <cellStyle name="SAPBEXstdData 15" xfId="2812" xr:uid="{FB44038C-250D-43D4-900F-E802C46BFB19}"/>
    <cellStyle name="SAPBEXstdData 15 2" xfId="2813" xr:uid="{CF00FF98-0201-4E9C-9386-5F46B120A234}"/>
    <cellStyle name="SAPBEXstdData 16" xfId="2814" xr:uid="{F26F5D9B-0312-4003-B449-93E43ACB35F7}"/>
    <cellStyle name="SAPBEXstdData 16 2" xfId="2815" xr:uid="{965F4DA6-FFD8-4BBE-930D-82DC02D28813}"/>
    <cellStyle name="SAPBEXstdData 17" xfId="2816" xr:uid="{DDAE5BCB-DF8A-4D28-B83D-224FE78EF088}"/>
    <cellStyle name="SAPBEXstdData 17 2" xfId="2817" xr:uid="{47261E93-0A9E-451C-89AA-2A9B8B50406A}"/>
    <cellStyle name="SAPBEXstdData 18" xfId="2818" xr:uid="{F567970D-07D9-4544-8134-4EDB7BCDA871}"/>
    <cellStyle name="SAPBEXstdData 2" xfId="2819" xr:uid="{A4928F1D-CBDB-4E00-B6B4-4BAF0145473A}"/>
    <cellStyle name="SAPBEXstdData 2 2" xfId="2820" xr:uid="{F19CA2D2-7EA1-4266-8D33-62E78D647CCC}"/>
    <cellStyle name="SAPBEXstdData 3" xfId="2821" xr:uid="{60BA8869-DDF5-47B6-AFC7-84080DD43D1D}"/>
    <cellStyle name="SAPBEXstdData 3 2" xfId="2822" xr:uid="{8AFAF18E-B012-4465-AE78-9386CBCF1BF9}"/>
    <cellStyle name="SAPBEXstdData 4" xfId="2823" xr:uid="{62E0BB7A-07A8-418A-9483-E3C2CA577BB2}"/>
    <cellStyle name="SAPBEXstdData 4 2" xfId="2824" xr:uid="{55E6D0D6-4C36-4A95-8FE5-59EEE428F48A}"/>
    <cellStyle name="SAPBEXstdData 5" xfId="2825" xr:uid="{3BD71286-65AA-4D34-9187-4AEE352ACB5B}"/>
    <cellStyle name="SAPBEXstdData 5 2" xfId="2826" xr:uid="{2F24B55E-E128-4D8A-973D-A7EC6EDEB53D}"/>
    <cellStyle name="SAPBEXstdData 6" xfId="2827" xr:uid="{2B7A3EC3-7CC7-41F9-98A8-1503F14EDDB0}"/>
    <cellStyle name="SAPBEXstdData 6 2" xfId="2828" xr:uid="{6CC783B3-7B58-4765-9AEE-CAC55563F550}"/>
    <cellStyle name="SAPBEXstdData 7" xfId="2829" xr:uid="{7F190CD3-2FB5-45DF-947D-CA33AF2DDB15}"/>
    <cellStyle name="SAPBEXstdData 7 2" xfId="2830" xr:uid="{0597D4B0-84B1-41AE-95FC-B35ED60B2AC9}"/>
    <cellStyle name="SAPBEXstdData 8" xfId="2831" xr:uid="{489E6CBC-48FA-4EEB-8E88-70C5902E4FA2}"/>
    <cellStyle name="SAPBEXstdData 8 2" xfId="2832" xr:uid="{967824F0-7AC0-428F-AAD0-A3BEEE7A6CA0}"/>
    <cellStyle name="SAPBEXstdData 9" xfId="2833" xr:uid="{309AC722-4AAB-4166-A083-F1389AFA317C}"/>
    <cellStyle name="SAPBEXstdData 9 2" xfId="2834" xr:uid="{AFD82BDF-7D95-4E38-9C53-1CAE0A1142C9}"/>
    <cellStyle name="SAPBEXstdData_(A) E&amp;P" xfId="2835" xr:uid="{1A74055F-1FB8-4826-9ED9-E66BB08FD504}"/>
    <cellStyle name="SAPBEXstdDataEmph" xfId="2836" xr:uid="{774D39E5-2B56-4819-8778-63A6C221A72A}"/>
    <cellStyle name="SAPBEXstdDataEmph 10" xfId="2837" xr:uid="{1D66F0A6-776A-41E1-B386-22DAEBA3D272}"/>
    <cellStyle name="SAPBEXstdDataEmph 11" xfId="2838" xr:uid="{8A81B344-05BE-4276-ADBA-F95D6570E316}"/>
    <cellStyle name="SAPBEXstdDataEmph 12" xfId="2839" xr:uid="{C7395A24-207D-463F-BCEE-6ACDB9677427}"/>
    <cellStyle name="SAPBEXstdDataEmph 13" xfId="2840" xr:uid="{8ED24E6A-F45D-4D93-80EF-7A5CBD7701FE}"/>
    <cellStyle name="SAPBEXstdDataEmph 14" xfId="2841" xr:uid="{80C60E7C-FA44-42DD-89F6-74AE322512AB}"/>
    <cellStyle name="SAPBEXstdDataEmph 15" xfId="2842" xr:uid="{25A25AA1-F993-4A0E-8AA8-6EA02F437B37}"/>
    <cellStyle name="SAPBEXstdDataEmph 16" xfId="2843" xr:uid="{03070037-8A66-4C4B-8F84-57D01C027127}"/>
    <cellStyle name="SAPBEXstdDataEmph 17" xfId="2844" xr:uid="{93E7EB4F-C61C-4211-93F9-2165C2F01FFA}"/>
    <cellStyle name="SAPBEXstdDataEmph 2" xfId="2845" xr:uid="{7C181128-3BAE-4766-865B-C34814567C89}"/>
    <cellStyle name="SAPBEXstdDataEmph 3" xfId="2846" xr:uid="{838B5296-0C91-4EF8-B4B3-D031470AB7F1}"/>
    <cellStyle name="SAPBEXstdDataEmph 4" xfId="2847" xr:uid="{78570FC1-59C0-4591-B616-128A7255FAF5}"/>
    <cellStyle name="SAPBEXstdDataEmph 5" xfId="2848" xr:uid="{2304C7B1-0076-4457-875F-759FD9F2993B}"/>
    <cellStyle name="SAPBEXstdDataEmph 6" xfId="2849" xr:uid="{E32A2C8C-5D3B-488D-B57B-63AC8D3691FA}"/>
    <cellStyle name="SAPBEXstdDataEmph 7" xfId="2850" xr:uid="{F73EB5B2-6E1C-4316-8D09-666A159BD583}"/>
    <cellStyle name="SAPBEXstdDataEmph 8" xfId="2851" xr:uid="{5A38D89B-793B-4DCD-B3C3-7A993FA18346}"/>
    <cellStyle name="SAPBEXstdDataEmph 9" xfId="2852" xr:uid="{233979FD-F6E3-41A8-B5DB-E0CFCC58F2A2}"/>
    <cellStyle name="SAPBEXstdDataEmph_(B) R&amp;M" xfId="2853" xr:uid="{3C2B3930-92F1-4ED8-9F8C-84CD79ED60AE}"/>
    <cellStyle name="SAPBEXstdItem" xfId="2854" xr:uid="{0017CE58-D6CF-48B4-BBD1-C0CB43EF76F3}"/>
    <cellStyle name="SAPBEXstdItem 10" xfId="2855" xr:uid="{803B3284-D803-41F6-95D4-97A6FF5578A0}"/>
    <cellStyle name="SAPBEXstdItem 10 2" xfId="2856" xr:uid="{C71A3AA9-3C36-4C2E-9A26-A6CEC0C15D39}"/>
    <cellStyle name="SAPBEXstdItem 10 2 2" xfId="2857" xr:uid="{19715B79-8D9D-4BC0-8F02-0FEDE6BCC2E9}"/>
    <cellStyle name="SAPBEXstdItem 10 3" xfId="2858" xr:uid="{BD63482D-4936-4055-9BC7-E4C8774B96A7}"/>
    <cellStyle name="SAPBEXstdItem 11" xfId="2859" xr:uid="{8E8DBC36-BB87-42D5-A802-7B64B2289404}"/>
    <cellStyle name="SAPBEXstdItem 11 2" xfId="2860" xr:uid="{3E644ED8-CFDE-4180-8A97-4AA801E49F0F}"/>
    <cellStyle name="SAPBEXstdItem 11 2 2" xfId="2861" xr:uid="{C598433C-FA2E-4CDB-AEF5-E1B5D4F5A9C0}"/>
    <cellStyle name="SAPBEXstdItem 11 3" xfId="2862" xr:uid="{565A356C-3906-4ABD-8B8C-40FEC20EB421}"/>
    <cellStyle name="SAPBEXstdItem 12" xfId="2863" xr:uid="{3D4E583A-7703-47AC-A5B1-8952A8F2A9DA}"/>
    <cellStyle name="SAPBEXstdItem 12 2" xfId="2864" xr:uid="{A665A26A-1593-424B-9BA9-CCF14BB4E0BA}"/>
    <cellStyle name="SAPBEXstdItem 12 2 2" xfId="2865" xr:uid="{B2BF2327-9CB4-4DA7-A68A-1FA96EEF47EA}"/>
    <cellStyle name="SAPBEXstdItem 12 3" xfId="2866" xr:uid="{D95427F3-CAA5-4537-958B-681323C2F6D8}"/>
    <cellStyle name="SAPBEXstdItem 13" xfId="2867" xr:uid="{A0182B0E-B349-48CA-8415-DDE492DC28F3}"/>
    <cellStyle name="SAPBEXstdItem 13 2" xfId="2868" xr:uid="{8C544BE3-8DB7-4858-B9E5-F64CB117E150}"/>
    <cellStyle name="SAPBEXstdItem 13 2 2" xfId="2869" xr:uid="{ADE24B48-082E-4485-A3C7-CAF415B1D730}"/>
    <cellStyle name="SAPBEXstdItem 13 3" xfId="2870" xr:uid="{907417AC-870A-4F4A-8208-0C2337CB895C}"/>
    <cellStyle name="SAPBEXstdItem 14" xfId="2871" xr:uid="{4BDB2E82-214A-4F41-9433-0D27E4CFA5C3}"/>
    <cellStyle name="SAPBEXstdItem 14 2" xfId="2872" xr:uid="{AE26644B-58FC-4AE5-88B7-BC25DC6D2E42}"/>
    <cellStyle name="SAPBEXstdItem 14 2 2" xfId="2873" xr:uid="{3C6E6CB5-86B5-474F-B306-AA1C8F4233A3}"/>
    <cellStyle name="SAPBEXstdItem 14 3" xfId="2874" xr:uid="{5E103242-9E63-4146-AAC8-FDCE6C672230}"/>
    <cellStyle name="SAPBEXstdItem 15" xfId="2875" xr:uid="{5CB11CAA-3E57-44CC-B779-5EC4305FED72}"/>
    <cellStyle name="SAPBEXstdItem 15 2" xfId="2876" xr:uid="{97375087-2CA9-4A74-9C2A-E4291450D271}"/>
    <cellStyle name="SAPBEXstdItem 15 2 2" xfId="2877" xr:uid="{57F73381-2CD1-40B9-B33C-D4662EA4DBC8}"/>
    <cellStyle name="SAPBEXstdItem 15 3" xfId="2878" xr:uid="{E87A2933-D07F-48B0-AEC5-1762A1770AB6}"/>
    <cellStyle name="SAPBEXstdItem 16" xfId="2879" xr:uid="{F6B1AA9B-88DD-42E2-AAA8-22E188144AB0}"/>
    <cellStyle name="SAPBEXstdItem 16 2" xfId="2880" xr:uid="{8CED0557-8EAA-4511-9E28-B2DFAE3BAE74}"/>
    <cellStyle name="SAPBEXstdItem 16 2 2" xfId="2881" xr:uid="{56018350-4449-4524-A98F-AB12ED94DB56}"/>
    <cellStyle name="SAPBEXstdItem 16 3" xfId="2882" xr:uid="{3FE4D03B-A594-4D71-91AB-0A38EEA6142D}"/>
    <cellStyle name="SAPBEXstdItem 17" xfId="2883" xr:uid="{02DC82B5-AF31-47CF-8CDE-1943C8DB0FD3}"/>
    <cellStyle name="SAPBEXstdItem 17 2" xfId="2884" xr:uid="{ADC6F465-5EB2-41F1-ABF9-61CBBEA3D525}"/>
    <cellStyle name="SAPBEXstdItem 17 2 2" xfId="2885" xr:uid="{F246FF9D-6114-4E1C-98BE-32680E81BCB6}"/>
    <cellStyle name="SAPBEXstdItem 17 3" xfId="2886" xr:uid="{1E682043-8375-4B66-BC84-73DF789C8019}"/>
    <cellStyle name="SAPBEXstdItem 18" xfId="2887" xr:uid="{3FDCC4A6-5CCD-4C66-BF3F-8CB316884ABC}"/>
    <cellStyle name="SAPBEXstdItem 18 2" xfId="2888" xr:uid="{1CD6D387-0913-45D8-BF31-5577E5F0406E}"/>
    <cellStyle name="SAPBEXstdItem 2" xfId="2889" xr:uid="{4CEAF98D-2873-4CA7-9DE3-4072E42E97CC}"/>
    <cellStyle name="SAPBEXstdItem 2 2" xfId="2890" xr:uid="{5C0BC27A-777F-406F-86FD-4FFB133BAE6C}"/>
    <cellStyle name="SAPBEXstdItem 2 2 2" xfId="2891" xr:uid="{E5934266-45CB-4B37-8E4E-A5CDA6F952B7}"/>
    <cellStyle name="SAPBEXstdItem 2 3" xfId="2892" xr:uid="{3CDABC02-08BC-47F8-925A-07FF528D1A81}"/>
    <cellStyle name="SAPBEXstdItem 3" xfId="2893" xr:uid="{39B693E3-DDCD-4C1E-BC6A-F467AC78A408}"/>
    <cellStyle name="SAPBEXstdItem 3 2" xfId="2894" xr:uid="{D4C3C065-3ECE-4493-A5B4-974E006AA83C}"/>
    <cellStyle name="SAPBEXstdItem 3 2 2" xfId="2895" xr:uid="{E4F461FA-BA8A-4032-8322-FB1613EA9216}"/>
    <cellStyle name="SAPBEXstdItem 3 3" xfId="2896" xr:uid="{7B8C7727-CCD9-4241-868A-883776550397}"/>
    <cellStyle name="SAPBEXstdItem 4" xfId="2897" xr:uid="{074C52C9-A10C-4BBF-BFDA-A94433D89AED}"/>
    <cellStyle name="SAPBEXstdItem 4 2" xfId="2898" xr:uid="{AA4031F7-69D7-403C-BB80-B26E2DD3362E}"/>
    <cellStyle name="SAPBEXstdItem 4 2 2" xfId="2899" xr:uid="{68806014-F277-4F84-B0DF-B83B0BADCD11}"/>
    <cellStyle name="SAPBEXstdItem 4 3" xfId="2900" xr:uid="{B67A785E-4AA9-40E0-808B-8D467C17803F}"/>
    <cellStyle name="SAPBEXstdItem 5" xfId="2901" xr:uid="{25B290B9-F7F5-4952-92C7-72E11FA76769}"/>
    <cellStyle name="SAPBEXstdItem 5 2" xfId="2902" xr:uid="{97C8BD2B-B10F-4CD7-8B5B-634898107DD1}"/>
    <cellStyle name="SAPBEXstdItem 5 2 2" xfId="2903" xr:uid="{4824C796-46F9-46D6-B769-D993B04C59C9}"/>
    <cellStyle name="SAPBEXstdItem 5 3" xfId="2904" xr:uid="{3B6A8DC9-4705-4163-BF71-6331F994048A}"/>
    <cellStyle name="SAPBEXstdItem 6" xfId="2905" xr:uid="{00E6592C-067C-4A5E-BE14-C19229D015EF}"/>
    <cellStyle name="SAPBEXstdItem 6 2" xfId="2906" xr:uid="{E5D6B6E8-4F9B-4D3D-9EA8-4DDC8C7D0769}"/>
    <cellStyle name="SAPBEXstdItem 6 2 2" xfId="2907" xr:uid="{F5174754-03EF-4D62-9FB2-FD8910D2F577}"/>
    <cellStyle name="SAPBEXstdItem 6 3" xfId="2908" xr:uid="{A3F9783A-782E-4407-806B-ECCF44684C5C}"/>
    <cellStyle name="SAPBEXstdItem 7" xfId="2909" xr:uid="{13165392-AB6B-4D17-ACC6-9636A0649EAE}"/>
    <cellStyle name="SAPBEXstdItem 7 2" xfId="2910" xr:uid="{67BDCD24-CC6A-4118-ADF0-DA51B96695B7}"/>
    <cellStyle name="SAPBEXstdItem 7 2 2" xfId="2911" xr:uid="{62C96D84-6E4A-4E2A-B9B5-C8F311ED578E}"/>
    <cellStyle name="SAPBEXstdItem 7 3" xfId="2912" xr:uid="{9127C2D7-C08A-45E9-979B-244E6FC3ED34}"/>
    <cellStyle name="SAPBEXstdItem 8" xfId="2913" xr:uid="{CD567ACD-10BC-419C-8BEA-7EB341E58EBF}"/>
    <cellStyle name="SAPBEXstdItem 8 2" xfId="2914" xr:uid="{34D04478-C16C-4478-B88B-3AD55ACF1EAE}"/>
    <cellStyle name="SAPBEXstdItem 8 2 2" xfId="2915" xr:uid="{CA14A857-9BD2-42F9-9459-2527B2BAE4D7}"/>
    <cellStyle name="SAPBEXstdItem 8 3" xfId="2916" xr:uid="{A7212C7E-5227-44DA-902C-8F317B896C48}"/>
    <cellStyle name="SAPBEXstdItem 9" xfId="2917" xr:uid="{87A6BA05-C4F6-4054-83E8-18A5EB70CDB5}"/>
    <cellStyle name="SAPBEXstdItem 9 2" xfId="2918" xr:uid="{3F2B372A-AD52-463B-81D6-5B07014D1539}"/>
    <cellStyle name="SAPBEXstdItem 9 2 2" xfId="2919" xr:uid="{87157C66-E53C-4FDE-95DB-DE8F1A51A797}"/>
    <cellStyle name="SAPBEXstdItem 9 3" xfId="2920" xr:uid="{BEC245CC-21EF-405F-868B-955D5A4D5E2C}"/>
    <cellStyle name="SAPBEXstdItem_(B) R&amp;M" xfId="2921" xr:uid="{E2351C5C-4710-4D61-B413-5E5B3BCDDEEA}"/>
    <cellStyle name="SAPBEXstdItemX" xfId="2922" xr:uid="{72EB6ABF-C15C-4C1F-BD35-AE566B8C8186}"/>
    <cellStyle name="SAPBEXstdItemX 10" xfId="2923" xr:uid="{8DE2A627-12BA-4DB7-A888-2D43B9BD26B3}"/>
    <cellStyle name="SAPBEXstdItemX 10 2" xfId="2924" xr:uid="{1E581471-96AE-4F34-9616-0D75257DBE60}"/>
    <cellStyle name="SAPBEXstdItemX 10 2 2" xfId="2925" xr:uid="{6021E80B-5BB0-479C-8E5C-3C55A3C59F1D}"/>
    <cellStyle name="SAPBEXstdItemX 10 3" xfId="2926" xr:uid="{F7DA7E97-35DC-409B-AACE-94274F6A9DB3}"/>
    <cellStyle name="SAPBEXstdItemX 11" xfId="2927" xr:uid="{84058042-970F-4FD3-9A21-3F91AD36BC2C}"/>
    <cellStyle name="SAPBEXstdItemX 11 2" xfId="2928" xr:uid="{C823D06F-D3DA-4D4A-8F91-FE5B30C14FF6}"/>
    <cellStyle name="SAPBEXstdItemX 11 2 2" xfId="2929" xr:uid="{C66CB964-D19E-41D5-9DAC-E93FA11D9461}"/>
    <cellStyle name="SAPBEXstdItemX 11 3" xfId="2930" xr:uid="{0EA54DB4-BCAF-47E6-B6AB-7EC0FFFFC033}"/>
    <cellStyle name="SAPBEXstdItemX 12" xfId="2931" xr:uid="{C3386911-41E6-4578-8CDA-82CE9512E2D8}"/>
    <cellStyle name="SAPBEXstdItemX 12 2" xfId="2932" xr:uid="{E032A07B-AC58-4021-8B04-7A1D21A6EB37}"/>
    <cellStyle name="SAPBEXstdItemX 12 2 2" xfId="2933" xr:uid="{E4B9CEFD-525D-4775-814E-D8D08F7FB8E2}"/>
    <cellStyle name="SAPBEXstdItemX 12 3" xfId="2934" xr:uid="{2880FE2D-B9E3-427F-991C-5586FDB29648}"/>
    <cellStyle name="SAPBEXstdItemX 13" xfId="2935" xr:uid="{0077EAB2-45F8-4EBB-89AD-F573E0E48046}"/>
    <cellStyle name="SAPBEXstdItemX 13 2" xfId="2936" xr:uid="{EF0188BE-7D2B-47F0-9885-46C3408EB48F}"/>
    <cellStyle name="SAPBEXstdItemX 13 2 2" xfId="2937" xr:uid="{F48EF683-ED0A-4A38-B158-0E9F9AB979DC}"/>
    <cellStyle name="SAPBEXstdItemX 13 3" xfId="2938" xr:uid="{5C8090A1-8979-4D9B-8AB8-1EE85F7B7BE6}"/>
    <cellStyle name="SAPBEXstdItemX 14" xfId="2939" xr:uid="{90C66986-CAF9-4247-812E-4DD62C5A3C7C}"/>
    <cellStyle name="SAPBEXstdItemX 14 2" xfId="2940" xr:uid="{F3E2B26D-B04A-4E6E-B77C-EF37384EEDBC}"/>
    <cellStyle name="SAPBEXstdItemX 14 2 2" xfId="2941" xr:uid="{F9EA0A69-ACE2-4FC5-AE8A-764BE477DC3F}"/>
    <cellStyle name="SAPBEXstdItemX 14 3" xfId="2942" xr:uid="{7FDEA634-B151-44A5-81EE-2D8C45F1B5EC}"/>
    <cellStyle name="SAPBEXstdItemX 15" xfId="2943" xr:uid="{23532414-D258-4EDC-A43D-BFE851AE9CAF}"/>
    <cellStyle name="SAPBEXstdItemX 15 2" xfId="2944" xr:uid="{A081A26D-D901-4159-A86D-47027C7FD330}"/>
    <cellStyle name="SAPBEXstdItemX 15 2 2" xfId="2945" xr:uid="{89B20254-75D6-40ED-8C32-880BA0099565}"/>
    <cellStyle name="SAPBEXstdItemX 15 3" xfId="2946" xr:uid="{F75ABF68-FA01-4AF9-BA0A-068FAFCC3E40}"/>
    <cellStyle name="SAPBEXstdItemX 16" xfId="2947" xr:uid="{2E6245BF-4A3B-4C2D-9B08-38A118FE2649}"/>
    <cellStyle name="SAPBEXstdItemX 16 2" xfId="2948" xr:uid="{BAEBE75A-E5E4-4F26-B465-D70CB0DB02B5}"/>
    <cellStyle name="SAPBEXstdItemX 16 2 2" xfId="2949" xr:uid="{A28599A0-5D6C-4B55-8782-7E4D64E112A5}"/>
    <cellStyle name="SAPBEXstdItemX 16 3" xfId="2950" xr:uid="{49174F96-DFDB-4ED5-B80D-8BEE8C05596B}"/>
    <cellStyle name="SAPBEXstdItemX 17" xfId="2951" xr:uid="{8A462249-A0D0-47C3-B0A6-382CEB49EACF}"/>
    <cellStyle name="SAPBEXstdItemX 17 2" xfId="2952" xr:uid="{745F6B1B-F899-45E8-A934-28669DB0CACA}"/>
    <cellStyle name="SAPBEXstdItemX 17 2 2" xfId="2953" xr:uid="{3F8AA2F8-6672-469B-AAE2-6CA78D18A513}"/>
    <cellStyle name="SAPBEXstdItemX 17 3" xfId="2954" xr:uid="{B08A0FEF-471B-4C4C-9A1B-3F48F4EE7DCB}"/>
    <cellStyle name="SAPBEXstdItemX 18" xfId="2955" xr:uid="{2F5B662B-6C47-42AE-A708-8F93B5E48A26}"/>
    <cellStyle name="SAPBEXstdItemX 18 2" xfId="2956" xr:uid="{E7BC2FF1-59E5-42AD-931B-D04C6F704DCC}"/>
    <cellStyle name="SAPBEXstdItemX 2" xfId="2957" xr:uid="{FD793050-39AA-46AE-8547-F37956B1D645}"/>
    <cellStyle name="SAPBEXstdItemX 2 2" xfId="2958" xr:uid="{E27396D7-BD05-44E6-A8EE-C2DE51841FAD}"/>
    <cellStyle name="SAPBEXstdItemX 2 2 2" xfId="2959" xr:uid="{8D41114F-4E33-46B3-A5B6-C9C80BA219F6}"/>
    <cellStyle name="SAPBEXstdItemX 2 3" xfId="2960" xr:uid="{B994C337-732A-4C55-89E4-80A563957C56}"/>
    <cellStyle name="SAPBEXstdItemX 3" xfId="2961" xr:uid="{1226752D-8012-4984-8957-71077E6CF484}"/>
    <cellStyle name="SAPBEXstdItemX 3 2" xfId="2962" xr:uid="{241C29AE-9662-43F7-97C0-9B364C3ABFD6}"/>
    <cellStyle name="SAPBEXstdItemX 3 2 2" xfId="2963" xr:uid="{8CB83B6A-83FC-491C-A559-098B61A9986B}"/>
    <cellStyle name="SAPBEXstdItemX 3 3" xfId="2964" xr:uid="{D31E203E-FB33-4ED9-B9CB-37673A044BE5}"/>
    <cellStyle name="SAPBEXstdItemX 4" xfId="2965" xr:uid="{FC6D3678-6CB3-4826-A6C5-056C56A8521D}"/>
    <cellStyle name="SAPBEXstdItemX 4 2" xfId="2966" xr:uid="{55B92ADD-0DFE-4EAB-96AF-E05C183DAFD3}"/>
    <cellStyle name="SAPBEXstdItemX 4 2 2" xfId="2967" xr:uid="{ED2411E6-F328-4036-9F8A-F1B78F6BF155}"/>
    <cellStyle name="SAPBEXstdItemX 4 3" xfId="2968" xr:uid="{07A29024-744C-40DE-A62B-F42928A810D2}"/>
    <cellStyle name="SAPBEXstdItemX 5" xfId="2969" xr:uid="{2367B614-1EBC-48F8-84B0-209CD31DA31F}"/>
    <cellStyle name="SAPBEXstdItemX 5 2" xfId="2970" xr:uid="{978AA48F-58C6-4115-A5A2-910E2CF19567}"/>
    <cellStyle name="SAPBEXstdItemX 5 2 2" xfId="2971" xr:uid="{DDAC71A7-CA92-46BE-BD70-EDAF10C161CA}"/>
    <cellStyle name="SAPBEXstdItemX 5 3" xfId="2972" xr:uid="{692479BC-C402-40F6-811D-1D9EB260CAA6}"/>
    <cellStyle name="SAPBEXstdItemX 6" xfId="2973" xr:uid="{AC0A9C6A-11FC-4D7F-ACA7-375CC6D38202}"/>
    <cellStyle name="SAPBEXstdItemX 6 2" xfId="2974" xr:uid="{175435C6-906A-41ED-A46B-B9FD011668BB}"/>
    <cellStyle name="SAPBEXstdItemX 6 2 2" xfId="2975" xr:uid="{2F9060BB-8B07-4AAF-B054-74C9FFF33D0B}"/>
    <cellStyle name="SAPBEXstdItemX 6 3" xfId="2976" xr:uid="{14B7D0A8-61CF-4EE4-9E5A-C29E5E800814}"/>
    <cellStyle name="SAPBEXstdItemX 7" xfId="2977" xr:uid="{5FD03328-2357-46C3-B4BE-34891E484D7E}"/>
    <cellStyle name="SAPBEXstdItemX 7 2" xfId="2978" xr:uid="{48A82C50-2AE8-458E-886D-571548B7CE67}"/>
    <cellStyle name="SAPBEXstdItemX 7 2 2" xfId="2979" xr:uid="{BC598772-6CA9-4518-966C-259A316ED292}"/>
    <cellStyle name="SAPBEXstdItemX 7 3" xfId="2980" xr:uid="{371AA30E-E251-4A77-8DAB-D861C3D4B02D}"/>
    <cellStyle name="SAPBEXstdItemX 8" xfId="2981" xr:uid="{73D95841-727A-40E6-9C16-4C08E3B886A5}"/>
    <cellStyle name="SAPBEXstdItemX 8 2" xfId="2982" xr:uid="{C43A7016-B226-4767-AFB9-554CD898BCA6}"/>
    <cellStyle name="SAPBEXstdItemX 8 2 2" xfId="2983" xr:uid="{C651FDC6-C08C-4C9F-B88F-158CF6332BA1}"/>
    <cellStyle name="SAPBEXstdItemX 8 3" xfId="2984" xr:uid="{89AC6773-E13A-484D-BB5A-D06DE611D372}"/>
    <cellStyle name="SAPBEXstdItemX 9" xfId="2985" xr:uid="{EB911C93-3231-4D8D-97D0-01EDA8124F6B}"/>
    <cellStyle name="SAPBEXstdItemX 9 2" xfId="2986" xr:uid="{17F2165D-079B-4FE6-B301-BF00FC4499C4}"/>
    <cellStyle name="SAPBEXstdItemX 9 2 2" xfId="2987" xr:uid="{D46DA577-4326-4DF0-87E9-707DA01A948F}"/>
    <cellStyle name="SAPBEXstdItemX 9 3" xfId="2988" xr:uid="{8253C83B-B752-47F5-B80B-FEFAF2D95D69}"/>
    <cellStyle name="SAPBEXstdItemX_(B) R&amp;M" xfId="2989" xr:uid="{D5BF3D82-6433-42ED-945D-3F7D4F556756}"/>
    <cellStyle name="SAPBEXtitle" xfId="2990" xr:uid="{2064DC5A-8865-4921-B0AA-4E67723468E8}"/>
    <cellStyle name="SAPBEXtitle 10" xfId="2991" xr:uid="{EC42E4F5-2537-4DBD-9958-1B13E5A8D5C0}"/>
    <cellStyle name="SAPBEXtitle 10 2" xfId="2992" xr:uid="{0EE402C4-5FAE-4931-A756-38CFA47741D4}"/>
    <cellStyle name="SAPBEXtitle 11" xfId="2993" xr:uid="{1B090526-B48C-4D07-860E-825913E2F26D}"/>
    <cellStyle name="SAPBEXtitle 11 2" xfId="2994" xr:uid="{1EB9897D-9A29-4210-BEB1-1DED457E8FA2}"/>
    <cellStyle name="SAPBEXtitle 12" xfId="2995" xr:uid="{AC04CD85-A483-41C1-AFB5-9E025EC9DC37}"/>
    <cellStyle name="SAPBEXtitle 12 2" xfId="2996" xr:uid="{3AFDF8D9-2E8D-4253-8CA6-28C85BCA4159}"/>
    <cellStyle name="SAPBEXtitle 13" xfId="2997" xr:uid="{52101B96-F553-4286-8B6A-D37A430E0712}"/>
    <cellStyle name="SAPBEXtitle 13 2" xfId="2998" xr:uid="{7121D176-C75D-43AA-8083-20886047DFD9}"/>
    <cellStyle name="SAPBEXtitle 14" xfId="2999" xr:uid="{19BAC4A5-A647-4F87-AE27-9F14E47A222A}"/>
    <cellStyle name="SAPBEXtitle 14 2" xfId="3000" xr:uid="{509DA779-9DB0-4FD6-9FCC-217621959272}"/>
    <cellStyle name="SAPBEXtitle 15" xfId="3001" xr:uid="{1E2DA572-2883-4A18-AC51-F4B3B60CA4CC}"/>
    <cellStyle name="SAPBEXtitle 15 2" xfId="3002" xr:uid="{1899AD95-26A1-4120-844B-05EE7AF2946A}"/>
    <cellStyle name="SAPBEXtitle 16" xfId="3003" xr:uid="{727B9709-E224-409F-9808-1C4299C74216}"/>
    <cellStyle name="SAPBEXtitle 16 2" xfId="3004" xr:uid="{FDC32EA3-4E3D-466B-8341-EE499F5E2626}"/>
    <cellStyle name="SAPBEXtitle 17" xfId="3005" xr:uid="{A54DF335-0D43-4597-AF9D-22A785002C61}"/>
    <cellStyle name="SAPBEXtitle 17 2" xfId="3006" xr:uid="{A3BEB604-F6C6-448E-A9ED-F61F9EC87D30}"/>
    <cellStyle name="SAPBEXtitle 18" xfId="3007" xr:uid="{F461DDBD-93C5-48BC-8020-E7AEFC77E6FE}"/>
    <cellStyle name="SAPBEXtitle 18 2" xfId="3008" xr:uid="{701A715E-65AC-49C6-B2BD-80647FEAAB45}"/>
    <cellStyle name="SAPBEXtitle 2" xfId="3009" xr:uid="{FF5B7C8B-7CE7-4810-B246-91BEF736306B}"/>
    <cellStyle name="SAPBEXtitle 2 2" xfId="3010" xr:uid="{73ED540E-93CD-4327-9D09-D3CA4C86ED36}"/>
    <cellStyle name="SAPBEXtitle 3" xfId="3011" xr:uid="{F099FB55-49FD-4872-99B1-086F00DB78DA}"/>
    <cellStyle name="SAPBEXtitle 3 2" xfId="3012" xr:uid="{1E5F3B21-C71D-4A7C-80EE-F293CC76FA39}"/>
    <cellStyle name="SAPBEXtitle 4" xfId="3013" xr:uid="{47B8A314-342D-435D-AF33-C1AC4F17FDDD}"/>
    <cellStyle name="SAPBEXtitle 4 2" xfId="3014" xr:uid="{27C20240-13CF-470C-B2A3-BCB174204304}"/>
    <cellStyle name="SAPBEXtitle 5" xfId="3015" xr:uid="{508BC97A-2D05-4F6B-ABF5-0EA8620345DA}"/>
    <cellStyle name="SAPBEXtitle 5 2" xfId="3016" xr:uid="{5775A903-84E7-45FE-AD18-4CB06E4528D6}"/>
    <cellStyle name="SAPBEXtitle 6" xfId="3017" xr:uid="{6296D740-2472-44A2-9815-A62AAD77342D}"/>
    <cellStyle name="SAPBEXtitle 6 2" xfId="3018" xr:uid="{C775E8AA-B2E3-4F54-A7F4-CA9863085BF1}"/>
    <cellStyle name="SAPBEXtitle 7" xfId="3019" xr:uid="{6C3F273D-01D3-47AA-828C-A2126D9A7340}"/>
    <cellStyle name="SAPBEXtitle 7 2" xfId="3020" xr:uid="{278FC1FE-1B0A-4E6D-97FD-0D83C971437A}"/>
    <cellStyle name="SAPBEXtitle 8" xfId="3021" xr:uid="{6DF51461-1017-42E0-A4AC-70FB9D0AAA00}"/>
    <cellStyle name="SAPBEXtitle 8 2" xfId="3022" xr:uid="{202BD522-027E-4457-96FF-F66DB6CC4D97}"/>
    <cellStyle name="SAPBEXtitle 9" xfId="3023" xr:uid="{61CCA2A4-C58C-42CB-87BD-E49CAA9C810C}"/>
    <cellStyle name="SAPBEXtitle 9 2" xfId="3024" xr:uid="{88AEC5B8-2F3D-452E-BD59-3B634536D504}"/>
    <cellStyle name="SAPBEXtitle_(B) R&amp;M" xfId="3025" xr:uid="{7CA89DC0-AAFC-402E-96B0-AD852C7BB890}"/>
    <cellStyle name="SAPBEXunassignedItem" xfId="3026" xr:uid="{7EDC39EA-21F4-41BF-9416-CA619384FF9C}"/>
    <cellStyle name="SAPBEXunassignedItem 2" xfId="3027" xr:uid="{2B57392A-428A-4AF5-9C55-74E37AA0DB53}"/>
    <cellStyle name="SAPBEXunassignedItem 2 2" xfId="3028" xr:uid="{D88EC7AB-A591-42CD-AE09-77923CCBDBB1}"/>
    <cellStyle name="SAPBEXunassignedItem 3" xfId="3029" xr:uid="{12FBC533-B5B6-4105-8BD7-49A8293763D6}"/>
    <cellStyle name="SAPBEXunassignedItem 4" xfId="3030" xr:uid="{C6879EC5-E9DF-4A66-98D1-F1D202AD847E}"/>
    <cellStyle name="SAPBEXunassignedItem 5" xfId="3031" xr:uid="{3E7D955A-87E9-4FC7-B93A-56D701EDF07F}"/>
    <cellStyle name="SAPBEXunassignedItem 6" xfId="3032" xr:uid="{4F703DBB-823C-40B2-A060-D5E410A33AF2}"/>
    <cellStyle name="SAPBEXundefined" xfId="3033" xr:uid="{5EDFC441-8BF6-4DE8-BB80-1AD069B3BC7F}"/>
    <cellStyle name="SAPBEXundefined 10" xfId="3034" xr:uid="{9EC4F519-12C2-4470-B804-1CB805A8C0F3}"/>
    <cellStyle name="SAPBEXundefined 11" xfId="3035" xr:uid="{D7DEE209-F52E-4D67-8D60-2DFBE7BA2769}"/>
    <cellStyle name="SAPBEXundefined 12" xfId="3036" xr:uid="{44F2C047-BEC7-487D-BB27-F42CC8D77FBD}"/>
    <cellStyle name="SAPBEXundefined 13" xfId="3037" xr:uid="{FC49F651-F574-4CB3-88C5-652BA7BDC217}"/>
    <cellStyle name="SAPBEXundefined 14" xfId="3038" xr:uid="{FD6E03BD-1095-4306-B9A5-5837D3425ADA}"/>
    <cellStyle name="SAPBEXundefined 15" xfId="3039" xr:uid="{37E8064A-2103-4997-98E1-CE0212236FE8}"/>
    <cellStyle name="SAPBEXundefined 16" xfId="3040" xr:uid="{A9311424-8787-47E6-A7B9-E3101DF36FEC}"/>
    <cellStyle name="SAPBEXundefined 17" xfId="3041" xr:uid="{1FEDD297-A7B1-4522-B179-598B49F03F74}"/>
    <cellStyle name="SAPBEXundefined 2" xfId="3042" xr:uid="{B87111C4-5ABC-4C8F-90F9-C6C8F71D2136}"/>
    <cellStyle name="SAPBEXundefined 3" xfId="3043" xr:uid="{38A83A7F-B7C3-40CC-A384-1DD2663E7DCB}"/>
    <cellStyle name="SAPBEXundefined 4" xfId="3044" xr:uid="{6AE5D94A-14BC-4BE4-8807-494A5362A1AD}"/>
    <cellStyle name="SAPBEXundefined 5" xfId="3045" xr:uid="{F1D4A093-F6E6-4FE4-9A99-9CA573BC2CC8}"/>
    <cellStyle name="SAPBEXundefined 6" xfId="3046" xr:uid="{72A821FE-DEFF-408C-A9ED-CE467FD794FD}"/>
    <cellStyle name="SAPBEXundefined 7" xfId="3047" xr:uid="{5DBC4783-0E18-4481-8507-EE028070D5DB}"/>
    <cellStyle name="SAPBEXundefined 8" xfId="3048" xr:uid="{ED09E3E2-9F13-451D-B87F-18FF03024705}"/>
    <cellStyle name="SAPBEXundefined 9" xfId="3049" xr:uid="{67B01452-D9FA-465A-B781-23294C73D4D6}"/>
    <cellStyle name="SAPBEXundefined_(B) R&amp;M" xfId="3050" xr:uid="{B5871CC4-CB9C-4BD0-945B-6E9A280938F9}"/>
    <cellStyle name="SEM-BPS-head" xfId="3051" xr:uid="{E6E994F1-7BED-4F35-8C3B-4F5AC40BD842}"/>
    <cellStyle name="SEM-BPS-headdata" xfId="3052" xr:uid="{A6461D37-1DAE-4B20-8C65-C665BF328E5A}"/>
    <cellStyle name="SEM-BPS-headkey" xfId="3053" xr:uid="{D3F4A83E-989C-468B-9375-105B3251D631}"/>
    <cellStyle name="SEM-BPS-input-on" xfId="3054" xr:uid="{3D36851A-6927-490E-8E03-0B6ECA9930AF}"/>
    <cellStyle name="SEM-BPS-input-on 2" xfId="3055" xr:uid="{80D131E4-6AF3-46E7-A1E4-959A01D642E4}"/>
    <cellStyle name="SEM-BPS-key" xfId="3056" xr:uid="{573D6F9B-F75F-4E4C-8F09-9C2A4901AEF1}"/>
    <cellStyle name="SEM-BPS-key 2" xfId="3057" xr:uid="{0A743004-EF4F-417C-9BBA-DA61020B93F9}"/>
    <cellStyle name="Separador de milhares [0]_Orçamento 2002" xfId="3058" xr:uid="{8688EF86-A264-4CA8-8C9C-52DBA59CFAEE}"/>
    <cellStyle name="Sheet Title" xfId="3059" xr:uid="{2B6703D3-40E3-44D3-B466-C7F4B4575B9F}"/>
    <cellStyle name="Sheet Title 2" xfId="3060" xr:uid="{286019BB-9575-469C-83A4-4E56441611FA}"/>
    <cellStyle name="Standard_PBRUTO95" xfId="3061" xr:uid="{C4A12A26-2157-4371-AA34-D7FFB9781B48}"/>
    <cellStyle name="Style 1" xfId="3062" xr:uid="{14E4DE24-590E-4476-AF11-B0742B8ECB5D}"/>
    <cellStyle name="Style 1 2" xfId="3063" xr:uid="{0B675BB9-AEC9-4435-8F78-95C48DEBDAFB}"/>
    <cellStyle name="Style 1 2 2" xfId="3064" xr:uid="{9C9E5DB6-65BD-4243-818C-F6CF0341C8CC}"/>
    <cellStyle name="Style 1 3" xfId="3065" xr:uid="{E4840793-5F91-4ADB-A59C-2044F2A8F189}"/>
    <cellStyle name="Texto de advertencia" xfId="3066" xr:uid="{2D5AA15C-7718-42EA-A7BF-D3861D751836}"/>
    <cellStyle name="Texto de advertencia 2" xfId="3067" xr:uid="{A854BE8F-6A67-420C-A957-D4C31094CCA0}"/>
    <cellStyle name="Texto de Aviso" xfId="3068" xr:uid="{31058B37-6A37-4F0A-B05A-8A5DAB60C3B5}"/>
    <cellStyle name="Texto de Aviso 2" xfId="3069" xr:uid="{92036239-A4B4-47EA-8952-2C0652A8AA33}"/>
    <cellStyle name="Texto Explicativo" xfId="3070" xr:uid="{0F11265D-36D4-48C6-AC20-9480B9E85871}"/>
    <cellStyle name="Texto Explicativo 2" xfId="3071" xr:uid="{5D782C85-FD99-4298-A54A-9F7DA6C6F20B}"/>
    <cellStyle name="Title 2" xfId="3072" xr:uid="{F98189BF-6423-4F04-9A2C-C4F9C717DB00}"/>
    <cellStyle name="Title 2 2" xfId="3073" xr:uid="{50D3FA2D-6A82-4334-BC3C-2EB064EDA719}"/>
    <cellStyle name="Title 2 3" xfId="3074" xr:uid="{0E6A3FE3-7F00-42E6-AC51-F9C06311E4B9}"/>
    <cellStyle name="Title 3" xfId="3075" xr:uid="{76EA2694-F6C6-4FF4-9004-BAC0A667E5C7}"/>
    <cellStyle name="Title 4" xfId="3076" xr:uid="{A1D8FFF2-F88D-4452-AF81-AF21442D7E77}"/>
    <cellStyle name="Titulo" xfId="3077" xr:uid="{9B2F6D6C-A820-43FF-8762-269619997E5A}"/>
    <cellStyle name="Título" xfId="3078" xr:uid="{9BAEA75C-72B0-469B-A2A5-100D675913D3}"/>
    <cellStyle name="Título 1" xfId="3079" xr:uid="{34C51CD9-8A67-4CEB-A14E-FD789567E7B5}"/>
    <cellStyle name="Titulo 2" xfId="3080" xr:uid="{271A4164-E9C2-4CCF-B7AF-90CAE1D73F3F}"/>
    <cellStyle name="Título 2" xfId="3081" xr:uid="{492B0E42-73A6-4512-8BA8-AB8B1DBC794F}"/>
    <cellStyle name="Titulo 3" xfId="3082" xr:uid="{1EAB3F01-477E-4D19-A8B3-DD4B9F7DF070}"/>
    <cellStyle name="Título 3" xfId="3083" xr:uid="{C96CC929-5D0C-42CA-BD51-D6F565CA947C}"/>
    <cellStyle name="Título 4" xfId="3084" xr:uid="{8F1968EB-4BB6-4602-93B3-C616E7F215D1}"/>
    <cellStyle name="Total 2" xfId="3085" xr:uid="{2E89D4E9-9AE3-47D9-BFFD-76EFA26D5077}"/>
    <cellStyle name="Total 2 2" xfId="3086" xr:uid="{8C0FF3EF-890C-4F7D-9271-AB48F3687C1F}"/>
    <cellStyle name="Total 2 3" xfId="3087" xr:uid="{C6A4DA97-2716-4DBD-AB7D-32283F4735BE}"/>
    <cellStyle name="Total 3" xfId="3088" xr:uid="{12793688-B602-4D09-BD48-EC9B9A1A9095}"/>
    <cellStyle name="Total 4" xfId="3089" xr:uid="{DE5B8087-60AF-428F-A64F-EF15B0793AB6}"/>
    <cellStyle name="Total 5" xfId="3090" xr:uid="{1771DE0D-21E2-4E46-89A7-959BF13ED3F8}"/>
    <cellStyle name="user" xfId="3091" xr:uid="{2404D452-F129-4CA8-9890-769A1714A9D1}"/>
    <cellStyle name="Verificar Célula" xfId="3092" xr:uid="{5053BA58-BF29-48A5-B0F4-14DAAB5F6FD9}"/>
    <cellStyle name="Verificar Célula 2" xfId="3093" xr:uid="{DCDA7A22-8E4A-454F-AD95-040B5350A9F5}"/>
    <cellStyle name="Vírgula 2" xfId="3094" xr:uid="{0AA4829A-6B3E-409B-B519-B2301B461529}"/>
    <cellStyle name="Vírgula_Orçamento 2002" xfId="3095" xr:uid="{445D0D13-955D-43F9-9998-6F9849BAA20E}"/>
    <cellStyle name="Währung [0]_PBRUTO95" xfId="3096" xr:uid="{904E4A96-7A4E-436A-AF03-90BFCDEFE43E}"/>
    <cellStyle name="Währung_PBRUTO95" xfId="3097" xr:uid="{DE2AC08A-D128-4F23-94C8-6CE819D50479}"/>
    <cellStyle name="Warning Text 2" xfId="3098" xr:uid="{5BD3445A-B9F6-4347-90DA-184F5DCC06A4}"/>
    <cellStyle name="Warning Text 2 2" xfId="3099" xr:uid="{94922C53-F42A-4BCB-98EA-24A341972113}"/>
    <cellStyle name="Warning Text 2 3" xfId="3100" xr:uid="{EE685CBE-E17F-4E59-945C-D746CD21C726}"/>
    <cellStyle name="Warning Text 3" xfId="3101" xr:uid="{37AF2CAE-CA0B-4757-84E2-5965616A0A52}"/>
    <cellStyle name="Warning Text 4" xfId="3102" xr:uid="{E4D0E0CA-0A09-4577-A995-EFDE2A099E6E}"/>
    <cellStyle name="Warning Text 5" xfId="3103" xr:uid="{A9E379D7-3A42-4BF5-8EF8-980159E1CA24}"/>
  </cellStyles>
  <dxfs count="13">
    <dxf>
      <font>
        <condense val="0"/>
        <extend val="0"/>
        <color indexed="16"/>
      </font>
    </dxf>
    <dxf>
      <font>
        <condense val="0"/>
        <extend val="0"/>
        <color indexed="16"/>
      </font>
    </dxf>
    <dxf>
      <font>
        <condense val="0"/>
        <extend val="0"/>
        <color indexed="16"/>
      </font>
    </dxf>
    <dxf>
      <font>
        <condense val="0"/>
        <extend val="0"/>
        <color indexed="16"/>
      </font>
    </dxf>
    <dxf>
      <font>
        <condense val="0"/>
        <extend val="0"/>
        <color indexed="16"/>
      </font>
    </dxf>
    <dxf>
      <font>
        <condense val="0"/>
        <extend val="0"/>
        <color indexed="16"/>
      </font>
    </dxf>
    <dxf>
      <font>
        <condense val="0"/>
        <extend val="0"/>
        <color indexed="16"/>
      </font>
    </dxf>
    <dxf>
      <font>
        <condense val="0"/>
        <extend val="0"/>
        <color indexed="16"/>
      </font>
    </dxf>
    <dxf>
      <font>
        <condense val="0"/>
        <extend val="0"/>
        <color indexed="16"/>
      </font>
    </dxf>
    <dxf>
      <font>
        <condense val="0"/>
        <extend val="0"/>
        <color indexed="16"/>
      </font>
    </dxf>
    <dxf>
      <font>
        <condense val="0"/>
        <extend val="0"/>
        <color indexed="16"/>
      </font>
    </dxf>
    <dxf>
      <font>
        <condense val="0"/>
        <extend val="0"/>
        <color indexed="16"/>
      </font>
    </dxf>
    <dxf>
      <font>
        <condense val="0"/>
        <extend val="0"/>
        <color indexed="16"/>
      </font>
    </dxf>
  </dxfs>
  <tableStyles count="0" defaultTableStyle="TableStyleMedium9" defaultPivotStyle="PivotStyleLight16"/>
  <colors>
    <mruColors>
      <color rgb="FFF2F2F2"/>
      <color rgb="FFB5B6B3"/>
      <color rgb="FF91928F"/>
      <color rgb="FFFFFFFF"/>
      <color rgb="FFF1F1F1"/>
      <color rgb="FFDADAD9"/>
      <color rgb="FF317023"/>
      <color rgb="FF85B9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272143</xdr:colOff>
      <xdr:row>5</xdr:row>
      <xdr:rowOff>136071</xdr:rowOff>
    </xdr:from>
    <xdr:to>
      <xdr:col>8</xdr:col>
      <xdr:colOff>72662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D297FA-F8AC-41EB-8305-40F493EAA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43" y="952500"/>
          <a:ext cx="4662805" cy="2606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EDP%20Renov&#225;veis\Resultados%20EDP%20Renov&#225;veis\2010\4%20-%204th%20Quarter%20Results\Handout\Backup\Handout%20backup%20FY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input"/>
      <sheetName val="pag2"/>
      <sheetName val="pag3"/>
      <sheetName val="pag4"/>
      <sheetName val="pag5"/>
      <sheetName val="pag6"/>
      <sheetName val="pag7"/>
      <sheetName val="pag9"/>
      <sheetName val="pag10"/>
      <sheetName val="pag11"/>
      <sheetName val="pag12"/>
      <sheetName val="pag13"/>
      <sheetName val="pag14"/>
      <sheetName val="pag16"/>
      <sheetName val="pag17"/>
      <sheetName val="pag19"/>
      <sheetName val="pag22"/>
      <sheetName val="pag23"/>
      <sheetName val="Calculos"/>
    </sheetNames>
    <sheetDataSet>
      <sheetData sheetId="0">
        <row r="4">
          <cell r="C4" t="str">
            <v>FY10</v>
          </cell>
        </row>
        <row r="5">
          <cell r="C5" t="str">
            <v>FY09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aa1">
  <a:themeElements>
    <a:clrScheme name="EDP Colors 1">
      <a:dk1>
        <a:srgbClr val="202E3E"/>
      </a:dk1>
      <a:lt1>
        <a:srgbClr val="FFFFFF"/>
      </a:lt1>
      <a:dk2>
        <a:srgbClr val="143E47"/>
      </a:dk2>
      <a:lt2>
        <a:srgbClr val="E7E6E6"/>
      </a:lt2>
      <a:accent1>
        <a:srgbClr val="28FF51"/>
      </a:accent1>
      <a:accent2>
        <a:srgbClr val="7B9599"/>
      </a:accent2>
      <a:accent3>
        <a:srgbClr val="253BC8"/>
      </a:accent3>
      <a:accent4>
        <a:srgbClr val="6D32FF"/>
      </a:accent4>
      <a:accent5>
        <a:srgbClr val="225E66"/>
      </a:accent5>
      <a:accent6>
        <a:srgbClr val="0CD3F8"/>
      </a:accent6>
      <a:hlink>
        <a:srgbClr val="28FF52"/>
      </a:hlink>
      <a:folHlink>
        <a:srgbClr val="253BC8"/>
      </a:folHlink>
    </a:clrScheme>
    <a:fontScheme name="Custom 2">
      <a:majorFont>
        <a:latin typeface="FT Base"/>
        <a:ea typeface=""/>
        <a:cs typeface=""/>
      </a:majorFont>
      <a:minorFont>
        <a:latin typeface="FT Base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a1" id="{0B9AC6A0-4B32-4390-8808-AB1C430E026D}" vid="{0A07FE1A-53CC-4C39-A7EA-D53F9A3AF9D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D285A-F441-440D-A850-5082587BA5F5}">
  <sheetPr>
    <tabColor theme="8"/>
  </sheetPr>
  <dimension ref="B4:G29"/>
  <sheetViews>
    <sheetView tabSelected="1" zoomScale="70" zoomScaleNormal="70" workbookViewId="0">
      <selection activeCell="Q15" sqref="Q15"/>
    </sheetView>
  </sheetViews>
  <sheetFormatPr defaultRowHeight="12.5"/>
  <sheetData>
    <row r="4" spans="2:7" ht="15">
      <c r="B4" s="620" t="s">
        <v>697</v>
      </c>
      <c r="C4" s="620"/>
      <c r="D4" s="620"/>
      <c r="E4" s="620"/>
      <c r="F4" s="620"/>
      <c r="G4" s="620"/>
    </row>
    <row r="26" spans="2:2">
      <c r="B26" t="s">
        <v>700</v>
      </c>
    </row>
    <row r="28" spans="2:2">
      <c r="B28" t="s">
        <v>698</v>
      </c>
    </row>
    <row r="29" spans="2:2">
      <c r="B29" t="s">
        <v>699</v>
      </c>
    </row>
  </sheetData>
  <mergeCells count="1">
    <mergeCell ref="B4:G4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EFC79-F038-4942-B875-C7B4F3CE2EC0}">
  <sheetPr>
    <tabColor theme="4"/>
    <pageSetUpPr fitToPage="1"/>
  </sheetPr>
  <dimension ref="A1:U31"/>
  <sheetViews>
    <sheetView showGridLines="0" view="pageBreakPreview" zoomScale="55" zoomScaleNormal="70" zoomScaleSheetLayoutView="55" zoomScalePageLayoutView="85" workbookViewId="0">
      <selection activeCell="N15" sqref="N15"/>
    </sheetView>
  </sheetViews>
  <sheetFormatPr defaultColWidth="9.1796875" defaultRowHeight="14.5"/>
  <cols>
    <col min="1" max="1" width="3.1796875" style="25" customWidth="1"/>
    <col min="2" max="2" width="58.54296875" style="25" customWidth="1"/>
    <col min="3" max="16" width="10.54296875" style="25" customWidth="1"/>
    <col min="17" max="21" width="11.6328125" style="25" bestFit="1" customWidth="1"/>
    <col min="22" max="16384" width="9.1796875" style="25"/>
  </cols>
  <sheetData>
    <row r="1" spans="1:21">
      <c r="D1" s="30"/>
      <c r="E1" s="30"/>
      <c r="S1" s="36"/>
      <c r="T1" s="36"/>
      <c r="U1" s="36"/>
    </row>
    <row r="2" spans="1:21" s="1" customFormat="1" ht="16.5" customHeight="1">
      <c r="B2" s="374" t="s">
        <v>95</v>
      </c>
      <c r="C2" s="375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  <c r="O2" s="376"/>
      <c r="P2" s="376"/>
      <c r="Q2" s="376"/>
      <c r="R2" s="376"/>
      <c r="S2" s="376"/>
      <c r="T2" s="376"/>
      <c r="U2" s="376"/>
    </row>
    <row r="3" spans="1:21" ht="15.75" customHeight="1"/>
    <row r="4" spans="1:21" s="1" customFormat="1" ht="15.75" customHeight="1">
      <c r="A4" s="191"/>
      <c r="B4" s="341" t="s">
        <v>80</v>
      </c>
      <c r="C4" s="347">
        <v>2008</v>
      </c>
      <c r="D4" s="348">
        <v>2009</v>
      </c>
      <c r="E4" s="348">
        <v>2010</v>
      </c>
      <c r="F4" s="337">
        <v>2011</v>
      </c>
      <c r="G4" s="337">
        <v>2012</v>
      </c>
      <c r="H4" s="337">
        <v>2013</v>
      </c>
      <c r="I4" s="337">
        <v>2014</v>
      </c>
      <c r="J4" s="337">
        <v>2015</v>
      </c>
      <c r="K4" s="337">
        <v>2016</v>
      </c>
      <c r="L4" s="337">
        <v>2017</v>
      </c>
      <c r="M4" s="337">
        <v>2018</v>
      </c>
      <c r="N4" s="337">
        <v>2019</v>
      </c>
      <c r="O4" s="337">
        <v>2020</v>
      </c>
      <c r="P4" s="337">
        <v>2021</v>
      </c>
      <c r="Q4" s="337">
        <v>2022</v>
      </c>
      <c r="R4" s="337">
        <v>2023</v>
      </c>
      <c r="S4" s="337">
        <v>2024</v>
      </c>
      <c r="T4" s="337">
        <v>2025</v>
      </c>
      <c r="U4" s="337">
        <v>2026</v>
      </c>
    </row>
    <row r="5" spans="1:21">
      <c r="A5" s="191"/>
      <c r="B5" s="192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4"/>
      <c r="S5" s="195"/>
      <c r="T5" s="36"/>
      <c r="U5" s="36"/>
    </row>
    <row r="6" spans="1:21" s="44" customFormat="1" ht="15">
      <c r="A6" s="196"/>
      <c r="B6" s="197" t="s">
        <v>41</v>
      </c>
      <c r="C6" s="198">
        <f>DR!C56</f>
        <v>112.22</v>
      </c>
      <c r="D6" s="198">
        <f>DR!D56</f>
        <v>117.79</v>
      </c>
      <c r="E6" s="198">
        <f>DR!E56</f>
        <v>83.04</v>
      </c>
      <c r="F6" s="198">
        <f>DR!F56</f>
        <v>90.62</v>
      </c>
      <c r="G6" s="198">
        <f>DR!G56</f>
        <v>136.05000000000001</v>
      </c>
      <c r="H6" s="198">
        <f>DR!H56</f>
        <v>169.13</v>
      </c>
      <c r="I6" s="198">
        <f>DR!I56</f>
        <v>177.89</v>
      </c>
      <c r="J6" s="198">
        <f>DR!J56</f>
        <v>245.49</v>
      </c>
      <c r="K6" s="198">
        <f>DR!K56</f>
        <v>176.11</v>
      </c>
      <c r="L6" s="198">
        <f>DR!L56</f>
        <v>456.21</v>
      </c>
      <c r="M6" s="198">
        <f>DR!M56</f>
        <v>472.17</v>
      </c>
      <c r="N6" s="198">
        <f>DR!N56</f>
        <v>622.66999999999996</v>
      </c>
      <c r="O6" s="198">
        <f>DR!O56</f>
        <v>682.85</v>
      </c>
      <c r="P6" s="198">
        <f>DR!P56</f>
        <v>809.58</v>
      </c>
      <c r="Q6" s="181">
        <f>DR!R56</f>
        <v>676.94635785947469</v>
      </c>
      <c r="R6" s="181">
        <f>DR!S56</f>
        <v>395.29209862533281</v>
      </c>
      <c r="S6" s="181">
        <f>DR!T56</f>
        <v>513.97693349377766</v>
      </c>
      <c r="T6" s="181">
        <f>DR!U56</f>
        <v>523.77145712456741</v>
      </c>
      <c r="U6" s="181">
        <f>DR!V56</f>
        <v>513.53049946549424</v>
      </c>
    </row>
    <row r="7" spans="1:21" s="38" customFormat="1" ht="15">
      <c r="A7" s="199"/>
      <c r="B7" s="200"/>
      <c r="C7" s="201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3"/>
      <c r="R7" s="68"/>
      <c r="S7" s="67"/>
      <c r="T7" s="162"/>
      <c r="U7" s="162"/>
    </row>
    <row r="8" spans="1:21" s="38" customFormat="1">
      <c r="A8" s="199"/>
      <c r="B8" s="207" t="s">
        <v>694</v>
      </c>
      <c r="C8" s="40">
        <f>-DR!C54*(1-DR!C55)</f>
        <v>34.097615384615381</v>
      </c>
      <c r="D8" s="40">
        <f>-DR!D54*(1-DR!D55)</f>
        <v>32.429571182478163</v>
      </c>
      <c r="E8" s="40">
        <f>-DR!E54*(1-DR!E55)</f>
        <v>25.956874172185429</v>
      </c>
      <c r="F8" s="40">
        <f>-DR!F54*(1-DR!F55)</f>
        <v>21.413996291926509</v>
      </c>
      <c r="G8" s="40">
        <f>-DR!G54*(1-DR!G55)</f>
        <v>34.399154264374758</v>
      </c>
      <c r="H8" s="40">
        <f>-DR!H54*(1-DR!H55)</f>
        <v>42.5811582533292</v>
      </c>
      <c r="I8" s="40">
        <f>-DR!I54*(1-DR!I55)</f>
        <v>15.01567759534716</v>
      </c>
      <c r="J8" s="40">
        <f>-DR!J54*(1-DR!J55)</f>
        <v>38.278680717920508</v>
      </c>
      <c r="K8" s="40">
        <f>-DR!K54*(1-DR!K55)</f>
        <v>30.964305035567204</v>
      </c>
      <c r="L8" s="40">
        <f>-DR!L54*(1-DR!L55)</f>
        <v>43.479589505621988</v>
      </c>
      <c r="M8" s="40">
        <f>-DR!M54*(1-DR!M55)</f>
        <v>55.92588786617128</v>
      </c>
      <c r="N8" s="40">
        <f>-DR!N54*(1-DR!N55)</f>
        <v>75.903026046734638</v>
      </c>
      <c r="O8" s="40">
        <f>-DR!O54*(1-DR!O55)</f>
        <v>76.44353582250659</v>
      </c>
      <c r="P8" s="40">
        <f>-DR!P54*(1-DR!P55)</f>
        <v>83.425515239477505</v>
      </c>
      <c r="Q8" s="40">
        <f>-DR!R54*(1-DR!R55)</f>
        <v>81.809529881535923</v>
      </c>
      <c r="R8" s="40">
        <f>-DR!S54*(1-DR!S55)</f>
        <v>47.771378601814263</v>
      </c>
      <c r="S8" s="40">
        <f>-DR!T54*(1-DR!T55)</f>
        <v>62.114539521325071</v>
      </c>
      <c r="T8" s="40">
        <f>-DR!U54*(1-DR!U55)</f>
        <v>63.298215841236434</v>
      </c>
      <c r="U8" s="40">
        <f>-DR!V54*(1-DR!V55)</f>
        <v>62.060587598025755</v>
      </c>
    </row>
    <row r="9" spans="1:21" s="38" customFormat="1">
      <c r="A9" s="199"/>
      <c r="B9" s="207" t="s">
        <v>92</v>
      </c>
      <c r="C9" s="40">
        <f>-DR!C43</f>
        <v>207.76</v>
      </c>
      <c r="D9" s="40">
        <f>-DR!D43</f>
        <v>314.35000000000002</v>
      </c>
      <c r="E9" s="40">
        <f>-DR!E43</f>
        <v>434.4</v>
      </c>
      <c r="F9" s="40">
        <f>-DR!F43</f>
        <v>468.49</v>
      </c>
      <c r="G9" s="40">
        <f>-DR!G43</f>
        <v>502.71</v>
      </c>
      <c r="H9" s="40">
        <f>-DR!H43</f>
        <v>464.67</v>
      </c>
      <c r="I9" s="40">
        <f>-DR!I43</f>
        <v>499.78</v>
      </c>
      <c r="J9" s="40">
        <f>-DR!J43</f>
        <v>587.47</v>
      </c>
      <c r="K9" s="40">
        <f>-DR!K43</f>
        <v>624.5</v>
      </c>
      <c r="L9" s="40">
        <f>-DR!L43</f>
        <v>582.87</v>
      </c>
      <c r="M9" s="40">
        <f>-DR!M43</f>
        <v>562.04</v>
      </c>
      <c r="N9" s="40">
        <f>-DR!N43</f>
        <v>608.95000000000005</v>
      </c>
      <c r="O9" s="40">
        <f>-DR!O43</f>
        <v>616.61</v>
      </c>
      <c r="P9" s="40">
        <f>-DR!P43</f>
        <v>623.32000000000005</v>
      </c>
      <c r="Q9" s="40">
        <f>-DR!R43</f>
        <v>630.16175028542557</v>
      </c>
      <c r="R9" s="40">
        <f>-DR!S43</f>
        <v>712.03168262008933</v>
      </c>
      <c r="S9" s="40">
        <f>-DR!T43</f>
        <v>740.78852659365043</v>
      </c>
      <c r="T9" s="40">
        <f>-DR!U43</f>
        <v>768.30096115859726</v>
      </c>
      <c r="U9" s="40">
        <f>-DR!V43</f>
        <v>794.6228362707061</v>
      </c>
    </row>
    <row r="10" spans="1:21" s="38" customFormat="1">
      <c r="A10" s="199"/>
      <c r="B10" s="207" t="s">
        <v>81</v>
      </c>
      <c r="D10" s="40">
        <f>-(Balanço!D17-Balanço!D43-Balanço!C17+Balanço!C43)</f>
        <v>-86.379999999999882</v>
      </c>
      <c r="E10" s="40">
        <f>-(Balanço!E17-Balanço!E43-Balanço!D17+Balanço!D43)</f>
        <v>53.360000000000014</v>
      </c>
      <c r="F10" s="40">
        <f>-(Balanço!F17-Balanço!F43-Balanço!E17+Balanço!E43)</f>
        <v>382.03</v>
      </c>
      <c r="G10" s="40">
        <f>-(Balanço!G17-Balanço!G43-Balanço!F17+Balanço!F43)</f>
        <v>-212.49</v>
      </c>
      <c r="H10" s="40">
        <f>-(Balanço!H17-Balanço!H43-Balanço!G17+Balanço!G43)</f>
        <v>-301.1400000000001</v>
      </c>
      <c r="I10" s="40">
        <f>-(Balanço!I17-Balanço!I43-Balanço!H17+Balanço!H43)</f>
        <v>-235.77999999999997</v>
      </c>
      <c r="J10" s="40">
        <f>-(Balanço!J17-Balanço!J43-Balanço!I17+Balanço!I43)</f>
        <v>433.18000000000052</v>
      </c>
      <c r="K10" s="40">
        <f>-(Balanço!K17-Balanço!K43-Balanço!J17+Balanço!J43)</f>
        <v>118.11999999999966</v>
      </c>
      <c r="L10" s="40">
        <f>-(Balanço!L17-Balanço!L43-Balanço!K17+Balanço!K43)</f>
        <v>295.13999999999987</v>
      </c>
      <c r="M10" s="40">
        <f>-(Balanço!M17-Balanço!M43-Balanço!L17+Balanço!L43)</f>
        <v>-372.63000000000011</v>
      </c>
      <c r="N10" s="40">
        <f>-(Balanço!N17-Balanço!N43-Balanço!M17+Balanço!M43)</f>
        <v>250.89000000000078</v>
      </c>
      <c r="O10" s="40">
        <f>-(Balanço!O17-Balanço!O43-Balanço!N17+Balanço!N43)</f>
        <v>-169.51000000000022</v>
      </c>
      <c r="P10" s="40">
        <f>-(Balanço!P17-Balanço!P43-Balanço!O17+Balanço!O43)</f>
        <v>-2777.9999999999995</v>
      </c>
      <c r="Q10" s="40">
        <f>-(Balanço!Q17-Balanço!Q43-Balanço!P17+Balanço!P43)</f>
        <v>-137.00149132027218</v>
      </c>
      <c r="R10" s="40">
        <f>-(Balanço!R17-Balanço!R43-Balanço!Q17+Balanço!Q43)</f>
        <v>-143.2770415222044</v>
      </c>
      <c r="S10" s="40">
        <f>-(Balanço!S17-Balanço!S43-Balanço!R17+Balanço!R43)</f>
        <v>-331.12553951728842</v>
      </c>
      <c r="T10" s="40">
        <f>-(Balanço!T17-Balanço!T43-Balanço!S17+Balanço!S43)</f>
        <v>-369.20959347012104</v>
      </c>
      <c r="U10" s="40">
        <f>-(Balanço!U17-Balanço!U43-Balanço!T17+Balanço!T43)</f>
        <v>-411.30848823129918</v>
      </c>
    </row>
    <row r="11" spans="1:21" s="38" customFormat="1">
      <c r="A11" s="199"/>
      <c r="B11" s="207" t="s">
        <v>18</v>
      </c>
      <c r="C11" s="40">
        <f>-'OV Balanço'!C17</f>
        <v>-2090.86</v>
      </c>
      <c r="D11" s="40">
        <f>-'OV Balanço'!D17</f>
        <v>-1846.33</v>
      </c>
      <c r="E11" s="40">
        <f>-'OV Balanço'!E17</f>
        <v>-1401.01</v>
      </c>
      <c r="F11" s="40">
        <f>-'OV Balanço'!F17</f>
        <v>-829.45</v>
      </c>
      <c r="G11" s="40">
        <f>-'OV Balanço'!G17</f>
        <v>-611.79</v>
      </c>
      <c r="H11" s="40">
        <f>-'OV Balanço'!H17</f>
        <v>-626.84</v>
      </c>
      <c r="I11" s="40">
        <f>-'OV Balanço'!I17</f>
        <v>-732.36</v>
      </c>
      <c r="J11" s="40">
        <f>-'OV Balanço'!J17</f>
        <v>-902.65</v>
      </c>
      <c r="K11" s="40">
        <f>-'OV Balanço'!K17</f>
        <v>-1029.3599999999999</v>
      </c>
      <c r="L11" s="40">
        <f>-'OV Balanço'!L17</f>
        <v>-1051.0999999999999</v>
      </c>
      <c r="M11" s="40">
        <f>-'OV Balanço'!M17</f>
        <v>-1274.7</v>
      </c>
      <c r="N11" s="40">
        <f>-'OV Balanço'!N17</f>
        <v>-1109.46</v>
      </c>
      <c r="O11" s="40">
        <f>-'OV Balanço'!O17</f>
        <v>-2098.46</v>
      </c>
      <c r="P11" s="40">
        <f>-'OV Balanço'!P17</f>
        <v>-2522.08</v>
      </c>
      <c r="Q11" s="40">
        <f>-'OV Balanço'!Q17</f>
        <v>-2522.08</v>
      </c>
      <c r="R11" s="40">
        <f>-'OV Balanço'!R17</f>
        <v>-1376.5686666666666</v>
      </c>
      <c r="S11" s="40">
        <f>-'OV Balanço'!S17</f>
        <v>-1376.5686666666666</v>
      </c>
      <c r="T11" s="40">
        <f>-'OV Balanço'!T17</f>
        <v>-1376.5686666666666</v>
      </c>
      <c r="U11" s="40">
        <f>AVERAGE(C11:P11)</f>
        <v>-1294.7464285714284</v>
      </c>
    </row>
    <row r="12" spans="1:21" s="38" customFormat="1">
      <c r="A12" s="199"/>
      <c r="B12" s="207"/>
      <c r="C12" s="40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179"/>
      <c r="R12" s="68"/>
      <c r="S12" s="67"/>
      <c r="T12" s="68"/>
      <c r="U12" s="68"/>
    </row>
    <row r="13" spans="1:21" s="38" customFormat="1" ht="15">
      <c r="A13" s="199"/>
      <c r="B13" s="197" t="s">
        <v>123</v>
      </c>
      <c r="C13" s="187">
        <f t="shared" ref="C13:T13" si="0">SUM(C6:C12)</f>
        <v>-1736.7823846153847</v>
      </c>
      <c r="D13" s="187">
        <f t="shared" si="0"/>
        <v>-1468.1404288175218</v>
      </c>
      <c r="E13" s="187">
        <f t="shared" si="0"/>
        <v>-804.25312582781453</v>
      </c>
      <c r="F13" s="187">
        <f t="shared" si="0"/>
        <v>133.10399629192648</v>
      </c>
      <c r="G13" s="187">
        <f t="shared" si="0"/>
        <v>-151.12084573562515</v>
      </c>
      <c r="H13" s="187">
        <f t="shared" si="0"/>
        <v>-251.59884174667093</v>
      </c>
      <c r="I13" s="187">
        <f t="shared" si="0"/>
        <v>-275.45432240465288</v>
      </c>
      <c r="J13" s="187">
        <f t="shared" si="0"/>
        <v>401.76868071792103</v>
      </c>
      <c r="K13" s="187">
        <f t="shared" si="0"/>
        <v>-79.665694964432987</v>
      </c>
      <c r="L13" s="187">
        <f t="shared" si="0"/>
        <v>326.59958950562191</v>
      </c>
      <c r="M13" s="187">
        <f t="shared" si="0"/>
        <v>-557.19411213382887</v>
      </c>
      <c r="N13" s="187">
        <f t="shared" si="0"/>
        <v>448.95302604673543</v>
      </c>
      <c r="O13" s="187">
        <f t="shared" si="0"/>
        <v>-892.0664641774938</v>
      </c>
      <c r="P13" s="187">
        <f t="shared" si="0"/>
        <v>-3783.7544847605218</v>
      </c>
      <c r="Q13" s="578">
        <f t="shared" si="0"/>
        <v>-1270.1638532938359</v>
      </c>
      <c r="R13" s="578">
        <f t="shared" si="0"/>
        <v>-364.75054834163461</v>
      </c>
      <c r="S13" s="578">
        <f t="shared" si="0"/>
        <v>-390.81420657520175</v>
      </c>
      <c r="T13" s="578">
        <f t="shared" si="0"/>
        <v>-390.40762601238657</v>
      </c>
      <c r="U13" s="578">
        <f>SUM(U6:U12)</f>
        <v>-335.84099346850144</v>
      </c>
    </row>
    <row r="14" spans="1:21" s="38" customFormat="1" ht="15">
      <c r="A14" s="199"/>
      <c r="B14" s="197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79"/>
      <c r="R14" s="68"/>
      <c r="S14" s="67"/>
      <c r="T14" s="162"/>
      <c r="U14" s="162"/>
    </row>
    <row r="15" spans="1:21" s="38" customFormat="1">
      <c r="A15" s="199"/>
      <c r="B15" s="207" t="s">
        <v>694</v>
      </c>
      <c r="C15" s="40">
        <f>-C8</f>
        <v>-34.097615384615381</v>
      </c>
      <c r="D15" s="40">
        <f t="shared" ref="D15:T15" si="1">-D8</f>
        <v>-32.429571182478163</v>
      </c>
      <c r="E15" s="40">
        <f t="shared" si="1"/>
        <v>-25.956874172185429</v>
      </c>
      <c r="F15" s="40">
        <f t="shared" si="1"/>
        <v>-21.413996291926509</v>
      </c>
      <c r="G15" s="40">
        <f t="shared" si="1"/>
        <v>-34.399154264374758</v>
      </c>
      <c r="H15" s="40">
        <f t="shared" si="1"/>
        <v>-42.5811582533292</v>
      </c>
      <c r="I15" s="40">
        <f t="shared" si="1"/>
        <v>-15.01567759534716</v>
      </c>
      <c r="J15" s="40">
        <f t="shared" si="1"/>
        <v>-38.278680717920508</v>
      </c>
      <c r="K15" s="40">
        <f t="shared" si="1"/>
        <v>-30.964305035567204</v>
      </c>
      <c r="L15" s="40">
        <f t="shared" si="1"/>
        <v>-43.479589505621988</v>
      </c>
      <c r="M15" s="40">
        <f t="shared" si="1"/>
        <v>-55.92588786617128</v>
      </c>
      <c r="N15" s="40">
        <f t="shared" si="1"/>
        <v>-75.903026046734638</v>
      </c>
      <c r="O15" s="40">
        <f t="shared" si="1"/>
        <v>-76.44353582250659</v>
      </c>
      <c r="P15" s="40">
        <f t="shared" si="1"/>
        <v>-83.425515239477505</v>
      </c>
      <c r="Q15" s="40">
        <f t="shared" si="1"/>
        <v>-81.809529881535923</v>
      </c>
      <c r="R15" s="40">
        <f t="shared" si="1"/>
        <v>-47.771378601814263</v>
      </c>
      <c r="S15" s="40">
        <f t="shared" si="1"/>
        <v>-62.114539521325071</v>
      </c>
      <c r="T15" s="40">
        <f t="shared" si="1"/>
        <v>-63.298215841236434</v>
      </c>
      <c r="U15" s="40">
        <f>-U8</f>
        <v>-62.060587598025755</v>
      </c>
    </row>
    <row r="16" spans="1:21" s="38" customFormat="1">
      <c r="A16" s="199"/>
      <c r="B16" s="207" t="s">
        <v>124</v>
      </c>
      <c r="C16" s="40"/>
      <c r="D16" s="40">
        <f>Balanço!D36-Balanço!C36</f>
        <v>1211.17</v>
      </c>
      <c r="E16" s="40">
        <f>Balanço!E36-Balanço!D36</f>
        <v>860.15000000000009</v>
      </c>
      <c r="F16" s="40">
        <f>Balanço!F36-Balanço!E36</f>
        <v>292.52999999999975</v>
      </c>
      <c r="G16" s="40">
        <f>Balanço!G36-Balanço!F36</f>
        <v>48.200000000000273</v>
      </c>
      <c r="H16" s="40">
        <f>Balanço!H36-Balanço!G36</f>
        <v>-208.44000000000005</v>
      </c>
      <c r="I16" s="40">
        <f>Balanço!I36-Balanço!H36</f>
        <v>236.03999999999996</v>
      </c>
      <c r="J16" s="40">
        <f>Balanço!J36-Balanço!I36</f>
        <v>318.35000000000036</v>
      </c>
      <c r="K16" s="40">
        <f>Balanço!K36-Balanço!J36</f>
        <v>-814.20000000000027</v>
      </c>
      <c r="L16" s="40">
        <f>Balanço!L36-Balanço!K36</f>
        <v>-169.11000000000013</v>
      </c>
      <c r="M16" s="40">
        <f>Balanço!M36-Balanço!L36</f>
        <v>413.02999999999975</v>
      </c>
      <c r="N16" s="40">
        <f>Balanço!N36-Balanço!M36</f>
        <v>-233.44999999999982</v>
      </c>
      <c r="O16" s="40">
        <f>Balanço!O36-Balanço!N36</f>
        <v>529.98</v>
      </c>
      <c r="P16" s="40">
        <f>Balanço!P36-Balanço!O36</f>
        <v>94.429999999999836</v>
      </c>
      <c r="Q16" s="40">
        <f>Balanço!Q36-Balanço!P36</f>
        <v>415.81110589144009</v>
      </c>
      <c r="R16" s="40">
        <f>Balanço!R36-Balanço!Q36</f>
        <v>458.59779609613543</v>
      </c>
      <c r="S16" s="40">
        <f>Balanço!S36-Balanço!R36</f>
        <v>505.78720867340326</v>
      </c>
      <c r="T16" s="40">
        <f>Balanço!T36-Balanço!S36</f>
        <v>557.83238086910751</v>
      </c>
      <c r="U16" s="40">
        <f>Balanço!U36-Balanço!T36</f>
        <v>615.23296716471668</v>
      </c>
    </row>
    <row r="17" spans="1:21" s="38" customFormat="1" ht="15">
      <c r="A17" s="199"/>
      <c r="B17" s="478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8"/>
      <c r="R17" s="68"/>
      <c r="S17" s="67"/>
      <c r="T17" s="162"/>
      <c r="U17" s="162"/>
    </row>
    <row r="18" spans="1:21" s="38" customFormat="1" ht="15">
      <c r="A18" s="199"/>
      <c r="B18" s="197" t="s">
        <v>126</v>
      </c>
      <c r="C18" s="187">
        <f t="shared" ref="C18:U18" si="2">SUM(C13:C17)</f>
        <v>-1770.88</v>
      </c>
      <c r="D18" s="187">
        <f t="shared" si="2"/>
        <v>-289.39999999999986</v>
      </c>
      <c r="E18" s="187">
        <f t="shared" si="2"/>
        <v>29.940000000000168</v>
      </c>
      <c r="F18" s="187">
        <f t="shared" si="2"/>
        <v>404.21999999999969</v>
      </c>
      <c r="G18" s="187">
        <f t="shared" si="2"/>
        <v>-137.31999999999965</v>
      </c>
      <c r="H18" s="187">
        <f t="shared" si="2"/>
        <v>-502.62000000000018</v>
      </c>
      <c r="I18" s="187">
        <f t="shared" si="2"/>
        <v>-54.430000000000064</v>
      </c>
      <c r="J18" s="187">
        <f t="shared" si="2"/>
        <v>681.84000000000083</v>
      </c>
      <c r="K18" s="187">
        <f t="shared" si="2"/>
        <v>-924.8300000000005</v>
      </c>
      <c r="L18" s="187">
        <f t="shared" si="2"/>
        <v>114.00999999999976</v>
      </c>
      <c r="M18" s="187">
        <f t="shared" si="2"/>
        <v>-200.09000000000037</v>
      </c>
      <c r="N18" s="187">
        <f t="shared" si="2"/>
        <v>139.60000000000099</v>
      </c>
      <c r="O18" s="187">
        <f t="shared" si="2"/>
        <v>-438.53000000000043</v>
      </c>
      <c r="P18" s="187">
        <f t="shared" si="2"/>
        <v>-3772.7499999999995</v>
      </c>
      <c r="Q18" s="578">
        <f t="shared" si="2"/>
        <v>-936.16227728393187</v>
      </c>
      <c r="R18" s="578">
        <f t="shared" si="2"/>
        <v>46.07586915268655</v>
      </c>
      <c r="S18" s="578">
        <f t="shared" si="2"/>
        <v>52.858462576876434</v>
      </c>
      <c r="T18" s="578">
        <f t="shared" si="2"/>
        <v>104.12653901548452</v>
      </c>
      <c r="U18" s="578">
        <f t="shared" si="2"/>
        <v>217.33138609818951</v>
      </c>
    </row>
    <row r="19" spans="1:21" s="38" customFormat="1" ht="15">
      <c r="A19" s="199"/>
      <c r="B19" s="197" t="s">
        <v>684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586">
        <f>Q18</f>
        <v>-936.16227728393187</v>
      </c>
      <c r="R19" s="586">
        <f>R18/(1+$C$22)</f>
        <v>42.628507729514141</v>
      </c>
      <c r="S19" s="586">
        <f>S18/(1+$C$22)^2</f>
        <v>45.244700145770452</v>
      </c>
      <c r="T19" s="586">
        <f>T18/(1+$C$22)^3</f>
        <v>82.459598156992726</v>
      </c>
      <c r="U19" s="586">
        <f>U18/(1+$C$22)^3</f>
        <v>172.10846470076112</v>
      </c>
    </row>
    <row r="20" spans="1:21" s="38" customFormat="1" ht="15">
      <c r="A20" s="199"/>
      <c r="B20" s="197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586"/>
      <c r="R20" s="586"/>
      <c r="S20" s="586"/>
      <c r="T20" s="586"/>
      <c r="U20" s="586"/>
    </row>
    <row r="21" spans="1:21" s="38" customFormat="1" ht="15.5" thickBot="1">
      <c r="A21" s="199"/>
      <c r="B21" s="478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586"/>
      <c r="R21" s="586"/>
      <c r="S21" s="586"/>
      <c r="T21" s="586"/>
      <c r="U21" s="586"/>
    </row>
    <row r="22" spans="1:21" s="38" customFormat="1">
      <c r="A22" s="199"/>
      <c r="B22" s="593" t="s">
        <v>685</v>
      </c>
      <c r="C22" s="588">
        <f>'Custo de Capital'!J28</f>
        <v>8.0869859321526516E-2</v>
      </c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586"/>
      <c r="R22" s="586"/>
      <c r="S22" s="586"/>
      <c r="T22" s="586"/>
      <c r="U22" s="586"/>
    </row>
    <row r="23" spans="1:21" s="38" customFormat="1">
      <c r="A23" s="199"/>
      <c r="B23" s="594" t="s">
        <v>686</v>
      </c>
      <c r="C23" s="590">
        <f>'OV Receitas'!Q13</f>
        <v>5.7989964830471939E-2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586"/>
      <c r="R23" s="586"/>
      <c r="S23" s="586"/>
      <c r="T23" s="586"/>
      <c r="U23" s="586"/>
    </row>
    <row r="24" spans="1:21" s="38" customFormat="1">
      <c r="A24" s="199"/>
      <c r="B24" s="594" t="s">
        <v>687</v>
      </c>
      <c r="C24" s="591">
        <f>Rácios!B66/1000000</f>
        <v>960.55816200000004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586"/>
      <c r="R24" s="586"/>
      <c r="S24" s="586"/>
      <c r="T24" s="586"/>
      <c r="U24" s="586"/>
    </row>
    <row r="25" spans="1:21" s="38" customFormat="1">
      <c r="A25" s="199"/>
      <c r="B25" s="594"/>
      <c r="C25" s="591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586"/>
      <c r="R25" s="586"/>
      <c r="S25" s="586"/>
      <c r="T25" s="586"/>
      <c r="U25" s="586"/>
    </row>
    <row r="26" spans="1:21" s="38" customFormat="1">
      <c r="A26" s="199"/>
      <c r="B26" s="594" t="s">
        <v>688</v>
      </c>
      <c r="C26" s="591">
        <f>U19*(1+C23)/(C22-C23)</f>
        <v>7958.473260747628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586"/>
      <c r="R26" s="586"/>
      <c r="S26" s="586"/>
      <c r="T26" s="586"/>
      <c r="U26" s="586"/>
    </row>
    <row r="27" spans="1:21" s="38" customFormat="1">
      <c r="A27" s="199"/>
      <c r="B27" s="594" t="s">
        <v>696</v>
      </c>
      <c r="C27" s="591">
        <f>C26+SUM(Q19:U19)</f>
        <v>7364.7522541967346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586"/>
      <c r="R27" s="586"/>
      <c r="S27" s="586"/>
      <c r="T27" s="586"/>
      <c r="U27" s="586"/>
    </row>
    <row r="28" spans="1:21" s="38" customFormat="1" ht="15">
      <c r="A28" s="199"/>
      <c r="B28" s="589"/>
      <c r="C28" s="591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586"/>
      <c r="R28" s="586"/>
      <c r="S28" s="586"/>
      <c r="T28" s="586"/>
      <c r="U28" s="586"/>
    </row>
    <row r="29" spans="1:21" s="38" customFormat="1" ht="15.5" thickBot="1">
      <c r="A29" s="199"/>
      <c r="B29" s="592" t="s">
        <v>689</v>
      </c>
      <c r="C29" s="612">
        <f>C27/C24</f>
        <v>7.667159101394148</v>
      </c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586"/>
      <c r="R29" s="586"/>
      <c r="S29" s="586"/>
      <c r="T29" s="586"/>
      <c r="U29" s="586"/>
    </row>
    <row r="30" spans="1:21" s="38" customFormat="1" ht="15">
      <c r="A30" s="199"/>
      <c r="B30" s="587"/>
      <c r="C30" s="40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7"/>
      <c r="T30" s="162"/>
      <c r="U30" s="162"/>
    </row>
    <row r="31" spans="1:21" ht="16.5" customHeight="1">
      <c r="T31" s="36"/>
      <c r="U31" s="36"/>
    </row>
  </sheetData>
  <pageMargins left="0.59055118110236227" right="0.59055118110236227" top="0.78740157480314965" bottom="0" header="0.39370078740157483" footer="0.39370078740157483"/>
  <pageSetup paperSize="9" scale="51" orientation="landscape" r:id="rId1"/>
  <headerFooter>
    <oddHeader>&amp;C&amp;"Calibri,Regular"&amp;16&amp;A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CFB14-CBE1-4E6D-89AC-8D0969FDC4E7}">
  <sheetPr>
    <tabColor theme="4"/>
  </sheetPr>
  <dimension ref="A4:I19"/>
  <sheetViews>
    <sheetView workbookViewId="0">
      <selection activeCell="B19" sqref="B19"/>
    </sheetView>
  </sheetViews>
  <sheetFormatPr defaultRowHeight="12.5"/>
  <cols>
    <col min="1" max="1" width="18.36328125" bestFit="1" customWidth="1"/>
    <col min="8" max="8" width="12" bestFit="1" customWidth="1"/>
  </cols>
  <sheetData>
    <row r="4" spans="1:9">
      <c r="A4" t="s">
        <v>378</v>
      </c>
      <c r="C4" t="s">
        <v>361</v>
      </c>
      <c r="D4" t="s">
        <v>363</v>
      </c>
      <c r="E4" t="s">
        <v>362</v>
      </c>
      <c r="F4" t="s">
        <v>112</v>
      </c>
      <c r="I4" t="s">
        <v>360</v>
      </c>
    </row>
    <row r="6" spans="1:9">
      <c r="A6" t="s">
        <v>379</v>
      </c>
      <c r="C6">
        <f>Rácios!C59</f>
        <v>13.021850267673301</v>
      </c>
      <c r="E6">
        <f>Rácios!E59</f>
        <v>17.765970391645961</v>
      </c>
      <c r="F6">
        <f>AVERAGE(C6:E6)</f>
        <v>15.393910329659631</v>
      </c>
      <c r="I6" s="584">
        <f>F6*B14</f>
        <v>12.974333484124665</v>
      </c>
    </row>
    <row r="7" spans="1:9">
      <c r="A7" t="s">
        <v>380</v>
      </c>
      <c r="C7">
        <f>Rácios!C60</f>
        <v>3.4222286868686869</v>
      </c>
      <c r="D7">
        <f>Rácios!D60</f>
        <v>0.64637265944061795</v>
      </c>
      <c r="E7">
        <f>Rácios!E60</f>
        <v>1.2296721393315591</v>
      </c>
      <c r="F7">
        <f t="shared" ref="F7:F9" si="0">AVERAGE(C7:E7)</f>
        <v>1.7660911618802881</v>
      </c>
      <c r="I7" s="584">
        <f t="shared" ref="I7" si="1">F7*B15</f>
        <v>18.707684068304612</v>
      </c>
    </row>
    <row r="8" spans="1:9">
      <c r="A8" t="s">
        <v>381</v>
      </c>
      <c r="C8" s="453">
        <f>Rácios!C61</f>
        <v>8.0357142857142849E-2</v>
      </c>
      <c r="D8" s="453">
        <f>Rácios!D61</f>
        <v>3.9565554693560899E-2</v>
      </c>
      <c r="E8" s="453">
        <f>Rácios!E61</f>
        <v>3.3396911898274297E-2</v>
      </c>
      <c r="F8" s="453">
        <f t="shared" si="0"/>
        <v>5.1106536482992682E-2</v>
      </c>
      <c r="I8" s="584">
        <f>F8/B16</f>
        <v>0.56785040536658538</v>
      </c>
    </row>
    <row r="9" spans="1:9">
      <c r="A9" t="s">
        <v>673</v>
      </c>
      <c r="C9">
        <f>Rácios!C62</f>
        <v>0.90783462558017136</v>
      </c>
      <c r="D9">
        <f>Rácios!D62</f>
        <v>0.66320809571162287</v>
      </c>
      <c r="E9">
        <f>Rácios!E62</f>
        <v>1.7645318389451203</v>
      </c>
      <c r="F9">
        <f t="shared" si="0"/>
        <v>1.1118581867456381</v>
      </c>
      <c r="I9" s="584">
        <f>F9*B17</f>
        <v>2.0345136170060862</v>
      </c>
    </row>
    <row r="11" spans="1:9" ht="13" thickBot="1"/>
    <row r="12" spans="1:9">
      <c r="A12" s="595" t="s">
        <v>360</v>
      </c>
      <c r="B12" s="602"/>
    </row>
    <row r="13" spans="1:9">
      <c r="A13" s="597"/>
      <c r="B13" s="599"/>
    </row>
    <row r="14" spans="1:9">
      <c r="A14" s="597" t="s">
        <v>674</v>
      </c>
      <c r="B14" s="603">
        <f>(DR!P56*1000000/Rácios!B66)</f>
        <v>0.84282246721464016</v>
      </c>
    </row>
    <row r="15" spans="1:9">
      <c r="A15" s="597" t="s">
        <v>675</v>
      </c>
      <c r="B15" s="603">
        <f>(Balanço!P31/Rácios!B66*1000000)</f>
        <v>10.592705785576365</v>
      </c>
    </row>
    <row r="16" spans="1:9">
      <c r="A16" s="597" t="s">
        <v>383</v>
      </c>
      <c r="B16" s="604">
        <v>0.09</v>
      </c>
    </row>
    <row r="17" spans="1:2">
      <c r="A17" s="597" t="s">
        <v>676</v>
      </c>
      <c r="B17" s="603">
        <f>(DR!P11*1000000/Rácios!B66)</f>
        <v>1.8298319347371284</v>
      </c>
    </row>
    <row r="18" spans="1:2">
      <c r="A18" s="597"/>
      <c r="B18" s="599"/>
    </row>
    <row r="19" spans="1:2" ht="13" thickBot="1">
      <c r="A19" s="600" t="s">
        <v>689</v>
      </c>
      <c r="B19" s="605">
        <f>AVERAGE(I6:I9)</f>
        <v>8.571095393700487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F61B2-116C-4312-938C-F3AD35D76754}">
  <sheetPr>
    <tabColor theme="4"/>
  </sheetPr>
  <dimension ref="A1:P9"/>
  <sheetViews>
    <sheetView workbookViewId="0">
      <selection activeCell="H21" sqref="H21"/>
    </sheetView>
  </sheetViews>
  <sheetFormatPr defaultRowHeight="12.5"/>
  <cols>
    <col min="1" max="1" width="57" bestFit="1" customWidth="1"/>
  </cols>
  <sheetData>
    <row r="1" spans="1:16" ht="15">
      <c r="A1" s="340" t="s">
        <v>25</v>
      </c>
      <c r="B1" s="336">
        <v>2013</v>
      </c>
      <c r="C1" s="337">
        <v>2014</v>
      </c>
      <c r="D1" s="337">
        <v>2015</v>
      </c>
      <c r="E1" s="337">
        <v>2016</v>
      </c>
      <c r="F1" s="337">
        <v>2017</v>
      </c>
      <c r="G1" s="337">
        <v>2018</v>
      </c>
      <c r="H1" s="337">
        <v>2019</v>
      </c>
      <c r="I1" s="337">
        <v>2020</v>
      </c>
      <c r="J1" s="337">
        <v>2021</v>
      </c>
      <c r="K1" s="337">
        <v>2022</v>
      </c>
      <c r="L1" s="337">
        <v>2023</v>
      </c>
      <c r="M1" s="337">
        <v>2024</v>
      </c>
      <c r="N1" s="337">
        <v>2025</v>
      </c>
      <c r="O1" s="337">
        <v>2026</v>
      </c>
      <c r="P1" s="337">
        <v>2027</v>
      </c>
    </row>
    <row r="2" spans="1:16" ht="15">
      <c r="A2" s="334" t="s">
        <v>113</v>
      </c>
      <c r="B2" s="101">
        <v>0.04</v>
      </c>
      <c r="C2" s="101">
        <v>0.04</v>
      </c>
      <c r="D2" s="101">
        <v>0.04</v>
      </c>
      <c r="E2" s="101">
        <v>0.05</v>
      </c>
      <c r="F2" s="101">
        <v>0.05</v>
      </c>
      <c r="G2" s="101">
        <v>0.06</v>
      </c>
      <c r="H2" s="101">
        <v>7.0000000000000007E-2</v>
      </c>
      <c r="I2" s="101">
        <v>0.08</v>
      </c>
      <c r="J2" s="101">
        <v>0.08</v>
      </c>
      <c r="K2" s="110">
        <v>0.09</v>
      </c>
      <c r="L2">
        <f>K2*(1+$B$5)</f>
        <v>9.8845238095238097E-2</v>
      </c>
      <c r="M2">
        <f t="shared" ref="M2:O2" si="0">L2*(1+$B$5)</f>
        <v>0.10855978993449232</v>
      </c>
      <c r="N2">
        <f t="shared" si="0"/>
        <v>0.11922909204048807</v>
      </c>
      <c r="O2">
        <f t="shared" si="0"/>
        <v>0.13094697767356778</v>
      </c>
      <c r="P2">
        <f>O2*(1+B7)</f>
        <v>0.13854058830351457</v>
      </c>
    </row>
    <row r="3" spans="1:16">
      <c r="A3" t="s">
        <v>114</v>
      </c>
      <c r="C3" s="453">
        <f>C2/B2-1</f>
        <v>0</v>
      </c>
      <c r="D3" s="453">
        <f t="shared" ref="D3:K3" si="1">D2/C2-1</f>
        <v>0</v>
      </c>
      <c r="E3" s="453">
        <f t="shared" si="1"/>
        <v>0.25</v>
      </c>
      <c r="F3" s="453">
        <f t="shared" si="1"/>
        <v>0</v>
      </c>
      <c r="G3" s="453">
        <f t="shared" si="1"/>
        <v>0.19999999999999996</v>
      </c>
      <c r="H3" s="453">
        <f t="shared" si="1"/>
        <v>0.16666666666666674</v>
      </c>
      <c r="I3" s="453">
        <f t="shared" si="1"/>
        <v>0.14285714285714279</v>
      </c>
      <c r="J3" s="453">
        <f t="shared" si="1"/>
        <v>0</v>
      </c>
      <c r="K3" s="453">
        <f t="shared" si="1"/>
        <v>0.125</v>
      </c>
    </row>
    <row r="4" spans="1:16" ht="13" thickBot="1"/>
    <row r="5" spans="1:16">
      <c r="A5" s="595" t="s">
        <v>690</v>
      </c>
      <c r="B5" s="596">
        <f>AVERAGE(C3:K3)</f>
        <v>9.8280423280423274E-2</v>
      </c>
    </row>
    <row r="6" spans="1:16">
      <c r="A6" s="597" t="s">
        <v>115</v>
      </c>
      <c r="B6" s="598">
        <f>'Custo de Capital'!J28</f>
        <v>8.0869859321526516E-2</v>
      </c>
    </row>
    <row r="7" spans="1:16">
      <c r="A7" s="597" t="s">
        <v>671</v>
      </c>
      <c r="B7" s="598">
        <f>'OV Receitas'!Q13</f>
        <v>5.7989964830471939E-2</v>
      </c>
    </row>
    <row r="8" spans="1:16">
      <c r="A8" s="597"/>
      <c r="B8" s="599"/>
    </row>
    <row r="9" spans="1:16" ht="13" thickBot="1">
      <c r="A9" s="600" t="s">
        <v>672</v>
      </c>
      <c r="B9" s="601">
        <f>L2/(1+B6)+M2/((1+B6)^2)+N2/((1+B6)^2)+O2/((1+B6)^3)+P2/((1+B6)^4)+P2*(1+B5)/(B6-B7)/((1+B6)^4)</f>
        <v>5.3640275256587637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A3E07-8B43-4184-83E5-2247A599234D}">
  <sheetPr>
    <tabColor theme="2" tint="-0.89999084444715716"/>
  </sheetPr>
  <dimension ref="A1"/>
  <sheetViews>
    <sheetView workbookViewId="0"/>
  </sheetViews>
  <sheetFormatPr defaultRowHeight="12.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8077-9F43-45D9-B965-2D522F1E24F4}">
  <dimension ref="A1:G75"/>
  <sheetViews>
    <sheetView workbookViewId="0">
      <selection activeCell="J36" sqref="J36"/>
    </sheetView>
  </sheetViews>
  <sheetFormatPr defaultRowHeight="12.5"/>
  <cols>
    <col min="1" max="1" width="44.81640625" bestFit="1" customWidth="1"/>
    <col min="2" max="3" width="11.81640625" bestFit="1" customWidth="1"/>
    <col min="5" max="5" width="52.08984375" bestFit="1" customWidth="1"/>
    <col min="6" max="7" width="16.7265625" bestFit="1" customWidth="1"/>
  </cols>
  <sheetData>
    <row r="1" spans="1:7" ht="13" thickBot="1">
      <c r="A1" s="479" t="s">
        <v>127</v>
      </c>
      <c r="B1" s="480"/>
      <c r="C1" s="481"/>
    </row>
    <row r="2" spans="1:7" ht="13" thickBot="1">
      <c r="A2" s="482"/>
      <c r="B2" s="483" t="s">
        <v>128</v>
      </c>
      <c r="C2" s="483" t="s">
        <v>128</v>
      </c>
      <c r="E2" s="479" t="s">
        <v>127</v>
      </c>
      <c r="F2" s="480"/>
      <c r="G2" s="481"/>
    </row>
    <row r="3" spans="1:7">
      <c r="A3" s="484"/>
      <c r="B3" s="485">
        <v>2021</v>
      </c>
      <c r="C3" s="485">
        <v>2020</v>
      </c>
      <c r="E3" s="482"/>
      <c r="F3" s="483" t="s">
        <v>186</v>
      </c>
      <c r="G3" s="483" t="s">
        <v>186</v>
      </c>
    </row>
    <row r="4" spans="1:7" ht="13" thickBot="1">
      <c r="A4" s="486"/>
      <c r="B4" s="487" t="s">
        <v>129</v>
      </c>
      <c r="C4" s="487" t="s">
        <v>129</v>
      </c>
      <c r="E4" s="484"/>
      <c r="F4" s="485">
        <v>2021</v>
      </c>
      <c r="G4" s="485">
        <v>2020</v>
      </c>
    </row>
    <row r="5" spans="1:7" ht="13" thickBot="1">
      <c r="A5" s="488" t="s">
        <v>130</v>
      </c>
      <c r="B5" s="489"/>
      <c r="C5" s="489"/>
      <c r="E5" s="486"/>
      <c r="F5" s="487" t="s">
        <v>129</v>
      </c>
      <c r="G5" s="487" t="s">
        <v>129</v>
      </c>
    </row>
    <row r="6" spans="1:7">
      <c r="A6" s="490"/>
      <c r="B6" s="491"/>
      <c r="C6" s="491"/>
      <c r="E6" s="511" t="s">
        <v>187</v>
      </c>
      <c r="F6" s="512">
        <v>20899</v>
      </c>
      <c r="G6" s="513">
        <v>17050</v>
      </c>
    </row>
    <row r="7" spans="1:7">
      <c r="A7" s="506" t="s">
        <v>131</v>
      </c>
      <c r="B7" s="493">
        <v>28316</v>
      </c>
      <c r="C7" s="494">
        <v>25828</v>
      </c>
      <c r="E7" s="514" t="s">
        <v>188</v>
      </c>
      <c r="F7" s="496">
        <v>20527</v>
      </c>
      <c r="G7" s="497">
        <v>16717</v>
      </c>
    </row>
    <row r="8" spans="1:7">
      <c r="A8" s="501" t="s">
        <v>132</v>
      </c>
      <c r="B8" s="496">
        <v>22097</v>
      </c>
      <c r="C8" s="497">
        <v>21354</v>
      </c>
      <c r="E8" s="514" t="s">
        <v>189</v>
      </c>
      <c r="F8" s="496">
        <v>372</v>
      </c>
      <c r="G8" s="497">
        <v>333</v>
      </c>
    </row>
    <row r="9" spans="1:7">
      <c r="A9" s="501" t="s">
        <v>133</v>
      </c>
      <c r="B9" s="496">
        <v>55</v>
      </c>
      <c r="C9" s="497">
        <v>58</v>
      </c>
      <c r="E9" s="515"/>
      <c r="F9" s="491"/>
      <c r="G9" s="497"/>
    </row>
    <row r="10" spans="1:7">
      <c r="A10" s="501" t="s">
        <v>134</v>
      </c>
      <c r="B10" s="496">
        <v>1542</v>
      </c>
      <c r="C10" s="497">
        <v>1399</v>
      </c>
      <c r="E10" s="510" t="s">
        <v>190</v>
      </c>
      <c r="F10" s="493">
        <v>-15364</v>
      </c>
      <c r="G10" s="494">
        <v>-11069</v>
      </c>
    </row>
    <row r="11" spans="1:7">
      <c r="A11" s="501" t="s">
        <v>135</v>
      </c>
      <c r="B11" s="496">
        <v>462</v>
      </c>
      <c r="C11" s="497">
        <v>462</v>
      </c>
      <c r="E11" s="514" t="s">
        <v>191</v>
      </c>
      <c r="F11" s="496">
        <v>-7603</v>
      </c>
      <c r="G11" s="497">
        <v>-3322</v>
      </c>
    </row>
    <row r="12" spans="1:7">
      <c r="A12" s="501" t="s">
        <v>136</v>
      </c>
      <c r="B12" s="496">
        <v>180</v>
      </c>
      <c r="C12" s="497">
        <v>217</v>
      </c>
      <c r="E12" s="514" t="s">
        <v>192</v>
      </c>
      <c r="F12" s="496">
        <v>-1607</v>
      </c>
      <c r="G12" s="497">
        <v>-1100</v>
      </c>
    </row>
    <row r="13" spans="1:7">
      <c r="A13" s="501" t="s">
        <v>137</v>
      </c>
      <c r="B13" s="496">
        <v>0</v>
      </c>
      <c r="C13" s="497">
        <v>0</v>
      </c>
      <c r="E13" s="514" t="s">
        <v>193</v>
      </c>
      <c r="F13" s="496">
        <v>-4425</v>
      </c>
      <c r="G13" s="497">
        <v>-5000</v>
      </c>
    </row>
    <row r="14" spans="1:7">
      <c r="A14" s="507" t="s">
        <v>138</v>
      </c>
      <c r="B14" s="496">
        <v>580</v>
      </c>
      <c r="C14" s="497">
        <v>534</v>
      </c>
      <c r="E14" s="514" t="s">
        <v>194</v>
      </c>
      <c r="F14" s="496">
        <v>-1729</v>
      </c>
      <c r="G14" s="497">
        <v>-1647</v>
      </c>
    </row>
    <row r="15" spans="1:7">
      <c r="A15" s="507" t="s">
        <v>139</v>
      </c>
      <c r="B15" s="496">
        <v>774</v>
      </c>
      <c r="C15" s="497">
        <v>169</v>
      </c>
      <c r="E15" s="515"/>
      <c r="F15" s="491"/>
      <c r="G15" s="497"/>
    </row>
    <row r="16" spans="1:7">
      <c r="A16" s="507" t="s">
        <v>140</v>
      </c>
      <c r="B16" s="496">
        <v>264</v>
      </c>
      <c r="C16" s="497">
        <v>244</v>
      </c>
      <c r="E16" s="510" t="s">
        <v>195</v>
      </c>
      <c r="F16" s="493">
        <v>543</v>
      </c>
      <c r="G16" s="494">
        <v>25</v>
      </c>
    </row>
    <row r="17" spans="1:7">
      <c r="A17" s="507" t="s">
        <v>141</v>
      </c>
      <c r="B17" s="496">
        <v>2362</v>
      </c>
      <c r="C17" s="497">
        <v>1391</v>
      </c>
      <c r="E17" s="515"/>
      <c r="F17" s="491"/>
      <c r="G17" s="497"/>
    </row>
    <row r="18" spans="1:7">
      <c r="A18" s="490"/>
      <c r="B18" s="491"/>
      <c r="C18" s="491"/>
      <c r="E18" s="510" t="s">
        <v>196</v>
      </c>
      <c r="F18" s="493">
        <v>6078</v>
      </c>
      <c r="G18" s="494">
        <v>6006</v>
      </c>
    </row>
    <row r="19" spans="1:7">
      <c r="A19" s="492" t="s">
        <v>142</v>
      </c>
      <c r="B19" s="493">
        <v>11652</v>
      </c>
      <c r="C19" s="494">
        <v>6234</v>
      </c>
      <c r="E19" s="515"/>
      <c r="F19" s="491"/>
      <c r="G19" s="497"/>
    </row>
    <row r="20" spans="1:7">
      <c r="A20" s="501" t="s">
        <v>49</v>
      </c>
      <c r="B20" s="496">
        <v>1343</v>
      </c>
      <c r="C20" s="497">
        <v>1077</v>
      </c>
      <c r="E20" s="514" t="s">
        <v>197</v>
      </c>
      <c r="F20" s="496">
        <v>320</v>
      </c>
      <c r="G20" s="497">
        <v>275</v>
      </c>
    </row>
    <row r="21" spans="1:7">
      <c r="A21" s="501" t="s">
        <v>143</v>
      </c>
      <c r="B21" s="496">
        <v>5382</v>
      </c>
      <c r="C21" s="497">
        <v>3346</v>
      </c>
      <c r="E21" s="514" t="s">
        <v>198</v>
      </c>
      <c r="F21" s="496">
        <v>-916</v>
      </c>
      <c r="G21" s="497">
        <v>-1147</v>
      </c>
    </row>
    <row r="22" spans="1:7">
      <c r="A22" s="502" t="s">
        <v>144</v>
      </c>
      <c r="B22" s="496">
        <v>5024</v>
      </c>
      <c r="C22" s="497">
        <v>2808</v>
      </c>
      <c r="E22" s="514" t="s">
        <v>199</v>
      </c>
      <c r="F22" s="496">
        <v>-1239</v>
      </c>
      <c r="G22" s="497">
        <v>-1351</v>
      </c>
    </row>
    <row r="23" spans="1:7">
      <c r="A23" s="503" t="s">
        <v>145</v>
      </c>
      <c r="B23" s="496">
        <v>76</v>
      </c>
      <c r="C23" s="497">
        <v>426</v>
      </c>
      <c r="E23" s="514" t="s">
        <v>200</v>
      </c>
      <c r="F23" s="496">
        <v>35</v>
      </c>
      <c r="G23" s="497">
        <v>26</v>
      </c>
    </row>
    <row r="24" spans="1:7">
      <c r="A24" s="503" t="s">
        <v>146</v>
      </c>
      <c r="B24" s="496">
        <v>282</v>
      </c>
      <c r="C24" s="497">
        <v>112</v>
      </c>
      <c r="E24" s="515"/>
      <c r="F24" s="491"/>
      <c r="G24" s="497"/>
    </row>
    <row r="25" spans="1:7">
      <c r="A25" s="507" t="s">
        <v>147</v>
      </c>
      <c r="B25" s="496">
        <v>6</v>
      </c>
      <c r="C25" s="497">
        <v>10</v>
      </c>
      <c r="E25" s="510" t="s">
        <v>201</v>
      </c>
      <c r="F25" s="493">
        <v>4278</v>
      </c>
      <c r="G25" s="494">
        <v>3809</v>
      </c>
    </row>
    <row r="26" spans="1:7">
      <c r="A26" s="501" t="s">
        <v>148</v>
      </c>
      <c r="B26" s="496">
        <v>1817</v>
      </c>
      <c r="C26" s="497">
        <v>931</v>
      </c>
      <c r="E26" s="515"/>
      <c r="F26" s="491"/>
      <c r="G26" s="497"/>
    </row>
    <row r="27" spans="1:7">
      <c r="A27" s="501" t="s">
        <v>149</v>
      </c>
      <c r="B27" s="496">
        <v>2401</v>
      </c>
      <c r="C27" s="497">
        <v>467</v>
      </c>
      <c r="E27" s="501" t="s">
        <v>202</v>
      </c>
      <c r="F27" s="496">
        <v>-2197</v>
      </c>
      <c r="G27" s="497">
        <v>-1787</v>
      </c>
    </row>
    <row r="28" spans="1:7">
      <c r="A28" s="508" t="s">
        <v>125</v>
      </c>
      <c r="B28" s="496">
        <v>703</v>
      </c>
      <c r="C28" s="497">
        <v>403</v>
      </c>
      <c r="E28" s="501" t="s">
        <v>203</v>
      </c>
      <c r="F28" s="496">
        <v>-125</v>
      </c>
      <c r="G28" s="497">
        <v>-110</v>
      </c>
    </row>
    <row r="29" spans="1:7">
      <c r="A29" s="501" t="s">
        <v>150</v>
      </c>
      <c r="B29" s="496">
        <v>0</v>
      </c>
      <c r="C29" s="497">
        <v>0</v>
      </c>
      <c r="E29" s="515"/>
      <c r="F29" s="491"/>
      <c r="G29" s="497"/>
    </row>
    <row r="30" spans="1:7">
      <c r="A30" s="506" t="s">
        <v>151</v>
      </c>
      <c r="B30" s="493">
        <v>39968</v>
      </c>
      <c r="C30" s="494">
        <v>32062</v>
      </c>
      <c r="E30" s="506" t="s">
        <v>204</v>
      </c>
      <c r="F30" s="493">
        <v>1956</v>
      </c>
      <c r="G30" s="494">
        <v>1912</v>
      </c>
    </row>
    <row r="31" spans="1:7">
      <c r="A31" s="490"/>
      <c r="B31" s="491"/>
      <c r="C31" s="491"/>
      <c r="E31" s="515"/>
      <c r="F31" s="491"/>
      <c r="G31" s="497"/>
    </row>
    <row r="32" spans="1:7">
      <c r="A32" s="506" t="s">
        <v>152</v>
      </c>
      <c r="B32" s="500"/>
      <c r="C32" s="500"/>
      <c r="E32" s="510" t="s">
        <v>205</v>
      </c>
      <c r="F32" s="493">
        <v>-31</v>
      </c>
      <c r="G32" s="494">
        <v>-158</v>
      </c>
    </row>
    <row r="33" spans="1:7">
      <c r="A33" s="490"/>
      <c r="B33" s="491"/>
      <c r="C33" s="491"/>
      <c r="E33" s="514" t="s">
        <v>206</v>
      </c>
      <c r="F33" s="496">
        <v>163</v>
      </c>
      <c r="G33" s="497">
        <v>25</v>
      </c>
    </row>
    <row r="34" spans="1:7">
      <c r="A34" s="506" t="s">
        <v>153</v>
      </c>
      <c r="B34" s="493">
        <v>5544</v>
      </c>
      <c r="C34" s="494">
        <v>7465</v>
      </c>
      <c r="E34" s="514" t="s">
        <v>207</v>
      </c>
      <c r="F34" s="496">
        <v>-177</v>
      </c>
      <c r="G34" s="497">
        <v>-191</v>
      </c>
    </row>
    <row r="35" spans="1:7">
      <c r="A35" s="501" t="s">
        <v>154</v>
      </c>
      <c r="B35" s="496">
        <v>5380</v>
      </c>
      <c r="C35" s="497">
        <v>7315</v>
      </c>
      <c r="E35" s="514" t="s">
        <v>208</v>
      </c>
      <c r="F35" s="496">
        <v>-11</v>
      </c>
      <c r="G35" s="497">
        <v>-4</v>
      </c>
    </row>
    <row r="36" spans="1:7">
      <c r="A36" s="502" t="s">
        <v>155</v>
      </c>
      <c r="B36" s="496">
        <v>1271</v>
      </c>
      <c r="C36" s="497">
        <v>1271</v>
      </c>
      <c r="E36" s="514" t="s">
        <v>209</v>
      </c>
      <c r="F36" s="496">
        <v>-6</v>
      </c>
      <c r="G36" s="497">
        <v>12</v>
      </c>
    </row>
    <row r="37" spans="1:7">
      <c r="A37" s="503" t="s">
        <v>156</v>
      </c>
      <c r="B37" s="496">
        <v>4761</v>
      </c>
      <c r="C37" s="497">
        <v>5467</v>
      </c>
      <c r="E37" s="515"/>
      <c r="F37" s="491"/>
      <c r="G37" s="497"/>
    </row>
    <row r="38" spans="1:7">
      <c r="A38" s="502" t="s">
        <v>157</v>
      </c>
      <c r="B38" s="496">
        <v>-3</v>
      </c>
      <c r="C38" s="497">
        <v>-2</v>
      </c>
      <c r="E38" s="515" t="s">
        <v>210</v>
      </c>
      <c r="F38" s="496">
        <v>-1</v>
      </c>
      <c r="G38" s="497">
        <v>34</v>
      </c>
    </row>
    <row r="39" spans="1:7">
      <c r="A39" s="503" t="s">
        <v>158</v>
      </c>
      <c r="B39" s="496">
        <v>1435</v>
      </c>
      <c r="C39" s="497">
        <v>1394</v>
      </c>
      <c r="E39" s="516"/>
      <c r="F39" s="517"/>
      <c r="G39" s="517"/>
    </row>
    <row r="40" spans="1:7">
      <c r="A40" s="502" t="s">
        <v>159</v>
      </c>
      <c r="B40" s="496">
        <v>-529</v>
      </c>
      <c r="C40" s="497">
        <v>-741</v>
      </c>
      <c r="E40" s="506" t="s">
        <v>211</v>
      </c>
      <c r="F40" s="493">
        <v>1924</v>
      </c>
      <c r="G40" s="494">
        <v>1788</v>
      </c>
    </row>
    <row r="41" spans="1:7">
      <c r="A41" s="503" t="s">
        <v>160</v>
      </c>
      <c r="B41" s="496">
        <v>2</v>
      </c>
      <c r="C41" s="497">
        <v>0</v>
      </c>
      <c r="E41" s="516"/>
      <c r="F41" s="517"/>
      <c r="G41" s="517"/>
    </row>
    <row r="42" spans="1:7">
      <c r="A42" s="505" t="s">
        <v>161</v>
      </c>
      <c r="B42" s="496">
        <v>-1557</v>
      </c>
      <c r="C42" s="497">
        <v>-74</v>
      </c>
      <c r="E42" s="515" t="s">
        <v>212</v>
      </c>
      <c r="F42" s="496">
        <v>-467</v>
      </c>
      <c r="G42" s="497">
        <v>-388</v>
      </c>
    </row>
    <row r="43" spans="1:7">
      <c r="A43" s="501" t="s">
        <v>162</v>
      </c>
      <c r="B43" s="496">
        <v>164</v>
      </c>
      <c r="C43" s="497">
        <v>150</v>
      </c>
      <c r="E43" s="516"/>
      <c r="F43" s="517"/>
      <c r="G43" s="517"/>
    </row>
    <row r="44" spans="1:7">
      <c r="A44" s="490"/>
      <c r="B44" s="491"/>
      <c r="C44" s="491"/>
      <c r="E44" s="506" t="s">
        <v>213</v>
      </c>
      <c r="F44" s="493">
        <v>1457</v>
      </c>
      <c r="G44" s="494">
        <v>1400</v>
      </c>
    </row>
    <row r="45" spans="1:7">
      <c r="A45" s="492" t="s">
        <v>163</v>
      </c>
      <c r="B45" s="493">
        <v>18602</v>
      </c>
      <c r="C45" s="494">
        <v>16042</v>
      </c>
      <c r="E45" s="516"/>
      <c r="F45" s="517"/>
      <c r="G45" s="517"/>
    </row>
    <row r="46" spans="1:7">
      <c r="A46" s="505" t="s">
        <v>164</v>
      </c>
      <c r="B46" s="496">
        <v>254</v>
      </c>
      <c r="C46" s="497">
        <v>261</v>
      </c>
      <c r="E46" s="506" t="s">
        <v>214</v>
      </c>
      <c r="F46" s="493">
        <v>0</v>
      </c>
      <c r="G46" s="494">
        <v>0</v>
      </c>
    </row>
    <row r="47" spans="1:7">
      <c r="A47" s="509" t="s">
        <v>165</v>
      </c>
      <c r="B47" s="496">
        <v>4284</v>
      </c>
      <c r="C47" s="497">
        <v>4256</v>
      </c>
      <c r="E47" s="516"/>
      <c r="F47" s="517"/>
      <c r="G47" s="517"/>
    </row>
    <row r="48" spans="1:7">
      <c r="A48" s="495" t="s">
        <v>166</v>
      </c>
      <c r="B48" s="496">
        <v>3984</v>
      </c>
      <c r="C48" s="497">
        <v>3704</v>
      </c>
      <c r="E48" s="510" t="s">
        <v>215</v>
      </c>
      <c r="F48" s="493">
        <v>1457</v>
      </c>
      <c r="G48" s="494">
        <v>1400</v>
      </c>
    </row>
    <row r="49" spans="1:7">
      <c r="A49" s="503" t="s">
        <v>167</v>
      </c>
      <c r="B49" s="496">
        <v>659</v>
      </c>
      <c r="C49" s="497">
        <v>757</v>
      </c>
      <c r="E49" s="514" t="s">
        <v>216</v>
      </c>
      <c r="F49" s="496">
        <v>1435</v>
      </c>
      <c r="G49" s="497">
        <v>1394</v>
      </c>
    </row>
    <row r="50" spans="1:7">
      <c r="A50" s="498" t="s">
        <v>168</v>
      </c>
      <c r="B50" s="496">
        <v>3325</v>
      </c>
      <c r="C50" s="497">
        <v>2947</v>
      </c>
      <c r="E50" s="514" t="s">
        <v>217</v>
      </c>
      <c r="F50" s="496">
        <v>22</v>
      </c>
      <c r="G50" s="497">
        <v>6</v>
      </c>
    </row>
    <row r="51" spans="1:7">
      <c r="A51" s="501" t="s">
        <v>169</v>
      </c>
      <c r="B51" s="496">
        <v>7211</v>
      </c>
      <c r="C51" s="497">
        <v>5901</v>
      </c>
    </row>
    <row r="52" spans="1:7">
      <c r="A52" s="501" t="s">
        <v>170</v>
      </c>
      <c r="B52" s="496">
        <v>573</v>
      </c>
      <c r="C52" s="497">
        <v>236</v>
      </c>
    </row>
    <row r="53" spans="1:7">
      <c r="A53" s="501" t="s">
        <v>171</v>
      </c>
      <c r="B53" s="496">
        <v>120</v>
      </c>
      <c r="C53" s="497">
        <v>1</v>
      </c>
    </row>
    <row r="54" spans="1:7">
      <c r="A54" s="501" t="s">
        <v>172</v>
      </c>
      <c r="B54" s="496">
        <v>690</v>
      </c>
      <c r="C54" s="497">
        <v>630</v>
      </c>
    </row>
    <row r="55" spans="1:7">
      <c r="A55" s="501" t="s">
        <v>173</v>
      </c>
      <c r="B55" s="496">
        <v>1486</v>
      </c>
      <c r="C55" s="497">
        <v>1053</v>
      </c>
    </row>
    <row r="56" spans="1:7">
      <c r="A56" s="490"/>
      <c r="B56" s="491"/>
      <c r="C56" s="491"/>
    </row>
    <row r="57" spans="1:7">
      <c r="A57" s="492" t="s">
        <v>174</v>
      </c>
      <c r="B57" s="493">
        <v>15822</v>
      </c>
      <c r="C57" s="494">
        <v>8555</v>
      </c>
    </row>
    <row r="58" spans="1:7">
      <c r="A58" s="501" t="s">
        <v>175</v>
      </c>
      <c r="B58" s="496">
        <v>270</v>
      </c>
      <c r="C58" s="497">
        <v>274</v>
      </c>
    </row>
    <row r="59" spans="1:7">
      <c r="A59" s="495" t="s">
        <v>176</v>
      </c>
      <c r="B59" s="496">
        <v>611</v>
      </c>
      <c r="C59" s="497">
        <v>477</v>
      </c>
    </row>
    <row r="60" spans="1:7">
      <c r="A60" s="503" t="s">
        <v>167</v>
      </c>
      <c r="B60" s="493">
        <v>0</v>
      </c>
      <c r="C60" s="494">
        <v>0</v>
      </c>
    </row>
    <row r="61" spans="1:7">
      <c r="A61" s="498" t="s">
        <v>177</v>
      </c>
      <c r="B61" s="496">
        <v>611</v>
      </c>
      <c r="C61" s="497">
        <v>477</v>
      </c>
    </row>
    <row r="62" spans="1:7">
      <c r="A62" s="507" t="s">
        <v>178</v>
      </c>
      <c r="B62" s="496">
        <v>3167</v>
      </c>
      <c r="C62" s="497">
        <v>1372</v>
      </c>
    </row>
    <row r="63" spans="1:7">
      <c r="A63" s="507" t="s">
        <v>149</v>
      </c>
      <c r="B63" s="496">
        <v>4884</v>
      </c>
      <c r="C63" s="497">
        <v>404</v>
      </c>
    </row>
    <row r="64" spans="1:7">
      <c r="A64" s="495" t="s">
        <v>179</v>
      </c>
      <c r="B64" s="496">
        <v>34</v>
      </c>
      <c r="C64" s="497">
        <v>25</v>
      </c>
    </row>
    <row r="65" spans="1:3">
      <c r="A65" s="507" t="s">
        <v>180</v>
      </c>
      <c r="B65" s="496">
        <v>6856</v>
      </c>
      <c r="C65" s="497">
        <v>6003</v>
      </c>
    </row>
    <row r="66" spans="1:3">
      <c r="A66" s="498" t="s">
        <v>181</v>
      </c>
      <c r="B66" s="496">
        <v>6071</v>
      </c>
      <c r="C66" s="497">
        <v>5024</v>
      </c>
    </row>
    <row r="67" spans="1:3">
      <c r="A67" s="498" t="s">
        <v>182</v>
      </c>
      <c r="B67" s="496">
        <v>333</v>
      </c>
      <c r="C67" s="497">
        <v>512</v>
      </c>
    </row>
    <row r="68" spans="1:3">
      <c r="A68" s="498" t="s">
        <v>183</v>
      </c>
      <c r="B68" s="496">
        <v>452</v>
      </c>
      <c r="C68" s="497">
        <v>467</v>
      </c>
    </row>
    <row r="69" spans="1:3" ht="19">
      <c r="A69" s="499" t="s">
        <v>184</v>
      </c>
      <c r="B69" s="496">
        <v>0</v>
      </c>
      <c r="C69" s="497">
        <v>0</v>
      </c>
    </row>
    <row r="70" spans="1:3" ht="13" thickBot="1">
      <c r="A70" s="504" t="s">
        <v>185</v>
      </c>
      <c r="B70" s="493">
        <v>39968</v>
      </c>
      <c r="C70" s="494">
        <v>32062</v>
      </c>
    </row>
    <row r="73" spans="1:3">
      <c r="A73" t="s">
        <v>382</v>
      </c>
    </row>
    <row r="74" spans="1:3">
      <c r="A74" t="s">
        <v>383</v>
      </c>
    </row>
    <row r="75" spans="1:3">
      <c r="A75" t="s">
        <v>384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B4CF-90AE-4A86-B9B7-9D421D4990B4}">
  <dimension ref="A1:G82"/>
  <sheetViews>
    <sheetView workbookViewId="0">
      <selection activeCell="E43" sqref="E43"/>
    </sheetView>
  </sheetViews>
  <sheetFormatPr defaultRowHeight="12.5"/>
  <cols>
    <col min="1" max="1" width="55.7265625" bestFit="1" customWidth="1"/>
    <col min="2" max="3" width="9.81640625" bestFit="1" customWidth="1"/>
    <col min="5" max="5" width="53.36328125" bestFit="1" customWidth="1"/>
    <col min="6" max="6" width="11" customWidth="1"/>
    <col min="7" max="7" width="12.90625" customWidth="1"/>
  </cols>
  <sheetData>
    <row r="1" spans="1:7" ht="26">
      <c r="A1" s="535" t="s">
        <v>218</v>
      </c>
      <c r="B1" s="518" t="s">
        <v>219</v>
      </c>
      <c r="C1" s="518" t="s">
        <v>219</v>
      </c>
      <c r="E1" s="545"/>
      <c r="F1" s="546" t="s">
        <v>272</v>
      </c>
      <c r="G1" s="546" t="s">
        <v>273</v>
      </c>
    </row>
    <row r="2" spans="1:7" ht="13">
      <c r="A2" s="519"/>
      <c r="B2" s="520">
        <v>2021</v>
      </c>
      <c r="C2" s="520">
        <v>2020</v>
      </c>
      <c r="E2" s="547" t="s">
        <v>274</v>
      </c>
      <c r="F2" s="548">
        <v>39113.454305177045</v>
      </c>
      <c r="G2" s="548">
        <v>33145.101818371797</v>
      </c>
    </row>
    <row r="3" spans="1:7" ht="13">
      <c r="A3" s="521"/>
      <c r="B3" s="522"/>
      <c r="C3" s="522"/>
      <c r="E3" s="549" t="s">
        <v>275</v>
      </c>
      <c r="F3" s="550">
        <v>-22051.746045919394</v>
      </c>
      <c r="G3" s="550">
        <v>-16999.976775060361</v>
      </c>
    </row>
    <row r="4" spans="1:7" ht="13">
      <c r="A4" s="523" t="s">
        <v>131</v>
      </c>
      <c r="B4" s="536">
        <v>119368.57022226193</v>
      </c>
      <c r="C4" s="536">
        <v>107546.08417710321</v>
      </c>
      <c r="E4" s="551" t="s">
        <v>276</v>
      </c>
      <c r="F4" s="552">
        <v>17061.708259257655</v>
      </c>
      <c r="G4" s="552">
        <v>16145.125043311436</v>
      </c>
    </row>
    <row r="5" spans="1:7" ht="13">
      <c r="A5" s="524" t="s">
        <v>220</v>
      </c>
      <c r="B5" s="525">
        <v>19908.643251616413</v>
      </c>
      <c r="C5" s="525">
        <v>18222.315437445992</v>
      </c>
      <c r="E5" s="547" t="s">
        <v>277</v>
      </c>
      <c r="F5" s="548">
        <v>-4227.3846558396463</v>
      </c>
      <c r="G5" s="548">
        <v>-4285.9899828708803</v>
      </c>
    </row>
    <row r="6" spans="1:7">
      <c r="A6" s="526" t="s">
        <v>135</v>
      </c>
      <c r="B6" s="527">
        <v>8312.3733622388427</v>
      </c>
      <c r="C6" s="527">
        <v>7613.2367816232627</v>
      </c>
      <c r="E6" s="553" t="s">
        <v>278</v>
      </c>
      <c r="F6" s="554">
        <v>-3002.3270045870986</v>
      </c>
      <c r="G6" s="554">
        <v>-2809.7334426063421</v>
      </c>
    </row>
    <row r="7" spans="1:7">
      <c r="A7" s="526" t="s">
        <v>221</v>
      </c>
      <c r="B7" s="527">
        <v>11596.269889377572</v>
      </c>
      <c r="C7" s="527">
        <v>10609.078655822728</v>
      </c>
      <c r="E7" s="553" t="s">
        <v>279</v>
      </c>
      <c r="F7" s="555">
        <v>715.984924066433</v>
      </c>
      <c r="G7" s="555">
        <v>660.72252028801631</v>
      </c>
    </row>
    <row r="8" spans="1:7" ht="13">
      <c r="A8" s="524" t="s">
        <v>222</v>
      </c>
      <c r="B8" s="525">
        <v>309.54107106705999</v>
      </c>
      <c r="C8" s="525">
        <v>301.04142922300002</v>
      </c>
      <c r="E8" s="553" t="s">
        <v>280</v>
      </c>
      <c r="F8" s="554">
        <v>-2935.686926810039</v>
      </c>
      <c r="G8" s="554">
        <v>-2841.2132567253516</v>
      </c>
    </row>
    <row r="9" spans="1:7" ht="13">
      <c r="A9" s="524" t="s">
        <v>223</v>
      </c>
      <c r="B9" s="525">
        <v>79980.802047207806</v>
      </c>
      <c r="C9" s="525">
        <v>71778.700126773183</v>
      </c>
      <c r="E9" s="553" t="s">
        <v>281</v>
      </c>
      <c r="F9" s="555">
        <v>994.64435149105793</v>
      </c>
      <c r="G9" s="555">
        <v>704.2341961727974</v>
      </c>
    </row>
    <row r="10" spans="1:7" ht="13">
      <c r="A10" s="526" t="s">
        <v>223</v>
      </c>
      <c r="B10" s="527">
        <v>70918.843538730362</v>
      </c>
      <c r="C10" s="527">
        <v>64878.789664557626</v>
      </c>
      <c r="E10" s="547" t="s">
        <v>282</v>
      </c>
      <c r="F10" s="548">
        <v>-828.62942700335577</v>
      </c>
      <c r="G10" s="548">
        <v>-1820.8990484010492</v>
      </c>
    </row>
    <row r="11" spans="1:7" ht="13">
      <c r="A11" s="526" t="s">
        <v>224</v>
      </c>
      <c r="B11" s="527">
        <v>9061.9585084774408</v>
      </c>
      <c r="C11" s="527">
        <v>6899.9104622155464</v>
      </c>
      <c r="E11" s="551" t="s">
        <v>15</v>
      </c>
      <c r="F11" s="556">
        <v>12005.694176414654</v>
      </c>
      <c r="G11" s="556">
        <v>10038.236012039506</v>
      </c>
    </row>
    <row r="12" spans="1:7" ht="13">
      <c r="A12" s="524" t="s">
        <v>225</v>
      </c>
      <c r="B12" s="525">
        <v>2259.9518289240982</v>
      </c>
      <c r="C12" s="525">
        <v>1974.1358948983429</v>
      </c>
      <c r="E12" s="549" t="s">
        <v>283</v>
      </c>
      <c r="F12" s="550">
        <v>-4662.8879123467714</v>
      </c>
      <c r="G12" s="550">
        <v>-4473.9010812639981</v>
      </c>
    </row>
    <row r="13" spans="1:7" ht="13">
      <c r="A13" s="524" t="s">
        <v>226</v>
      </c>
      <c r="B13" s="525">
        <v>6498.6338157096816</v>
      </c>
      <c r="C13" s="525">
        <v>5461.1126958020659</v>
      </c>
      <c r="E13" s="551" t="s">
        <v>284</v>
      </c>
      <c r="F13" s="556">
        <v>7342.8062640678827</v>
      </c>
      <c r="G13" s="556">
        <v>5564.3349307755079</v>
      </c>
    </row>
    <row r="14" spans="1:7" ht="13">
      <c r="A14" s="526" t="s">
        <v>227</v>
      </c>
      <c r="B14" s="527">
        <v>1057.9655687336601</v>
      </c>
      <c r="C14" s="527">
        <v>1145.4065494239601</v>
      </c>
      <c r="E14" s="547" t="s">
        <v>285</v>
      </c>
      <c r="F14" s="548">
        <v>-2267.9606873232533</v>
      </c>
      <c r="G14" s="548">
        <v>-2029.4895792123823</v>
      </c>
    </row>
    <row r="15" spans="1:7" ht="13">
      <c r="A15" s="526" t="s">
        <v>228</v>
      </c>
      <c r="B15" s="527">
        <v>25.2481872954598</v>
      </c>
      <c r="C15" s="527">
        <v>37.593170047332805</v>
      </c>
      <c r="E15" s="547" t="s">
        <v>286</v>
      </c>
      <c r="F15" s="548">
        <v>1264.8072372601016</v>
      </c>
      <c r="G15" s="548">
        <v>1038.5025918278634</v>
      </c>
    </row>
    <row r="16" spans="1:7" ht="13">
      <c r="A16" s="526" t="s">
        <v>229</v>
      </c>
      <c r="B16" s="527">
        <v>3994.3726579687032</v>
      </c>
      <c r="C16" s="527">
        <v>2909.2850936458799</v>
      </c>
      <c r="E16" s="547" t="s">
        <v>287</v>
      </c>
      <c r="F16" s="548">
        <v>-1003.1534500631517</v>
      </c>
      <c r="G16" s="548">
        <v>-990.9869873845189</v>
      </c>
    </row>
    <row r="17" spans="1:7" ht="13">
      <c r="A17" s="526" t="s">
        <v>230</v>
      </c>
      <c r="B17" s="527">
        <v>1421.0474017118584</v>
      </c>
      <c r="C17" s="527">
        <v>1368.8278826848932</v>
      </c>
      <c r="E17" s="547" t="s">
        <v>288</v>
      </c>
      <c r="F17" s="548">
        <v>-74.062479568744294</v>
      </c>
      <c r="G17" s="548">
        <v>460.565233331309</v>
      </c>
    </row>
    <row r="18" spans="1:7" ht="13">
      <c r="A18" s="524" t="s">
        <v>231</v>
      </c>
      <c r="B18" s="525">
        <v>3764.0858465318811</v>
      </c>
      <c r="C18" s="525">
        <v>3161.1014642581163</v>
      </c>
      <c r="E18" s="551" t="s">
        <v>289</v>
      </c>
      <c r="F18" s="556">
        <v>6265.5903344359867</v>
      </c>
      <c r="G18" s="556">
        <v>5033.913176722298</v>
      </c>
    </row>
    <row r="19" spans="1:7" ht="13">
      <c r="A19" s="524" t="s">
        <v>232</v>
      </c>
      <c r="B19" s="525">
        <v>728.68183293097695</v>
      </c>
      <c r="C19" s="525">
        <v>665.67507687</v>
      </c>
      <c r="E19" s="549" t="s">
        <v>290</v>
      </c>
      <c r="F19" s="550">
        <v>-1914.0058687273272</v>
      </c>
      <c r="G19" s="550">
        <v>-1082.6409199110217</v>
      </c>
    </row>
    <row r="20" spans="1:7" ht="13">
      <c r="A20" s="524" t="s">
        <v>233</v>
      </c>
      <c r="B20" s="525">
        <v>5918.2305282740244</v>
      </c>
      <c r="C20" s="525">
        <v>5982.0020518325246</v>
      </c>
      <c r="E20" s="549" t="s">
        <v>291</v>
      </c>
      <c r="F20" s="550">
        <v>-466.80170793351272</v>
      </c>
      <c r="G20" s="550">
        <v>-340.5654988948981</v>
      </c>
    </row>
    <row r="21" spans="1:7" ht="13">
      <c r="A21" s="524"/>
      <c r="B21" s="527"/>
      <c r="C21" s="527"/>
      <c r="E21" s="551" t="s">
        <v>292</v>
      </c>
      <c r="F21" s="556">
        <v>3884.7827577751464</v>
      </c>
      <c r="G21" s="556">
        <v>3610.7067579163786</v>
      </c>
    </row>
    <row r="22" spans="1:7" ht="13">
      <c r="A22" s="523" t="s">
        <v>142</v>
      </c>
      <c r="B22" s="528">
        <v>22383.640543936661</v>
      </c>
      <c r="C22" s="528">
        <v>14972.270552946731</v>
      </c>
    </row>
    <row r="23" spans="1:7" ht="13">
      <c r="A23" s="524" t="s">
        <v>234</v>
      </c>
      <c r="B23" s="529">
        <v>124.472197697062</v>
      </c>
      <c r="C23" s="529">
        <v>0</v>
      </c>
    </row>
    <row r="24" spans="1:7" ht="13">
      <c r="A24" s="524" t="s">
        <v>235</v>
      </c>
      <c r="B24" s="529">
        <v>267.49390946434494</v>
      </c>
      <c r="C24" s="529">
        <v>259.61333192331199</v>
      </c>
    </row>
    <row r="25" spans="1:7" ht="13">
      <c r="A25" s="524" t="s">
        <v>49</v>
      </c>
      <c r="B25" s="529">
        <v>2639.3863423856064</v>
      </c>
      <c r="C25" s="529">
        <v>2443.0961702112118</v>
      </c>
    </row>
    <row r="26" spans="1:7" ht="13">
      <c r="A26" s="524" t="s">
        <v>236</v>
      </c>
      <c r="B26" s="529">
        <v>10955.672615269552</v>
      </c>
      <c r="C26" s="529">
        <v>7664.2557725358438</v>
      </c>
    </row>
    <row r="27" spans="1:7">
      <c r="A27" s="526" t="s">
        <v>232</v>
      </c>
      <c r="B27" s="530">
        <v>366.61953416600193</v>
      </c>
      <c r="C27" s="530">
        <v>563.99380519613294</v>
      </c>
    </row>
    <row r="28" spans="1:7">
      <c r="A28" s="526" t="s">
        <v>237</v>
      </c>
      <c r="B28" s="530">
        <v>2406.4489616799378</v>
      </c>
      <c r="C28" s="530">
        <v>622.68186250903022</v>
      </c>
    </row>
    <row r="29" spans="1:7">
      <c r="A29" s="526" t="s">
        <v>238</v>
      </c>
      <c r="B29" s="530">
        <v>8182.6041194236132</v>
      </c>
      <c r="C29" s="530">
        <v>6477.5801048306812</v>
      </c>
    </row>
    <row r="30" spans="1:7" ht="13">
      <c r="A30" s="524" t="s">
        <v>239</v>
      </c>
      <c r="B30" s="529">
        <v>4363.9223452995493</v>
      </c>
      <c r="C30" s="529">
        <v>1178.1900157203572</v>
      </c>
    </row>
    <row r="31" spans="1:7">
      <c r="A31" s="526" t="s">
        <v>240</v>
      </c>
      <c r="B31" s="530">
        <v>1533.0328672397427</v>
      </c>
      <c r="C31" s="530">
        <v>577.56702746452891</v>
      </c>
    </row>
    <row r="32" spans="1:7">
      <c r="A32" s="526" t="s">
        <v>230</v>
      </c>
      <c r="B32" s="530">
        <v>2830.8894780598066</v>
      </c>
      <c r="C32" s="530">
        <v>600.6229882558282</v>
      </c>
    </row>
    <row r="33" spans="1:3" ht="13">
      <c r="A33" s="524" t="s">
        <v>55</v>
      </c>
      <c r="B33" s="529">
        <v>4032.6931338205468</v>
      </c>
      <c r="C33" s="529">
        <v>3427.1152625560071</v>
      </c>
    </row>
    <row r="34" spans="1:3" ht="13">
      <c r="A34" s="524"/>
      <c r="B34" s="531"/>
      <c r="C34" s="531"/>
    </row>
    <row r="35" spans="1:3" ht="13">
      <c r="A35" s="532" t="s">
        <v>241</v>
      </c>
      <c r="B35" s="537">
        <v>141752.21076619858</v>
      </c>
      <c r="C35" s="537">
        <v>122518.35473004995</v>
      </c>
    </row>
    <row r="36" spans="1:3">
      <c r="A36" s="533"/>
      <c r="B36" s="534"/>
      <c r="C36" s="534"/>
    </row>
    <row r="37" spans="1:3" ht="15.5">
      <c r="A37" s="535" t="s">
        <v>242</v>
      </c>
      <c r="B37" s="518" t="s">
        <v>219</v>
      </c>
      <c r="C37" s="518" t="s">
        <v>219</v>
      </c>
    </row>
    <row r="38" spans="1:3" ht="13">
      <c r="A38" s="521"/>
      <c r="B38" s="520">
        <v>2021</v>
      </c>
      <c r="C38" s="520">
        <v>2020</v>
      </c>
    </row>
    <row r="39" spans="1:3" ht="13">
      <c r="A39" s="523" t="s">
        <v>243</v>
      </c>
      <c r="B39" s="538">
        <v>56126.290289155542</v>
      </c>
      <c r="C39" s="538">
        <v>47218.9341252179</v>
      </c>
    </row>
    <row r="40" spans="1:3" ht="13">
      <c r="A40" s="524" t="s">
        <v>244</v>
      </c>
      <c r="B40" s="539">
        <v>40478.998696878632</v>
      </c>
      <c r="C40" s="539">
        <v>35412.812385767131</v>
      </c>
    </row>
    <row r="41" spans="1:3">
      <c r="A41" s="526" t="s">
        <v>245</v>
      </c>
      <c r="B41" s="540">
        <v>4774.5659999999998</v>
      </c>
      <c r="C41" s="540">
        <v>4762.5457500000002</v>
      </c>
    </row>
    <row r="42" spans="1:3">
      <c r="A42" s="526" t="s">
        <v>246</v>
      </c>
      <c r="B42" s="540">
        <v>547.47163439840597</v>
      </c>
      <c r="C42" s="540">
        <v>-242.02686700700892</v>
      </c>
    </row>
    <row r="43" spans="1:3">
      <c r="A43" s="526" t="s">
        <v>247</v>
      </c>
      <c r="B43" s="540">
        <v>35911.894946132561</v>
      </c>
      <c r="C43" s="540">
        <v>34421.346461038091</v>
      </c>
    </row>
    <row r="44" spans="1:3">
      <c r="A44" s="526" t="s">
        <v>248</v>
      </c>
      <c r="B44" s="540">
        <v>-1860.2844990055</v>
      </c>
      <c r="C44" s="540">
        <v>-1985.3932276872001</v>
      </c>
    </row>
    <row r="45" spans="1:3">
      <c r="A45" s="526" t="s">
        <v>249</v>
      </c>
      <c r="B45" s="540">
        <v>-2779.432142421972</v>
      </c>
      <c r="C45" s="540">
        <v>-5154.36648871324</v>
      </c>
    </row>
    <row r="46" spans="1:3">
      <c r="A46" s="526" t="s">
        <v>250</v>
      </c>
      <c r="B46" s="540">
        <v>3884.7827577751464</v>
      </c>
      <c r="C46" s="540">
        <v>3610.70675813649</v>
      </c>
    </row>
    <row r="47" spans="1:3" ht="13">
      <c r="A47" s="524" t="s">
        <v>251</v>
      </c>
      <c r="B47" s="539">
        <v>7397.2915922769098</v>
      </c>
      <c r="C47" s="539">
        <v>6306.1217394507685</v>
      </c>
    </row>
    <row r="48" spans="1:3" ht="13">
      <c r="A48" s="524" t="s">
        <v>252</v>
      </c>
      <c r="B48" s="539">
        <v>8250</v>
      </c>
      <c r="C48" s="539">
        <v>5500</v>
      </c>
    </row>
    <row r="49" spans="1:3" ht="13">
      <c r="A49" s="521"/>
      <c r="B49" s="541"/>
      <c r="C49" s="541"/>
    </row>
    <row r="50" spans="1:3" ht="13">
      <c r="A50" s="523" t="s">
        <v>163</v>
      </c>
      <c r="B50" s="542">
        <v>61272.616894136445</v>
      </c>
      <c r="C50" s="542">
        <v>57369.091207024001</v>
      </c>
    </row>
    <row r="51" spans="1:3" ht="13">
      <c r="A51" s="524" t="s">
        <v>253</v>
      </c>
      <c r="B51" s="543">
        <v>1261.4561020148119</v>
      </c>
      <c r="C51" s="543">
        <v>1240.3245317533999</v>
      </c>
    </row>
    <row r="52" spans="1:3" ht="13">
      <c r="A52" s="524" t="s">
        <v>254</v>
      </c>
      <c r="B52" s="543">
        <v>5424.1487141356893</v>
      </c>
      <c r="C52" s="543">
        <v>5043.1057650543589</v>
      </c>
    </row>
    <row r="53" spans="1:3" ht="13">
      <c r="A53" s="524" t="s">
        <v>35</v>
      </c>
      <c r="B53" s="543">
        <v>5330.4612684036238</v>
      </c>
      <c r="C53" s="543">
        <v>5835.9925011409869</v>
      </c>
    </row>
    <row r="54" spans="1:3">
      <c r="A54" s="526" t="s">
        <v>255</v>
      </c>
      <c r="B54" s="541">
        <v>1592.4454607627315</v>
      </c>
      <c r="C54" s="541">
        <v>2317.8182919554947</v>
      </c>
    </row>
    <row r="55" spans="1:3">
      <c r="A55" s="526" t="s">
        <v>256</v>
      </c>
      <c r="B55" s="541">
        <v>3738.0158076408925</v>
      </c>
      <c r="C55" s="541">
        <v>3518.1742091854921</v>
      </c>
    </row>
    <row r="56" spans="1:3" ht="13">
      <c r="A56" s="524" t="s">
        <v>257</v>
      </c>
      <c r="B56" s="543">
        <v>37318.285606670863</v>
      </c>
      <c r="C56" s="543">
        <v>35096.01554862682</v>
      </c>
    </row>
    <row r="57" spans="1:3">
      <c r="A57" s="526" t="s">
        <v>258</v>
      </c>
      <c r="B57" s="541">
        <v>31179.575314807033</v>
      </c>
      <c r="C57" s="541">
        <v>30334.884625774201</v>
      </c>
    </row>
    <row r="58" spans="1:3">
      <c r="A58" s="526" t="s">
        <v>259</v>
      </c>
      <c r="B58" s="541">
        <v>524.6671576515372</v>
      </c>
      <c r="C58" s="541">
        <v>333.97333493288562</v>
      </c>
    </row>
    <row r="59" spans="1:3">
      <c r="A59" s="526" t="s">
        <v>230</v>
      </c>
      <c r="B59" s="541">
        <v>1673.2156810332406</v>
      </c>
      <c r="C59" s="541">
        <v>990.78807938743194</v>
      </c>
    </row>
    <row r="60" spans="1:3">
      <c r="A60" s="526" t="s">
        <v>260</v>
      </c>
      <c r="B60" s="541">
        <v>2252.6637786048723</v>
      </c>
      <c r="C60" s="541">
        <v>1926.829687565287</v>
      </c>
    </row>
    <row r="61" spans="1:3">
      <c r="A61" s="526" t="s">
        <v>261</v>
      </c>
      <c r="B61" s="541">
        <v>1688.1636745741782</v>
      </c>
      <c r="C61" s="541">
        <v>1509.5398209670166</v>
      </c>
    </row>
    <row r="62" spans="1:3" ht="13">
      <c r="A62" s="524" t="s">
        <v>262</v>
      </c>
      <c r="B62" s="543">
        <v>275.27996011646155</v>
      </c>
      <c r="C62" s="543">
        <v>261.55767045532451</v>
      </c>
    </row>
    <row r="63" spans="1:3" ht="13">
      <c r="A63" s="524" t="s">
        <v>263</v>
      </c>
      <c r="B63" s="543">
        <v>299.57792285884102</v>
      </c>
      <c r="C63" s="543">
        <v>285.19585661781105</v>
      </c>
    </row>
    <row r="64" spans="1:3" ht="13">
      <c r="A64" s="524" t="s">
        <v>264</v>
      </c>
      <c r="B64" s="543">
        <v>11363.407319936154</v>
      </c>
      <c r="C64" s="543">
        <v>9606.8993333752951</v>
      </c>
    </row>
    <row r="65" spans="1:3" ht="13">
      <c r="A65" s="524"/>
      <c r="B65" s="543"/>
      <c r="C65" s="543"/>
    </row>
    <row r="66" spans="1:3" ht="13">
      <c r="A66" s="523" t="s">
        <v>174</v>
      </c>
      <c r="B66" s="542">
        <v>24353.303573550947</v>
      </c>
      <c r="C66" s="542">
        <v>17930.329386527901</v>
      </c>
    </row>
    <row r="67" spans="1:3" ht="13">
      <c r="A67" s="524" t="s">
        <v>35</v>
      </c>
      <c r="B67" s="543">
        <v>788.73327427555068</v>
      </c>
      <c r="C67" s="543">
        <v>579.47833012881495</v>
      </c>
    </row>
    <row r="68" spans="1:3">
      <c r="A68" s="526" t="s">
        <v>255</v>
      </c>
      <c r="B68" s="541">
        <v>26.564056228159902</v>
      </c>
      <c r="C68" s="541">
        <v>22.607220851696397</v>
      </c>
    </row>
    <row r="69" spans="1:3">
      <c r="A69" s="526" t="s">
        <v>256</v>
      </c>
      <c r="B69" s="541">
        <v>762.16921804739081</v>
      </c>
      <c r="C69" s="541">
        <v>556.87110927711853</v>
      </c>
    </row>
    <row r="70" spans="1:3" ht="13">
      <c r="A70" s="524" t="s">
        <v>265</v>
      </c>
      <c r="B70" s="543">
        <v>21296.795336017338</v>
      </c>
      <c r="C70" s="543">
        <v>15468.616130458613</v>
      </c>
    </row>
    <row r="71" spans="1:3">
      <c r="A71" s="526" t="s">
        <v>258</v>
      </c>
      <c r="B71" s="541">
        <v>9983.8418541097089</v>
      </c>
      <c r="C71" s="541">
        <v>7703.0772959657907</v>
      </c>
    </row>
    <row r="72" spans="1:3">
      <c r="A72" s="526" t="s">
        <v>259</v>
      </c>
      <c r="B72" s="541">
        <v>99.942598274794292</v>
      </c>
      <c r="C72" s="541">
        <v>56.557748144220696</v>
      </c>
    </row>
    <row r="73" spans="1:3">
      <c r="A73" s="526" t="s">
        <v>230</v>
      </c>
      <c r="B73" s="541">
        <v>2110.8185921791073</v>
      </c>
      <c r="C73" s="541">
        <v>296.57319880547624</v>
      </c>
    </row>
    <row r="74" spans="1:3">
      <c r="A74" s="526" t="s">
        <v>260</v>
      </c>
      <c r="B74" s="541">
        <v>158.30688434720261</v>
      </c>
      <c r="C74" s="541">
        <v>130.964073100093</v>
      </c>
    </row>
    <row r="75" spans="1:3">
      <c r="A75" s="526" t="s">
        <v>266</v>
      </c>
      <c r="B75" s="541">
        <v>5964.3007133547244</v>
      </c>
      <c r="C75" s="541">
        <v>5137.0743746728012</v>
      </c>
    </row>
    <row r="76" spans="1:3">
      <c r="A76" s="526" t="s">
        <v>261</v>
      </c>
      <c r="B76" s="541">
        <v>2979.5846937517995</v>
      </c>
      <c r="C76" s="541">
        <v>2144.369439770232</v>
      </c>
    </row>
    <row r="77" spans="1:3" ht="13">
      <c r="A77" s="524" t="s">
        <v>267</v>
      </c>
      <c r="B77" s="543">
        <v>2267.7749632580612</v>
      </c>
      <c r="C77" s="543">
        <v>1882.2349259404712</v>
      </c>
    </row>
    <row r="78" spans="1:3">
      <c r="A78" s="526" t="s">
        <v>268</v>
      </c>
      <c r="B78" s="541">
        <v>226.58382461157902</v>
      </c>
      <c r="C78" s="541">
        <v>178.04229931242003</v>
      </c>
    </row>
    <row r="79" spans="1:3">
      <c r="A79" s="526" t="s">
        <v>269</v>
      </c>
      <c r="B79" s="541">
        <v>1205.0816389423478</v>
      </c>
      <c r="C79" s="541">
        <v>1226.0618864010883</v>
      </c>
    </row>
    <row r="80" spans="1:3">
      <c r="A80" s="526" t="s">
        <v>270</v>
      </c>
      <c r="B80" s="541">
        <v>836.10949970413424</v>
      </c>
      <c r="C80" s="541">
        <v>478.13074022696293</v>
      </c>
    </row>
    <row r="81" spans="1:3" ht="13">
      <c r="A81" s="526"/>
      <c r="B81" s="543"/>
      <c r="C81" s="543"/>
    </row>
    <row r="82" spans="1:3" ht="13">
      <c r="A82" s="532" t="s">
        <v>271</v>
      </c>
      <c r="B82" s="544">
        <v>141752.21075684292</v>
      </c>
      <c r="C82" s="544">
        <v>122518.3547187698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15BCD-1B7E-40CC-9A06-35ED93C9CE58}">
  <dimension ref="A1:G57"/>
  <sheetViews>
    <sheetView workbookViewId="0">
      <selection activeCell="E9" sqref="E9"/>
    </sheetView>
  </sheetViews>
  <sheetFormatPr defaultRowHeight="12.5"/>
  <cols>
    <col min="1" max="1" width="39.1796875" customWidth="1"/>
    <col min="5" max="5" width="37.08984375" bestFit="1" customWidth="1"/>
  </cols>
  <sheetData>
    <row r="1" spans="1:7" ht="15">
      <c r="A1" s="558" t="s">
        <v>320</v>
      </c>
      <c r="E1" s="558" t="s">
        <v>293</v>
      </c>
    </row>
    <row r="2" spans="1:7">
      <c r="A2" s="565"/>
      <c r="E2" s="563"/>
    </row>
    <row r="3" spans="1:7" ht="15">
      <c r="A3" s="567" t="s">
        <v>294</v>
      </c>
      <c r="E3" s="567" t="s">
        <v>294</v>
      </c>
    </row>
    <row r="4" spans="1:7" ht="15">
      <c r="A4" s="559"/>
      <c r="B4" s="577">
        <v>2020</v>
      </c>
      <c r="C4" s="577">
        <v>2021</v>
      </c>
      <c r="E4" s="559"/>
      <c r="F4" s="577">
        <v>2020</v>
      </c>
      <c r="G4" s="577">
        <v>2021</v>
      </c>
    </row>
    <row r="5" spans="1:7" ht="15">
      <c r="A5" s="560"/>
      <c r="E5" s="560"/>
    </row>
    <row r="6" spans="1:7" ht="15">
      <c r="A6" s="570" t="s">
        <v>321</v>
      </c>
      <c r="E6" s="568" t="s">
        <v>295</v>
      </c>
      <c r="F6" s="576">
        <v>10771.039476790002</v>
      </c>
      <c r="G6" s="576">
        <v>15617.9650036</v>
      </c>
    </row>
    <row r="7" spans="1:7" ht="15">
      <c r="A7" s="564" t="s">
        <v>322</v>
      </c>
      <c r="B7" s="576">
        <v>21414.823278179996</v>
      </c>
      <c r="C7" s="576">
        <v>20324.41964624</v>
      </c>
      <c r="E7" s="566" t="s">
        <v>296</v>
      </c>
      <c r="F7" s="576">
        <v>609.5571494400001</v>
      </c>
      <c r="G7" s="576">
        <v>499.20961212999998</v>
      </c>
    </row>
    <row r="8" spans="1:7" ht="15">
      <c r="A8" s="564" t="s">
        <v>135</v>
      </c>
      <c r="B8" s="576">
        <v>343.78232448999995</v>
      </c>
      <c r="C8" s="576">
        <v>349.61907077000001</v>
      </c>
      <c r="E8" s="566" t="s">
        <v>28</v>
      </c>
      <c r="F8" s="576">
        <v>186.64805777000001</v>
      </c>
      <c r="G8" s="576">
        <v>324.38982843000002</v>
      </c>
    </row>
    <row r="9" spans="1:7" ht="15">
      <c r="A9" s="564" t="s">
        <v>323</v>
      </c>
      <c r="B9" s="576">
        <v>2258.96044037</v>
      </c>
      <c r="C9" s="576">
        <v>2340.6584674199999</v>
      </c>
      <c r="E9" s="561" t="s">
        <v>297</v>
      </c>
      <c r="F9" s="576">
        <v>11567.244684000001</v>
      </c>
      <c r="G9" s="576">
        <v>16441.564444160002</v>
      </c>
    </row>
    <row r="10" spans="1:7" ht="15">
      <c r="A10" s="564" t="s">
        <v>324</v>
      </c>
      <c r="B10" s="576">
        <v>4373.3095135699996</v>
      </c>
      <c r="C10" s="576">
        <v>4181.0195071099997</v>
      </c>
      <c r="E10" s="566" t="s">
        <v>298</v>
      </c>
      <c r="F10" s="576">
        <v>-8461.13549117</v>
      </c>
      <c r="G10" s="576">
        <v>-11752.191239670001</v>
      </c>
    </row>
    <row r="11" spans="1:7" ht="30">
      <c r="A11" s="564" t="s">
        <v>325</v>
      </c>
      <c r="B11" s="576">
        <v>2611.0483216100001</v>
      </c>
      <c r="C11" s="576">
        <v>1453.2446571500002</v>
      </c>
      <c r="E11" s="566" t="s">
        <v>299</v>
      </c>
      <c r="F11" s="576">
        <v>-1473.2901842700001</v>
      </c>
      <c r="G11" s="576">
        <v>-1562.7773791099999</v>
      </c>
    </row>
    <row r="12" spans="1:7" ht="15">
      <c r="A12" s="571" t="s">
        <v>326</v>
      </c>
      <c r="B12" s="576">
        <v>1124.5783930100001</v>
      </c>
      <c r="C12" s="576">
        <v>267.61325158</v>
      </c>
      <c r="E12" s="566" t="s">
        <v>31</v>
      </c>
      <c r="F12" s="576">
        <v>-355.74987292999998</v>
      </c>
      <c r="G12" s="576">
        <v>-310.35192950999999</v>
      </c>
    </row>
    <row r="13" spans="1:7" ht="30">
      <c r="A13" s="564" t="s">
        <v>327</v>
      </c>
      <c r="B13" s="576">
        <v>1028.1844913699999</v>
      </c>
      <c r="C13" s="576">
        <v>1125.3375625099998</v>
      </c>
      <c r="E13" s="566" t="s">
        <v>300</v>
      </c>
      <c r="F13" s="576">
        <v>-7.8216624899999996</v>
      </c>
      <c r="G13" s="576">
        <v>-7.1566632300000004</v>
      </c>
    </row>
    <row r="14" spans="1:7" ht="15">
      <c r="A14" s="564" t="s">
        <v>233</v>
      </c>
      <c r="B14" s="576">
        <v>1832.0835216800001</v>
      </c>
      <c r="C14" s="576">
        <v>1979.9808862400002</v>
      </c>
      <c r="E14" s="566" t="s">
        <v>32</v>
      </c>
      <c r="F14" s="576">
        <v>-156.25933187999999</v>
      </c>
      <c r="G14" s="576">
        <v>-111.32530405</v>
      </c>
    </row>
    <row r="15" spans="1:7" ht="15">
      <c r="A15" s="564" t="s">
        <v>328</v>
      </c>
      <c r="B15" s="576">
        <v>1031.1967735999999</v>
      </c>
      <c r="C15" s="576">
        <v>2565.0015675899999</v>
      </c>
      <c r="E15" s="561" t="s">
        <v>29</v>
      </c>
      <c r="F15" s="576">
        <v>-10454.25654274</v>
      </c>
      <c r="G15" s="576">
        <v>-13743.80251557</v>
      </c>
    </row>
    <row r="16" spans="1:7" ht="15">
      <c r="A16" s="572" t="s">
        <v>329</v>
      </c>
      <c r="B16" s="576">
        <v>34893.388664869999</v>
      </c>
      <c r="C16" s="576">
        <v>34319.281365029994</v>
      </c>
      <c r="E16" s="561" t="s">
        <v>301</v>
      </c>
      <c r="F16" s="576">
        <v>1112.9881412600014</v>
      </c>
      <c r="G16" s="576">
        <v>2697.7619285900009</v>
      </c>
    </row>
    <row r="17" spans="1:7" ht="30">
      <c r="A17" s="564" t="s">
        <v>330</v>
      </c>
      <c r="B17" s="576">
        <v>3018.8841366499996</v>
      </c>
      <c r="C17" s="576">
        <v>3570.7102791299999</v>
      </c>
      <c r="E17" s="562" t="s">
        <v>302</v>
      </c>
      <c r="F17" s="576">
        <v>-1288.7368482899999</v>
      </c>
      <c r="G17" s="576">
        <v>-960.51961326000003</v>
      </c>
    </row>
    <row r="18" spans="1:7" ht="15">
      <c r="A18" s="564" t="s">
        <v>331</v>
      </c>
      <c r="B18" s="576">
        <v>3391.6306966500001</v>
      </c>
      <c r="C18" s="576">
        <v>4424.7591362000003</v>
      </c>
      <c r="E18" s="562" t="s">
        <v>35</v>
      </c>
      <c r="F18" s="576">
        <v>-106.46008664</v>
      </c>
      <c r="G18" s="576">
        <v>-67.27633179</v>
      </c>
    </row>
    <row r="19" spans="1:7" ht="15">
      <c r="A19" s="564" t="s">
        <v>332</v>
      </c>
      <c r="B19" s="576">
        <v>2743.09038495</v>
      </c>
      <c r="C19" s="576">
        <v>2683.8807850200001</v>
      </c>
      <c r="E19" s="561" t="s">
        <v>303</v>
      </c>
      <c r="F19" s="576">
        <v>-282.20879366999856</v>
      </c>
      <c r="G19" s="576">
        <v>1669.9659835400009</v>
      </c>
    </row>
    <row r="20" spans="1:7" ht="15">
      <c r="A20" s="564" t="s">
        <v>328</v>
      </c>
      <c r="B20" s="576">
        <v>1031.32922512</v>
      </c>
      <c r="C20" s="576">
        <v>2239.5671266299996</v>
      </c>
      <c r="E20" s="562" t="s">
        <v>304</v>
      </c>
      <c r="F20" s="576">
        <v>219.79940555000002</v>
      </c>
      <c r="G20" s="576">
        <v>83.483018139999999</v>
      </c>
    </row>
    <row r="21" spans="1:7" ht="15">
      <c r="A21" s="564" t="s">
        <v>333</v>
      </c>
      <c r="B21" s="576">
        <v>216.07593951999999</v>
      </c>
      <c r="C21" s="576">
        <v>438.27096044000007</v>
      </c>
      <c r="E21" s="562" t="s">
        <v>305</v>
      </c>
      <c r="F21" s="576">
        <v>-186.06330485999996</v>
      </c>
      <c r="G21" s="576">
        <v>-910.54746084999988</v>
      </c>
    </row>
    <row r="22" spans="1:7" ht="15">
      <c r="A22" s="564" t="s">
        <v>334</v>
      </c>
      <c r="B22" s="576">
        <v>6545.4580742600001</v>
      </c>
      <c r="C22" s="576">
        <v>6471.16731093</v>
      </c>
      <c r="E22" s="566" t="s">
        <v>306</v>
      </c>
      <c r="F22" s="576">
        <v>17.60275562</v>
      </c>
      <c r="G22" s="576">
        <v>18.159159900000002</v>
      </c>
    </row>
    <row r="23" spans="1:7" ht="15">
      <c r="A23" s="572" t="s">
        <v>335</v>
      </c>
      <c r="B23" s="576">
        <v>16946.468457149997</v>
      </c>
      <c r="C23" s="576">
        <v>19828.355598349997</v>
      </c>
      <c r="E23" s="566" t="s">
        <v>307</v>
      </c>
      <c r="F23" s="576">
        <v>-56.364828250000009</v>
      </c>
      <c r="G23" s="576">
        <v>-48.734339470000002</v>
      </c>
    </row>
    <row r="24" spans="1:7" ht="16">
      <c r="A24" s="573" t="s">
        <v>336</v>
      </c>
      <c r="B24" s="576">
        <v>220.73872143</v>
      </c>
      <c r="C24" s="576">
        <v>0</v>
      </c>
      <c r="E24" s="566" t="s">
        <v>308</v>
      </c>
      <c r="F24" s="576">
        <v>21.701249139999994</v>
      </c>
      <c r="G24" s="576">
        <v>14.946575749999997</v>
      </c>
    </row>
    <row r="25" spans="1:7" ht="15">
      <c r="A25" s="572" t="s">
        <v>337</v>
      </c>
      <c r="B25" s="576">
        <v>17167.20717858</v>
      </c>
      <c r="C25" s="576">
        <v>19828.355598349997</v>
      </c>
      <c r="E25" s="566" t="s">
        <v>309</v>
      </c>
      <c r="F25" s="576">
        <v>-80.341672389999999</v>
      </c>
      <c r="G25" s="576">
        <v>-75.981105989999989</v>
      </c>
    </row>
    <row r="26" spans="1:7" ht="15">
      <c r="A26" s="572" t="s">
        <v>338</v>
      </c>
      <c r="B26" s="576">
        <v>52060.595843449999</v>
      </c>
      <c r="C26" s="576">
        <v>54147.636963380006</v>
      </c>
      <c r="E26" s="566" t="s">
        <v>310</v>
      </c>
      <c r="F26" s="576">
        <v>-77.819960209999991</v>
      </c>
      <c r="G26" s="576">
        <v>31.022100210000001</v>
      </c>
    </row>
    <row r="27" spans="1:7" ht="15">
      <c r="A27" s="572" t="s">
        <v>339</v>
      </c>
      <c r="B27" s="576">
        <v>0</v>
      </c>
      <c r="C27" s="576">
        <v>0</v>
      </c>
      <c r="E27" s="566" t="s">
        <v>311</v>
      </c>
      <c r="F27" s="576">
        <v>-43.604778630000006</v>
      </c>
      <c r="G27" s="576">
        <v>-832.42196477999994</v>
      </c>
    </row>
    <row r="28" spans="1:7" ht="17">
      <c r="A28" s="572" t="s">
        <v>19</v>
      </c>
      <c r="B28" s="576">
        <v>0</v>
      </c>
      <c r="C28" s="576">
        <v>0</v>
      </c>
      <c r="E28" s="566" t="s">
        <v>312</v>
      </c>
      <c r="F28" s="576">
        <v>32.763929860000019</v>
      </c>
      <c r="G28" s="576">
        <v>-17.537886470000007</v>
      </c>
    </row>
    <row r="29" spans="1:7" ht="15">
      <c r="A29" s="574" t="s">
        <v>245</v>
      </c>
      <c r="B29" s="576">
        <v>3317.00254</v>
      </c>
      <c r="C29" s="576">
        <v>3317.00254</v>
      </c>
      <c r="E29" s="561" t="s">
        <v>313</v>
      </c>
      <c r="F29" s="576">
        <v>-248.4726929799985</v>
      </c>
      <c r="G29" s="576">
        <v>842.9015408300013</v>
      </c>
    </row>
    <row r="30" spans="1:7" ht="17">
      <c r="A30" s="574" t="s">
        <v>340</v>
      </c>
      <c r="B30" s="576">
        <v>328.02347960000003</v>
      </c>
      <c r="C30" s="576">
        <v>328.02347960000003</v>
      </c>
      <c r="E30" s="562" t="s">
        <v>314</v>
      </c>
      <c r="F30" s="576">
        <v>-241.73918292999994</v>
      </c>
      <c r="G30" s="576">
        <v>-652.19134057000008</v>
      </c>
    </row>
    <row r="31" spans="1:7" ht="17">
      <c r="A31" s="574" t="s">
        <v>341</v>
      </c>
      <c r="B31" s="576">
        <v>4895.9222666899996</v>
      </c>
      <c r="C31" s="576">
        <v>4889.1148652100001</v>
      </c>
      <c r="E31" s="562" t="s">
        <v>315</v>
      </c>
      <c r="F31" s="576">
        <v>-44.985802509999999</v>
      </c>
      <c r="G31" s="576">
        <v>-40.636459070000001</v>
      </c>
    </row>
    <row r="32" spans="1:7" ht="30">
      <c r="A32" s="574" t="s">
        <v>342</v>
      </c>
      <c r="B32" s="576">
        <v>7651.69012776</v>
      </c>
      <c r="C32" s="576">
        <v>3874.6735934900003</v>
      </c>
      <c r="E32" s="561" t="s">
        <v>316</v>
      </c>
      <c r="F32" s="576">
        <v>-535.1976784199984</v>
      </c>
      <c r="G32" s="576">
        <v>150.07374119000116</v>
      </c>
    </row>
    <row r="33" spans="1:7" ht="30">
      <c r="A33" s="574" t="s">
        <v>343</v>
      </c>
      <c r="B33" s="576">
        <v>-1734.07274925</v>
      </c>
      <c r="C33" s="576">
        <v>294.90796770999998</v>
      </c>
      <c r="E33" s="562" t="s">
        <v>317</v>
      </c>
      <c r="F33" s="576">
        <v>-15.759919609999997</v>
      </c>
      <c r="G33" s="576">
        <v>-146.24614930999999</v>
      </c>
    </row>
    <row r="34" spans="1:7" ht="15">
      <c r="A34" s="572" t="s">
        <v>344</v>
      </c>
      <c r="B34" s="576">
        <v>14458.565664800002</v>
      </c>
      <c r="C34" s="576">
        <v>12703.722446009999</v>
      </c>
      <c r="E34" s="569" t="s">
        <v>318</v>
      </c>
      <c r="F34" s="576">
        <v>-550.95759802999839</v>
      </c>
      <c r="G34" s="576">
        <v>3.8275918800011794</v>
      </c>
    </row>
    <row r="35" spans="1:7" ht="84.5">
      <c r="A35" s="574" t="s">
        <v>42</v>
      </c>
      <c r="B35" s="576">
        <v>4018.7003801000001</v>
      </c>
      <c r="C35" s="576">
        <v>3833.2404484299996</v>
      </c>
      <c r="E35" s="557" t="s">
        <v>319</v>
      </c>
      <c r="F35" s="576">
        <v>0</v>
      </c>
      <c r="G35" s="576">
        <v>0</v>
      </c>
    </row>
    <row r="36" spans="1:7" ht="15">
      <c r="A36" s="572" t="s">
        <v>345</v>
      </c>
      <c r="B36" s="576">
        <v>18477.266044900003</v>
      </c>
      <c r="C36" s="576">
        <v>16536.962894439999</v>
      </c>
    </row>
    <row r="37" spans="1:7" ht="15">
      <c r="A37" s="572" t="s">
        <v>346</v>
      </c>
      <c r="B37" s="576">
        <v>0</v>
      </c>
      <c r="C37" s="576">
        <v>0</v>
      </c>
    </row>
    <row r="38" spans="1:7" ht="15">
      <c r="A38" s="572" t="s">
        <v>347</v>
      </c>
      <c r="B38" s="576">
        <v>0</v>
      </c>
      <c r="C38" s="576">
        <v>0</v>
      </c>
    </row>
    <row r="39" spans="1:7" ht="15">
      <c r="A39" s="574" t="s">
        <v>348</v>
      </c>
      <c r="B39" s="576">
        <v>3416.6320857999999</v>
      </c>
      <c r="C39" s="576">
        <v>2923.5943800099999</v>
      </c>
    </row>
    <row r="40" spans="1:7" ht="15">
      <c r="A40" s="574" t="s">
        <v>349</v>
      </c>
      <c r="B40" s="576">
        <v>8409.4874652300005</v>
      </c>
      <c r="C40" s="576">
        <v>9108.0590055100001</v>
      </c>
    </row>
    <row r="41" spans="1:7" ht="15">
      <c r="A41" s="574" t="s">
        <v>350</v>
      </c>
      <c r="B41" s="576">
        <v>3954.9491266100003</v>
      </c>
      <c r="C41" s="576">
        <v>3885.0483753500002</v>
      </c>
    </row>
    <row r="42" spans="1:7" ht="15">
      <c r="A42" s="574" t="s">
        <v>351</v>
      </c>
      <c r="B42" s="576">
        <v>443.35346665000003</v>
      </c>
      <c r="C42" s="576">
        <v>395.42667872999994</v>
      </c>
    </row>
    <row r="43" spans="1:7" ht="15">
      <c r="A43" s="574" t="s">
        <v>352</v>
      </c>
      <c r="B43" s="576">
        <v>1383.48682607</v>
      </c>
      <c r="C43" s="576">
        <v>1395.6290261699999</v>
      </c>
    </row>
    <row r="44" spans="1:7" ht="15">
      <c r="A44" s="574" t="s">
        <v>264</v>
      </c>
      <c r="B44" s="576">
        <v>1784.3997740299999</v>
      </c>
      <c r="C44" s="576">
        <v>2293.8943853000001</v>
      </c>
    </row>
    <row r="45" spans="1:7" ht="15">
      <c r="A45" s="574" t="s">
        <v>353</v>
      </c>
      <c r="B45" s="576">
        <v>148.91756981999998</v>
      </c>
      <c r="C45" s="576">
        <v>1112.2583142399999</v>
      </c>
    </row>
    <row r="46" spans="1:7" ht="15">
      <c r="A46" s="574" t="s">
        <v>35</v>
      </c>
      <c r="B46" s="576">
        <v>3593.6955259000001</v>
      </c>
      <c r="C46" s="576">
        <v>4455.7538931099998</v>
      </c>
    </row>
    <row r="47" spans="1:7" ht="15">
      <c r="A47" s="572" t="s">
        <v>354</v>
      </c>
      <c r="B47" s="576">
        <v>23134.921840110001</v>
      </c>
      <c r="C47" s="576">
        <v>25569.664058419999</v>
      </c>
    </row>
    <row r="48" spans="1:7" ht="15">
      <c r="A48" s="574" t="s">
        <v>348</v>
      </c>
      <c r="B48" s="576">
        <v>303.29061227</v>
      </c>
      <c r="C48" s="576">
        <v>1538.4023821600001</v>
      </c>
    </row>
    <row r="49" spans="1:3" ht="15">
      <c r="A49" s="574" t="s">
        <v>349</v>
      </c>
      <c r="B49" s="576">
        <v>2000</v>
      </c>
      <c r="C49" s="576">
        <v>550</v>
      </c>
    </row>
    <row r="50" spans="1:3" ht="15">
      <c r="A50" s="574" t="s">
        <v>350</v>
      </c>
      <c r="B50" s="576">
        <v>701.26427633999992</v>
      </c>
      <c r="C50" s="576">
        <v>690.07063550999999</v>
      </c>
    </row>
    <row r="51" spans="1:3" ht="15">
      <c r="A51" s="574" t="s">
        <v>266</v>
      </c>
      <c r="B51" s="576">
        <v>2594.5184427499998</v>
      </c>
      <c r="C51" s="576">
        <v>3282.1527504400001</v>
      </c>
    </row>
    <row r="52" spans="1:3" ht="15">
      <c r="A52" s="574" t="s">
        <v>351</v>
      </c>
      <c r="B52" s="576">
        <v>4044.7169158899997</v>
      </c>
      <c r="C52" s="576">
        <v>3932.0111888900001</v>
      </c>
    </row>
    <row r="53" spans="1:3" ht="15">
      <c r="A53" s="574" t="s">
        <v>353</v>
      </c>
      <c r="B53" s="576">
        <v>791.14520569999991</v>
      </c>
      <c r="C53" s="576">
        <v>2048.3303555399998</v>
      </c>
    </row>
    <row r="54" spans="1:3" ht="15">
      <c r="A54" s="574" t="s">
        <v>355</v>
      </c>
      <c r="B54" s="576">
        <v>13.47250549</v>
      </c>
      <c r="C54" s="576">
        <v>4.5302290000000002E-2</v>
      </c>
    </row>
    <row r="55" spans="1:3" ht="15">
      <c r="A55" s="572" t="s">
        <v>356</v>
      </c>
      <c r="B55" s="576">
        <v>10448.407958440002</v>
      </c>
      <c r="C55" s="576">
        <v>12041.012614830001</v>
      </c>
    </row>
    <row r="56" spans="1:3" ht="15">
      <c r="A56" s="572" t="s">
        <v>357</v>
      </c>
      <c r="B56" s="576">
        <v>33583.329798549996</v>
      </c>
      <c r="C56" s="576">
        <v>37610.676673249996</v>
      </c>
    </row>
    <row r="57" spans="1:3" ht="15">
      <c r="A57" s="575" t="s">
        <v>358</v>
      </c>
      <c r="B57" s="576">
        <v>52060.595843450006</v>
      </c>
      <c r="C57" s="576">
        <v>54147.639567689999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8"/>
    <pageSetUpPr fitToPage="1"/>
  </sheetPr>
  <dimension ref="B1:X69"/>
  <sheetViews>
    <sheetView showGridLines="0" view="pageBreakPreview" zoomScale="55" zoomScaleNormal="70" zoomScaleSheetLayoutView="55" zoomScalePageLayoutView="40" workbookViewId="0">
      <selection activeCell="G19" sqref="G19"/>
    </sheetView>
  </sheetViews>
  <sheetFormatPr defaultColWidth="9.1796875" defaultRowHeight="16.5" customHeight="1"/>
  <cols>
    <col min="1" max="1" width="3.1796875" style="25" customWidth="1"/>
    <col min="2" max="2" width="58.54296875" style="25" customWidth="1"/>
    <col min="3" max="21" width="10.54296875" style="25" customWidth="1"/>
    <col min="22" max="22" width="12.7265625" style="25" customWidth="1"/>
    <col min="23" max="16384" width="9.1796875" style="25"/>
  </cols>
  <sheetData>
    <row r="1" spans="2:24" ht="15.75" customHeight="1"/>
    <row r="2" spans="2:24" s="1" customFormat="1" ht="16.5" customHeight="1">
      <c r="B2" s="340" t="s">
        <v>25</v>
      </c>
      <c r="C2" s="336">
        <v>2008</v>
      </c>
      <c r="D2" s="336">
        <v>2009</v>
      </c>
      <c r="E2" s="336">
        <v>2010</v>
      </c>
      <c r="F2" s="336">
        <v>2011</v>
      </c>
      <c r="G2" s="336">
        <v>2012</v>
      </c>
      <c r="H2" s="336">
        <v>2013</v>
      </c>
      <c r="I2" s="337">
        <v>2014</v>
      </c>
      <c r="J2" s="337">
        <v>2015</v>
      </c>
      <c r="K2" s="337">
        <v>2016</v>
      </c>
      <c r="L2" s="337">
        <v>2017</v>
      </c>
      <c r="M2" s="337">
        <v>2018</v>
      </c>
      <c r="N2" s="337">
        <v>2019</v>
      </c>
      <c r="O2" s="337">
        <v>2020</v>
      </c>
      <c r="P2" s="337">
        <v>2021</v>
      </c>
      <c r="Q2" s="337" t="s">
        <v>112</v>
      </c>
      <c r="R2" s="337">
        <v>2022</v>
      </c>
      <c r="S2" s="454">
        <v>2023</v>
      </c>
      <c r="T2" s="337">
        <v>2024</v>
      </c>
      <c r="U2" s="454">
        <v>2025</v>
      </c>
      <c r="V2" s="337">
        <v>2026</v>
      </c>
    </row>
    <row r="3" spans="2:24" ht="16.5" customHeight="1">
      <c r="B3" s="104"/>
      <c r="C3" s="26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8"/>
    </row>
    <row r="4" spans="2:24" s="49" customFormat="1" ht="16.5" customHeight="1">
      <c r="B4" s="377" t="s">
        <v>26</v>
      </c>
      <c r="C4" s="378">
        <v>520.19000000000005</v>
      </c>
      <c r="D4" s="379">
        <v>642.01</v>
      </c>
      <c r="E4" s="379">
        <v>840.64</v>
      </c>
      <c r="F4" s="379">
        <v>957.22</v>
      </c>
      <c r="G4" s="379">
        <v>1157.8</v>
      </c>
      <c r="H4" s="379">
        <v>1191.25</v>
      </c>
      <c r="I4" s="379">
        <v>1153.1300000000001</v>
      </c>
      <c r="J4" s="379">
        <v>1349.61</v>
      </c>
      <c r="K4" s="379">
        <v>1453.21</v>
      </c>
      <c r="L4" s="379">
        <v>1601.62</v>
      </c>
      <c r="M4" s="379">
        <v>1511.52</v>
      </c>
      <c r="N4" s="379">
        <v>1642.13</v>
      </c>
      <c r="O4" s="379">
        <v>1528.97</v>
      </c>
      <c r="P4" s="379">
        <v>1580.46</v>
      </c>
      <c r="Q4" s="19"/>
      <c r="R4" s="379">
        <f>'OV Receitas'!AA4</f>
        <v>2111.8170165253091</v>
      </c>
      <c r="S4" s="379">
        <f>'OV Receitas'!AB4</f>
        <v>1995.339697714071</v>
      </c>
      <c r="T4" s="379">
        <f>'OV Receitas'!AC4</f>
        <v>2110.2415867507771</v>
      </c>
      <c r="U4" s="379">
        <f>'OV Receitas'!AD4</f>
        <v>2228.9549606763467</v>
      </c>
      <c r="V4" s="379">
        <f>'OV Receitas'!AE4</f>
        <v>2351.7533243023727</v>
      </c>
      <c r="W4" s="56"/>
    </row>
    <row r="5" spans="2:24" s="49" customFormat="1" ht="16.5" customHeight="1">
      <c r="B5" s="299" t="s">
        <v>21</v>
      </c>
      <c r="C5" s="380">
        <v>388.88</v>
      </c>
      <c r="D5" s="381">
        <v>436.39</v>
      </c>
      <c r="E5" s="381">
        <v>562.23</v>
      </c>
      <c r="F5" s="381">
        <v>634.86</v>
      </c>
      <c r="G5" s="381">
        <v>777.54</v>
      </c>
      <c r="H5" s="381">
        <v>819.91</v>
      </c>
      <c r="I5" s="381">
        <v>746.93</v>
      </c>
      <c r="J5" s="381">
        <v>831.59</v>
      </c>
      <c r="K5" s="381">
        <v>913.01</v>
      </c>
      <c r="L5" s="381">
        <v>943.22</v>
      </c>
      <c r="M5" s="381">
        <v>890.82</v>
      </c>
      <c r="N5" s="381">
        <v>924.83</v>
      </c>
      <c r="O5" s="381">
        <v>824.24</v>
      </c>
      <c r="P5" s="382">
        <v>926.24</v>
      </c>
      <c r="Q5" s="19"/>
      <c r="R5" s="18">
        <f>'OV Receitas'!AA5</f>
        <v>1209.7819391666667</v>
      </c>
      <c r="S5" s="18">
        <f>'OV Receitas'!AB5</f>
        <v>951.84817881190486</v>
      </c>
      <c r="T5" s="18">
        <f>'OV Receitas'!AC5</f>
        <v>951.84817881190486</v>
      </c>
      <c r="U5" s="18">
        <f>'OV Receitas'!AD5</f>
        <v>951.84817881190486</v>
      </c>
      <c r="V5" s="18">
        <f>'OV Receitas'!AE5</f>
        <v>951.84817881190486</v>
      </c>
      <c r="W5" s="56"/>
    </row>
    <row r="6" spans="2:24" s="49" customFormat="1" ht="16.5" customHeight="1">
      <c r="B6" s="299" t="s">
        <v>22</v>
      </c>
      <c r="C6" s="383">
        <v>131.81</v>
      </c>
      <c r="D6" s="384">
        <v>204.65</v>
      </c>
      <c r="E6" s="384">
        <v>276.49</v>
      </c>
      <c r="F6" s="384">
        <v>306.35000000000002</v>
      </c>
      <c r="G6" s="384">
        <v>355.5</v>
      </c>
      <c r="H6" s="384">
        <v>347.79</v>
      </c>
      <c r="I6" s="384">
        <v>382.03</v>
      </c>
      <c r="J6" s="384">
        <v>498.22</v>
      </c>
      <c r="K6" s="384">
        <v>507.64</v>
      </c>
      <c r="L6" s="384">
        <v>598.22</v>
      </c>
      <c r="M6" s="384">
        <v>577.84</v>
      </c>
      <c r="N6" s="384">
        <v>650.83000000000004</v>
      </c>
      <c r="O6" s="384">
        <v>669.39</v>
      </c>
      <c r="P6" s="384">
        <v>584.41999999999996</v>
      </c>
      <c r="Q6" s="19"/>
      <c r="R6" s="18">
        <f>'OV Receitas'!AA11</f>
        <v>699.22885166039305</v>
      </c>
      <c r="S6" s="18">
        <f>'OV Receitas'!AB11</f>
        <v>773.33702649838472</v>
      </c>
      <c r="T6" s="18">
        <f>'OV Receitas'!AC11</f>
        <v>818.18281346712786</v>
      </c>
      <c r="U6" s="18">
        <f>'OV Receitas'!AD11</f>
        <v>865.62920604498322</v>
      </c>
      <c r="V6" s="18">
        <f>'OV Receitas'!AE11</f>
        <v>915.82701325976132</v>
      </c>
      <c r="W6" s="56"/>
    </row>
    <row r="7" spans="2:24" s="49" customFormat="1" ht="16.5" customHeight="1">
      <c r="B7" s="299" t="s">
        <v>23</v>
      </c>
      <c r="C7" s="384">
        <v>0</v>
      </c>
      <c r="D7" s="381">
        <v>2.21</v>
      </c>
      <c r="E7" s="381">
        <v>3.23</v>
      </c>
      <c r="F7" s="381">
        <v>19.46</v>
      </c>
      <c r="G7" s="381">
        <v>24.75</v>
      </c>
      <c r="H7" s="381">
        <v>24.29</v>
      </c>
      <c r="I7" s="381">
        <v>25.14</v>
      </c>
      <c r="J7" s="381">
        <v>21.38</v>
      </c>
      <c r="K7" s="381">
        <v>34.380000000000003</v>
      </c>
      <c r="L7" s="381">
        <v>62.81</v>
      </c>
      <c r="M7" s="381">
        <v>49.97</v>
      </c>
      <c r="N7" s="381">
        <v>74.180000000000007</v>
      </c>
      <c r="O7" s="381">
        <v>36.5</v>
      </c>
      <c r="P7" s="381">
        <v>67.58</v>
      </c>
      <c r="Q7" s="19"/>
      <c r="R7" s="18">
        <f>'OV Receitas'!AA17</f>
        <v>99.427523212045188</v>
      </c>
      <c r="S7" s="18">
        <f>'OV Receitas'!AB17</f>
        <v>117.93515025138163</v>
      </c>
      <c r="T7" s="18">
        <f>'OV Receitas'!AC17</f>
        <v>129.88526446814487</v>
      </c>
      <c r="U7" s="18">
        <f>'OV Receitas'!AD17</f>
        <v>143.04625796465888</v>
      </c>
      <c r="V7" s="18">
        <f>'OV Receitas'!AE17</f>
        <v>157.5408265247072</v>
      </c>
      <c r="W7" s="56"/>
    </row>
    <row r="8" spans="2:24" s="49" customFormat="1" ht="16.5" customHeight="1">
      <c r="B8" s="299" t="s">
        <v>24</v>
      </c>
      <c r="C8" s="381">
        <v>0</v>
      </c>
      <c r="D8" s="381">
        <v>0</v>
      </c>
      <c r="E8" s="381">
        <v>0</v>
      </c>
      <c r="F8" s="381">
        <v>0</v>
      </c>
      <c r="G8" s="381">
        <v>0</v>
      </c>
      <c r="H8" s="381">
        <v>0</v>
      </c>
      <c r="I8" s="381">
        <v>0</v>
      </c>
      <c r="J8" s="381">
        <v>0</v>
      </c>
      <c r="K8" s="381">
        <v>0</v>
      </c>
      <c r="L8" s="381">
        <v>0</v>
      </c>
      <c r="M8" s="381">
        <v>0</v>
      </c>
      <c r="N8" s="381">
        <v>0</v>
      </c>
      <c r="O8" s="381">
        <v>0</v>
      </c>
      <c r="P8" s="381">
        <v>0</v>
      </c>
      <c r="Q8" s="19"/>
      <c r="R8" s="18">
        <f>'OV Receitas'!AA23</f>
        <v>103.37870248620415</v>
      </c>
      <c r="S8" s="18">
        <f>'OV Receitas'!AB23</f>
        <v>152.21934215239978</v>
      </c>
      <c r="T8" s="18">
        <f>'OV Receitas'!AC23</f>
        <v>210.32533000359967</v>
      </c>
      <c r="U8" s="18">
        <f>'OV Receitas'!AD23</f>
        <v>268.43131785479954</v>
      </c>
      <c r="V8" s="18">
        <f>'OV Receitas'!AE23</f>
        <v>326.53730570599942</v>
      </c>
      <c r="W8" s="56"/>
    </row>
    <row r="9" spans="2:24" s="49" customFormat="1" ht="16.5" customHeight="1">
      <c r="B9" s="377" t="s">
        <v>27</v>
      </c>
      <c r="C9" s="378">
        <v>61.24</v>
      </c>
      <c r="D9" s="379">
        <v>82.67</v>
      </c>
      <c r="E9" s="379">
        <v>107.01</v>
      </c>
      <c r="F9" s="379">
        <v>111.61</v>
      </c>
      <c r="G9" s="379">
        <v>127.35</v>
      </c>
      <c r="H9" s="379">
        <v>125.1</v>
      </c>
      <c r="I9" s="379">
        <v>123.58</v>
      </c>
      <c r="J9" s="379">
        <v>197.44</v>
      </c>
      <c r="K9" s="379">
        <v>197.54</v>
      </c>
      <c r="L9" s="379">
        <v>225.57</v>
      </c>
      <c r="M9" s="379">
        <v>185.17</v>
      </c>
      <c r="N9" s="379">
        <v>181.57</v>
      </c>
      <c r="O9" s="379">
        <v>201.78</v>
      </c>
      <c r="P9" s="379">
        <v>177.2</v>
      </c>
      <c r="Q9" s="19"/>
      <c r="R9" s="18">
        <f>'OV Receitas'!AA27</f>
        <v>195.18142857142857</v>
      </c>
      <c r="S9" s="18">
        <f>'OV Receitas'!AB27</f>
        <v>195.18142857142857</v>
      </c>
      <c r="T9" s="18">
        <f>'OV Receitas'!AC27</f>
        <v>195.18142857142857</v>
      </c>
      <c r="U9" s="18">
        <f>'OV Receitas'!AD27</f>
        <v>195.18142857142857</v>
      </c>
      <c r="V9" s="18">
        <f>'OV Receitas'!AE27</f>
        <v>195.18142857142857</v>
      </c>
      <c r="W9" s="56"/>
    </row>
    <row r="10" spans="2:24" s="49" customFormat="1" ht="16.5" customHeight="1">
      <c r="B10" s="299" t="s">
        <v>22</v>
      </c>
      <c r="C10" s="17">
        <v>61.24</v>
      </c>
      <c r="D10" s="18">
        <v>82.67</v>
      </c>
      <c r="E10" s="18">
        <v>107.01</v>
      </c>
      <c r="F10" s="18">
        <v>111.61</v>
      </c>
      <c r="G10" s="18">
        <v>127.35</v>
      </c>
      <c r="H10" s="18">
        <v>125.1</v>
      </c>
      <c r="I10" s="18">
        <v>123.58</v>
      </c>
      <c r="J10" s="18">
        <v>197.44</v>
      </c>
      <c r="K10" s="18">
        <v>197.54</v>
      </c>
      <c r="L10" s="18">
        <v>225.57</v>
      </c>
      <c r="M10" s="18">
        <v>185.17</v>
      </c>
      <c r="N10" s="18">
        <v>181.57</v>
      </c>
      <c r="O10" s="18">
        <v>201.78</v>
      </c>
      <c r="P10" s="18">
        <v>177.2</v>
      </c>
      <c r="Q10" s="19"/>
      <c r="R10" s="18"/>
      <c r="S10" s="18"/>
      <c r="T10" s="18"/>
      <c r="U10" s="18"/>
      <c r="W10" s="56"/>
    </row>
    <row r="11" spans="2:24" s="56" customFormat="1" ht="16.5" customHeight="1">
      <c r="B11" s="328" t="s">
        <v>14</v>
      </c>
      <c r="C11" s="21">
        <f>C9+C4</f>
        <v>581.43000000000006</v>
      </c>
      <c r="D11" s="21">
        <f t="shared" ref="D11:P11" si="0">D9+D4</f>
        <v>724.68</v>
      </c>
      <c r="E11" s="21">
        <f t="shared" si="0"/>
        <v>947.65</v>
      </c>
      <c r="F11" s="21">
        <f t="shared" si="0"/>
        <v>1068.83</v>
      </c>
      <c r="G11" s="21">
        <f t="shared" si="0"/>
        <v>1285.1499999999999</v>
      </c>
      <c r="H11" s="21">
        <f t="shared" si="0"/>
        <v>1316.35</v>
      </c>
      <c r="I11" s="21">
        <f t="shared" si="0"/>
        <v>1276.71</v>
      </c>
      <c r="J11" s="21">
        <f t="shared" si="0"/>
        <v>1547.05</v>
      </c>
      <c r="K11" s="21">
        <f t="shared" si="0"/>
        <v>1650.75</v>
      </c>
      <c r="L11" s="21">
        <f t="shared" si="0"/>
        <v>1827.1899999999998</v>
      </c>
      <c r="M11" s="21">
        <f t="shared" si="0"/>
        <v>1696.69</v>
      </c>
      <c r="N11" s="21">
        <f t="shared" si="0"/>
        <v>1823.7</v>
      </c>
      <c r="O11" s="21">
        <f t="shared" si="0"/>
        <v>1730.75</v>
      </c>
      <c r="P11" s="21">
        <f t="shared" si="0"/>
        <v>1757.66</v>
      </c>
      <c r="Q11" s="23"/>
      <c r="R11" s="22">
        <f>'OV Receitas'!AA28</f>
        <v>2306.9984450967377</v>
      </c>
      <c r="S11" s="22">
        <f>'OV Receitas'!AB28</f>
        <v>2190.5211262854996</v>
      </c>
      <c r="T11" s="22">
        <f>'OV Receitas'!AC28</f>
        <v>2305.4230153222056</v>
      </c>
      <c r="U11" s="22">
        <f>'OV Receitas'!AD28</f>
        <v>2424.1363892477752</v>
      </c>
      <c r="V11" s="22">
        <f>'OV Receitas'!AE28</f>
        <v>2546.9347528738012</v>
      </c>
      <c r="X11" s="49"/>
    </row>
    <row r="12" spans="2:24" s="49" customFormat="1" ht="16.5" customHeight="1">
      <c r="B12" s="299" t="s">
        <v>28</v>
      </c>
      <c r="C12" s="17">
        <v>28.29</v>
      </c>
      <c r="D12" s="18">
        <v>42.56</v>
      </c>
      <c r="E12" s="18">
        <v>73.02</v>
      </c>
      <c r="F12" s="18">
        <v>84.54</v>
      </c>
      <c r="G12" s="18">
        <v>63.12</v>
      </c>
      <c r="H12" s="18">
        <v>41.36</v>
      </c>
      <c r="I12" s="18">
        <v>45.67</v>
      </c>
      <c r="J12" s="18">
        <v>161.56</v>
      </c>
      <c r="K12" s="18">
        <v>53.75</v>
      </c>
      <c r="L12" s="18">
        <v>94.94</v>
      </c>
      <c r="M12" s="18">
        <v>191.95</v>
      </c>
      <c r="N12" s="18">
        <v>399.68</v>
      </c>
      <c r="O12" s="18">
        <v>498.41</v>
      </c>
      <c r="P12" s="18">
        <v>635.73</v>
      </c>
      <c r="Q12" s="23"/>
      <c r="R12" s="382">
        <f>'OV Receitas'!AA29</f>
        <v>172.47000000000003</v>
      </c>
      <c r="S12" s="382">
        <f>'OV Receitas'!AB29</f>
        <v>172.47000000000003</v>
      </c>
      <c r="T12" s="382">
        <f>'OV Receitas'!AC29</f>
        <v>172.47000000000003</v>
      </c>
      <c r="U12" s="382">
        <f>'OV Receitas'!AD29</f>
        <v>172.47000000000003</v>
      </c>
      <c r="V12" s="382">
        <f>'OV Receitas'!AE29</f>
        <v>172.47000000000003</v>
      </c>
      <c r="W12" s="56"/>
    </row>
    <row r="13" spans="2:24" s="49" customFormat="1" ht="16.5" customHeight="1">
      <c r="B13" s="386" t="s">
        <v>97</v>
      </c>
      <c r="C13" s="387">
        <f>C12+C11</f>
        <v>609.72</v>
      </c>
      <c r="D13" s="387">
        <f t="shared" ref="D13:P13" si="1">D12+D11</f>
        <v>767.24</v>
      </c>
      <c r="E13" s="387">
        <f t="shared" si="1"/>
        <v>1020.67</v>
      </c>
      <c r="F13" s="387">
        <f t="shared" si="1"/>
        <v>1153.3699999999999</v>
      </c>
      <c r="G13" s="387">
        <f t="shared" si="1"/>
        <v>1348.2699999999998</v>
      </c>
      <c r="H13" s="387">
        <f t="shared" si="1"/>
        <v>1357.7099999999998</v>
      </c>
      <c r="I13" s="387">
        <f t="shared" si="1"/>
        <v>1322.38</v>
      </c>
      <c r="J13" s="387">
        <f t="shared" si="1"/>
        <v>1708.61</v>
      </c>
      <c r="K13" s="387">
        <f t="shared" si="1"/>
        <v>1704.5</v>
      </c>
      <c r="L13" s="387">
        <f t="shared" si="1"/>
        <v>1922.1299999999999</v>
      </c>
      <c r="M13" s="387">
        <f t="shared" si="1"/>
        <v>1888.64</v>
      </c>
      <c r="N13" s="387">
        <f t="shared" si="1"/>
        <v>2223.38</v>
      </c>
      <c r="O13" s="387">
        <f t="shared" si="1"/>
        <v>2229.16</v>
      </c>
      <c r="P13" s="387">
        <f t="shared" si="1"/>
        <v>2393.3900000000003</v>
      </c>
      <c r="Q13" s="18"/>
      <c r="R13" s="389">
        <f>'OV Receitas'!AA30</f>
        <v>2479.4684450967379</v>
      </c>
      <c r="S13" s="389">
        <f>'OV Receitas'!AB30</f>
        <v>2362.9911262854994</v>
      </c>
      <c r="T13" s="389">
        <f>'OV Receitas'!AC30</f>
        <v>2477.8930153222054</v>
      </c>
      <c r="U13" s="389">
        <f>'OV Receitas'!AD30</f>
        <v>2596.606389247775</v>
      </c>
      <c r="V13" s="389">
        <f>'OV Receitas'!AE30</f>
        <v>2719.404752873801</v>
      </c>
      <c r="W13" s="56"/>
    </row>
    <row r="14" spans="2:24" s="49" customFormat="1" ht="16.5" customHeight="1">
      <c r="Q14" s="19"/>
      <c r="R14" s="18"/>
      <c r="S14" s="18"/>
      <c r="T14" s="18"/>
      <c r="U14" s="18"/>
      <c r="W14" s="56"/>
    </row>
    <row r="15" spans="2:24" s="49" customFormat="1" ht="16.5" customHeight="1">
      <c r="B15" s="385" t="s">
        <v>30</v>
      </c>
      <c r="C15" s="378">
        <v>-106.95</v>
      </c>
      <c r="D15" s="379">
        <v>-148.30000000000001</v>
      </c>
      <c r="E15" s="379">
        <v>-196.21</v>
      </c>
      <c r="F15" s="379">
        <v>-225.07</v>
      </c>
      <c r="G15" s="379">
        <v>-261.81</v>
      </c>
      <c r="H15" s="379">
        <v>-255.17</v>
      </c>
      <c r="I15" s="379">
        <v>-256.64</v>
      </c>
      <c r="J15" s="379">
        <v>-292.73</v>
      </c>
      <c r="K15" s="379">
        <v>-304.74</v>
      </c>
      <c r="L15" s="379">
        <v>-326.89</v>
      </c>
      <c r="M15" s="379">
        <v>-345.32</v>
      </c>
      <c r="N15" s="379">
        <v>-309.02999999999997</v>
      </c>
      <c r="O15" s="379">
        <v>-304.44</v>
      </c>
      <c r="P15" s="379">
        <v>-335.67</v>
      </c>
      <c r="Q15" s="19"/>
      <c r="R15" s="18"/>
      <c r="S15" s="18"/>
      <c r="T15" s="18"/>
      <c r="U15" s="18"/>
      <c r="W15" s="56"/>
    </row>
    <row r="16" spans="2:24" s="49" customFormat="1" ht="16.5" customHeight="1">
      <c r="B16" s="299" t="s">
        <v>21</v>
      </c>
      <c r="C16" s="67">
        <v>-55.78</v>
      </c>
      <c r="D16" s="68">
        <v>-68.7</v>
      </c>
      <c r="E16" s="68">
        <v>-87.41</v>
      </c>
      <c r="F16" s="68">
        <v>-106.65</v>
      </c>
      <c r="G16" s="68">
        <v>-125.1</v>
      </c>
      <c r="H16" s="68">
        <v>-138.09</v>
      </c>
      <c r="I16" s="68">
        <v>-141.38</v>
      </c>
      <c r="J16" s="68">
        <v>-150.84</v>
      </c>
      <c r="K16" s="68">
        <v>-161.97999999999999</v>
      </c>
      <c r="L16" s="68">
        <v>-166.52</v>
      </c>
      <c r="M16" s="68">
        <v>-174.13</v>
      </c>
      <c r="N16" s="68">
        <v>-157.75</v>
      </c>
      <c r="O16" s="68">
        <v>-158.13</v>
      </c>
      <c r="P16" s="18">
        <v>-188.9</v>
      </c>
      <c r="Q16" s="19"/>
      <c r="R16" s="18"/>
      <c r="S16" s="18"/>
      <c r="T16" s="18"/>
      <c r="U16" s="18"/>
      <c r="W16" s="56"/>
    </row>
    <row r="17" spans="2:24" s="49" customFormat="1" ht="16.5" customHeight="1">
      <c r="B17" s="299" t="s">
        <v>22</v>
      </c>
      <c r="C17" s="67">
        <v>-45.38</v>
      </c>
      <c r="D17" s="68">
        <v>-65.42</v>
      </c>
      <c r="E17" s="68">
        <v>-93.03</v>
      </c>
      <c r="F17" s="68">
        <v>-101.26</v>
      </c>
      <c r="G17" s="68">
        <v>-116.46</v>
      </c>
      <c r="H17" s="68">
        <v>-108.01</v>
      </c>
      <c r="I17" s="68">
        <v>-108.76</v>
      </c>
      <c r="J17" s="68">
        <v>-134.26</v>
      </c>
      <c r="K17" s="68">
        <v>-139.49</v>
      </c>
      <c r="L17" s="68">
        <v>-155.88</v>
      </c>
      <c r="M17" s="68">
        <v>-160.35</v>
      </c>
      <c r="N17" s="68">
        <v>-148.25</v>
      </c>
      <c r="O17" s="68">
        <v>-163.27000000000001</v>
      </c>
      <c r="P17" s="68">
        <v>-156.69999999999999</v>
      </c>
      <c r="Q17" s="19"/>
      <c r="R17" s="18"/>
      <c r="S17" s="18"/>
      <c r="T17" s="18"/>
      <c r="U17" s="18"/>
      <c r="W17" s="56"/>
    </row>
    <row r="18" spans="2:24" s="49" customFormat="1" ht="16.5" customHeight="1">
      <c r="B18" s="299" t="s">
        <v>23</v>
      </c>
      <c r="C18" s="17"/>
      <c r="D18" s="68">
        <v>-0.43</v>
      </c>
      <c r="E18" s="68">
        <v>-1.93</v>
      </c>
      <c r="F18" s="68">
        <v>-4.88</v>
      </c>
      <c r="G18" s="68">
        <v>-6.18</v>
      </c>
      <c r="H18" s="68">
        <v>-7.83</v>
      </c>
      <c r="I18" s="68">
        <v>-6.12</v>
      </c>
      <c r="J18" s="68">
        <v>-5.55</v>
      </c>
      <c r="K18" s="68">
        <v>-7.33</v>
      </c>
      <c r="L18" s="68">
        <v>-9.19</v>
      </c>
      <c r="M18" s="68">
        <v>-12.94</v>
      </c>
      <c r="N18" s="68">
        <v>-15.34</v>
      </c>
      <c r="O18" s="68">
        <v>-9.08</v>
      </c>
      <c r="P18" s="68">
        <v>-12.87</v>
      </c>
      <c r="Q18" s="19"/>
      <c r="R18" s="18"/>
      <c r="S18" s="18"/>
      <c r="T18" s="18"/>
      <c r="U18" s="18"/>
      <c r="W18" s="56"/>
    </row>
    <row r="19" spans="2:24" s="49" customFormat="1" ht="16.5" customHeight="1">
      <c r="B19" s="299" t="s">
        <v>24</v>
      </c>
      <c r="C19" s="17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9"/>
      <c r="R19" s="18"/>
      <c r="S19" s="18"/>
      <c r="T19" s="18"/>
      <c r="U19" s="18"/>
      <c r="W19" s="56"/>
    </row>
    <row r="20" spans="2:24" s="49" customFormat="1" ht="16.5" customHeight="1">
      <c r="B20" s="385" t="s">
        <v>31</v>
      </c>
      <c r="C20" s="378">
        <v>-38.1</v>
      </c>
      <c r="D20" s="379">
        <v>-42.55</v>
      </c>
      <c r="E20" s="379">
        <v>-54.85</v>
      </c>
      <c r="F20" s="379">
        <v>-60.83</v>
      </c>
      <c r="G20" s="379">
        <v>-62.66</v>
      </c>
      <c r="H20" s="379">
        <v>-66.47</v>
      </c>
      <c r="I20" s="379">
        <v>-66.09</v>
      </c>
      <c r="J20" s="379">
        <v>-84.27</v>
      </c>
      <c r="K20" s="379">
        <v>-93.89</v>
      </c>
      <c r="L20" s="379">
        <v>-100.76</v>
      </c>
      <c r="M20" s="379">
        <v>-114.99</v>
      </c>
      <c r="N20" s="379">
        <v>-130.69</v>
      </c>
      <c r="O20" s="379">
        <v>-141.16</v>
      </c>
      <c r="P20" s="379">
        <v>-174.26</v>
      </c>
      <c r="Q20" s="19"/>
      <c r="R20" s="18"/>
      <c r="S20" s="18"/>
      <c r="T20" s="18"/>
      <c r="U20" s="18"/>
      <c r="W20" s="56"/>
    </row>
    <row r="21" spans="2:24" s="49" customFormat="1" ht="16.5" customHeight="1">
      <c r="B21" s="299" t="s">
        <v>21</v>
      </c>
      <c r="C21" s="67">
        <v>-18.690000000000001</v>
      </c>
      <c r="D21" s="68">
        <v>-13.85</v>
      </c>
      <c r="E21" s="68">
        <v>-20.13</v>
      </c>
      <c r="F21" s="68">
        <v>-22.84</v>
      </c>
      <c r="G21" s="68">
        <v>-24.54</v>
      </c>
      <c r="H21" s="68">
        <v>-25.54</v>
      </c>
      <c r="I21" s="68">
        <v>-22.38</v>
      </c>
      <c r="J21" s="68">
        <v>-26.72</v>
      </c>
      <c r="K21" s="68">
        <v>-30.34</v>
      </c>
      <c r="L21" s="68">
        <v>-29.79</v>
      </c>
      <c r="M21" s="68">
        <v>-28.56</v>
      </c>
      <c r="N21" s="68">
        <v>-29.02</v>
      </c>
      <c r="O21" s="68">
        <v>-32.200000000000003</v>
      </c>
      <c r="P21" s="18">
        <v>-45.3</v>
      </c>
      <c r="Q21" s="19"/>
      <c r="R21" s="18"/>
      <c r="S21" s="18"/>
      <c r="T21" s="18"/>
      <c r="U21" s="18"/>
      <c r="W21" s="56"/>
    </row>
    <row r="22" spans="2:24" s="49" customFormat="1" ht="16.5" customHeight="1">
      <c r="B22" s="299" t="s">
        <v>22</v>
      </c>
      <c r="C22" s="67">
        <v>-18.03</v>
      </c>
      <c r="D22" s="68">
        <v>-20.99</v>
      </c>
      <c r="E22" s="68">
        <v>-24.33</v>
      </c>
      <c r="F22" s="68">
        <v>-25.94</v>
      </c>
      <c r="G22" s="68">
        <v>-29.02</v>
      </c>
      <c r="H22" s="68">
        <v>-28.77</v>
      </c>
      <c r="I22" s="68">
        <v>-27.82</v>
      </c>
      <c r="J22" s="68">
        <v>-40.159999999999997</v>
      </c>
      <c r="K22" s="68">
        <v>-43.87</v>
      </c>
      <c r="L22" s="68">
        <v>-50.13</v>
      </c>
      <c r="M22" s="68">
        <v>-58.24</v>
      </c>
      <c r="N22" s="68">
        <v>-63.29</v>
      </c>
      <c r="O22" s="68">
        <v>-76.150000000000006</v>
      </c>
      <c r="P22" s="68">
        <v>-89.44</v>
      </c>
      <c r="Q22" s="19"/>
      <c r="R22" s="18"/>
      <c r="S22" s="18"/>
      <c r="T22" s="18"/>
      <c r="U22" s="18"/>
      <c r="W22" s="56"/>
    </row>
    <row r="23" spans="2:24" s="49" customFormat="1" ht="16.5" customHeight="1">
      <c r="B23" s="299" t="s">
        <v>23</v>
      </c>
      <c r="C23" s="17"/>
      <c r="D23" s="68">
        <v>-0.23</v>
      </c>
      <c r="E23" s="68">
        <v>-0.92</v>
      </c>
      <c r="F23" s="68">
        <v>-1.36</v>
      </c>
      <c r="G23" s="68">
        <v>-1.22</v>
      </c>
      <c r="H23" s="68">
        <v>-1.1399999999999999</v>
      </c>
      <c r="I23" s="68">
        <v>-1.33</v>
      </c>
      <c r="J23" s="68">
        <v>-1.57</v>
      </c>
      <c r="K23" s="68">
        <v>-2.08</v>
      </c>
      <c r="L23" s="68">
        <v>-2.14</v>
      </c>
      <c r="M23" s="68">
        <v>-1.73</v>
      </c>
      <c r="N23" s="68">
        <v>-2.68</v>
      </c>
      <c r="O23" s="68">
        <v>-1.5</v>
      </c>
      <c r="P23" s="68">
        <v>-2.4</v>
      </c>
      <c r="Q23" s="19"/>
      <c r="R23" s="18"/>
      <c r="S23" s="18"/>
      <c r="T23" s="18"/>
      <c r="U23" s="18"/>
      <c r="W23" s="56"/>
    </row>
    <row r="24" spans="2:24" s="49" customFormat="1" ht="16.5" customHeight="1">
      <c r="B24" s="299" t="s">
        <v>24</v>
      </c>
      <c r="C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9"/>
      <c r="R24" s="18"/>
      <c r="S24" s="18"/>
      <c r="T24" s="18"/>
      <c r="U24" s="18"/>
      <c r="W24" s="56"/>
    </row>
    <row r="25" spans="2:24" s="49" customFormat="1" ht="16.5" customHeight="1">
      <c r="B25" s="385" t="s">
        <v>32</v>
      </c>
      <c r="C25" s="378">
        <v>-26.78</v>
      </c>
      <c r="D25" s="379">
        <v>-33.840000000000003</v>
      </c>
      <c r="E25" s="379">
        <v>-56.87</v>
      </c>
      <c r="F25" s="379">
        <v>-66.73</v>
      </c>
      <c r="G25" s="379">
        <v>-86.21</v>
      </c>
      <c r="H25" s="379">
        <v>-115.56</v>
      </c>
      <c r="I25" s="379">
        <v>-96.44</v>
      </c>
      <c r="J25" s="379">
        <v>-189.32</v>
      </c>
      <c r="K25" s="379">
        <v>-134.91999999999999</v>
      </c>
      <c r="L25" s="379">
        <v>-128.16</v>
      </c>
      <c r="M25" s="379">
        <v>-128.43</v>
      </c>
      <c r="N25" s="379">
        <v>-135.62</v>
      </c>
      <c r="O25" s="379">
        <v>-122.7</v>
      </c>
      <c r="P25" s="379">
        <v>-164.6</v>
      </c>
      <c r="Q25" s="19"/>
      <c r="R25" s="18"/>
      <c r="S25" s="18"/>
      <c r="T25" s="18"/>
      <c r="U25" s="18"/>
      <c r="W25" s="56"/>
    </row>
    <row r="26" spans="2:24" s="49" customFormat="1" ht="16.5" customHeight="1">
      <c r="B26" s="299" t="s">
        <v>21</v>
      </c>
      <c r="C26" s="67">
        <v>-13.22</v>
      </c>
      <c r="D26" s="68">
        <v>-15.32</v>
      </c>
      <c r="E26" s="68">
        <v>-19.91</v>
      </c>
      <c r="F26" s="68">
        <v>-28.65</v>
      </c>
      <c r="G26" s="68">
        <v>-41</v>
      </c>
      <c r="H26" s="68">
        <v>-77.69</v>
      </c>
      <c r="I26" s="68">
        <v>-65.25</v>
      </c>
      <c r="J26" s="68">
        <v>-104.06</v>
      </c>
      <c r="K26" s="68">
        <v>-88.83</v>
      </c>
      <c r="L26" s="68">
        <v>-84.17</v>
      </c>
      <c r="M26" s="68">
        <v>-64.94</v>
      </c>
      <c r="N26" s="68">
        <v>-70.92</v>
      </c>
      <c r="O26" s="68">
        <v>-68.400000000000006</v>
      </c>
      <c r="P26" s="18">
        <v>-101.15</v>
      </c>
      <c r="Q26" s="19"/>
      <c r="R26" s="18"/>
      <c r="S26" s="18"/>
      <c r="T26" s="18"/>
      <c r="U26" s="18"/>
      <c r="W26" s="56"/>
    </row>
    <row r="27" spans="2:24" s="49" customFormat="1" ht="16.5" customHeight="1">
      <c r="B27" s="299" t="s">
        <v>22</v>
      </c>
      <c r="C27" s="67">
        <v>-14.03</v>
      </c>
      <c r="D27" s="68">
        <v>-17.93</v>
      </c>
      <c r="E27" s="68">
        <v>-22.3</v>
      </c>
      <c r="F27" s="68">
        <v>-34.840000000000003</v>
      </c>
      <c r="G27" s="68">
        <v>-39.520000000000003</v>
      </c>
      <c r="H27" s="68">
        <v>-36.64</v>
      </c>
      <c r="I27" s="68">
        <v>-26.77</v>
      </c>
      <c r="J27" s="68">
        <v>-78.959999999999994</v>
      </c>
      <c r="K27" s="68">
        <v>-43.51</v>
      </c>
      <c r="L27" s="68">
        <v>-41.31</v>
      </c>
      <c r="M27" s="68">
        <v>-58.41</v>
      </c>
      <c r="N27" s="68">
        <v>-56.69</v>
      </c>
      <c r="O27" s="68">
        <v>-50.11</v>
      </c>
      <c r="P27" s="68">
        <v>-54.18</v>
      </c>
      <c r="Q27" s="19"/>
      <c r="R27" s="18"/>
      <c r="S27" s="18"/>
      <c r="T27" s="18"/>
      <c r="U27" s="18"/>
      <c r="W27" s="56"/>
    </row>
    <row r="28" spans="2:24" s="49" customFormat="1" ht="16.5" customHeight="1">
      <c r="B28" s="299" t="s">
        <v>23</v>
      </c>
      <c r="C28" s="17"/>
      <c r="D28" s="68">
        <v>-0.32</v>
      </c>
      <c r="E28" s="68">
        <v>-0.82</v>
      </c>
      <c r="F28" s="68">
        <v>-0.12</v>
      </c>
      <c r="G28" s="68">
        <v>-0.8</v>
      </c>
      <c r="H28" s="68">
        <v>-0.87</v>
      </c>
      <c r="I28" s="68">
        <v>-2.41</v>
      </c>
      <c r="J28" s="68">
        <v>-2.59</v>
      </c>
      <c r="K28" s="68">
        <v>-1.44</v>
      </c>
      <c r="L28" s="68">
        <v>-1.72</v>
      </c>
      <c r="M28" s="68">
        <v>-4.57</v>
      </c>
      <c r="N28" s="68">
        <v>-5.48</v>
      </c>
      <c r="O28" s="68">
        <v>-3.26</v>
      </c>
      <c r="P28" s="68">
        <v>-4.25</v>
      </c>
      <c r="Q28" s="19"/>
      <c r="R28" s="18"/>
      <c r="S28" s="18"/>
      <c r="T28" s="18"/>
      <c r="U28" s="18"/>
      <c r="W28" s="56"/>
    </row>
    <row r="29" spans="2:24" s="49" customFormat="1" ht="16.5" customHeight="1">
      <c r="B29" s="299" t="s">
        <v>24</v>
      </c>
      <c r="C29" s="17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9"/>
      <c r="R29" s="18"/>
      <c r="S29" s="18"/>
      <c r="T29" s="18"/>
      <c r="U29" s="18"/>
      <c r="W29" s="56"/>
    </row>
    <row r="30" spans="2:24" s="49" customFormat="1" ht="16.5" customHeight="1">
      <c r="B30" s="385" t="s">
        <v>33</v>
      </c>
      <c r="C30" s="378">
        <v>0</v>
      </c>
      <c r="D30" s="379">
        <v>0</v>
      </c>
      <c r="E30" s="379">
        <v>0</v>
      </c>
      <c r="F30" s="379">
        <v>0</v>
      </c>
      <c r="G30" s="379">
        <v>0</v>
      </c>
      <c r="H30" s="379">
        <v>0</v>
      </c>
      <c r="I30" s="379">
        <v>0</v>
      </c>
      <c r="J30" s="379">
        <v>0</v>
      </c>
      <c r="K30" s="379">
        <v>0</v>
      </c>
      <c r="L30" s="379">
        <v>0</v>
      </c>
      <c r="M30" s="379">
        <v>0</v>
      </c>
      <c r="N30" s="379">
        <v>0</v>
      </c>
      <c r="O30" s="379">
        <v>-6.15</v>
      </c>
      <c r="P30" s="379">
        <v>41.18</v>
      </c>
      <c r="Q30" s="19"/>
      <c r="R30" s="18"/>
      <c r="S30" s="18"/>
      <c r="T30" s="18"/>
      <c r="U30" s="18"/>
      <c r="W30" s="56"/>
    </row>
    <row r="31" spans="2:24" s="56" customFormat="1" ht="16.5" customHeight="1">
      <c r="B31" s="386" t="s">
        <v>96</v>
      </c>
      <c r="C31" s="388">
        <v>-171.83</v>
      </c>
      <c r="D31" s="389">
        <v>-224.69</v>
      </c>
      <c r="E31" s="389">
        <v>-307.92</v>
      </c>
      <c r="F31" s="389">
        <v>-352.63</v>
      </c>
      <c r="G31" s="389">
        <v>-410.68</v>
      </c>
      <c r="H31" s="389">
        <v>-437.2</v>
      </c>
      <c r="I31" s="389">
        <v>-419.18</v>
      </c>
      <c r="J31" s="389">
        <v>-566.30999999999995</v>
      </c>
      <c r="K31" s="389">
        <v>-533.55999999999995</v>
      </c>
      <c r="L31" s="389">
        <v>-555.80999999999995</v>
      </c>
      <c r="M31" s="389">
        <v>-588.73</v>
      </c>
      <c r="N31" s="389">
        <v>-575.35</v>
      </c>
      <c r="O31" s="389">
        <v>-568.29</v>
      </c>
      <c r="P31" s="389">
        <v>-674.54</v>
      </c>
      <c r="Q31" s="23"/>
      <c r="R31" s="389">
        <f>-SUM(R32:R35)</f>
        <v>-762.16193868826292</v>
      </c>
      <c r="S31" s="389">
        <f>-SUM(S32:S35)</f>
        <v>-849.69663639300916</v>
      </c>
      <c r="T31" s="389">
        <f>-SUM(T32:T35)</f>
        <v>-762.80362150876226</v>
      </c>
      <c r="U31" s="389">
        <f>-SUM(U32:U35)</f>
        <v>-800.91111732079594</v>
      </c>
      <c r="V31" s="389">
        <f>-SUM(V32:V35)</f>
        <v>-862.7669009072888</v>
      </c>
      <c r="X31" s="49"/>
    </row>
    <row r="32" spans="2:24" s="56" customFormat="1" ht="16.5" customHeight="1">
      <c r="B32" s="299" t="s">
        <v>21</v>
      </c>
      <c r="C32" s="379"/>
      <c r="D32" s="379"/>
      <c r="E32" s="379"/>
      <c r="F32" s="379"/>
      <c r="G32" s="379"/>
      <c r="H32" s="379"/>
      <c r="I32" s="379"/>
      <c r="J32" s="379"/>
      <c r="K32" s="379"/>
      <c r="L32" s="379"/>
      <c r="M32" s="379"/>
      <c r="N32" s="379"/>
      <c r="O32" s="379"/>
      <c r="P32" s="379"/>
      <c r="Q32" s="23"/>
      <c r="R32" s="382">
        <f>R5*(1-'OV Custos'!S28)</f>
        <v>348.52326606888312</v>
      </c>
      <c r="S32" s="382">
        <f>S5*(1-'OV Custos'!T28)</f>
        <v>274.21572875336233</v>
      </c>
      <c r="T32" s="382">
        <f>T5*(1-'OV Custos'!U28)</f>
        <v>274.21572875336233</v>
      </c>
      <c r="U32" s="382">
        <f>U5*(1-'OV Custos'!V28)</f>
        <v>274.21572875336233</v>
      </c>
      <c r="V32" s="382">
        <f>V5*(1-'OV Custos'!W28)</f>
        <v>274.21572875336233</v>
      </c>
      <c r="X32" s="49"/>
    </row>
    <row r="33" spans="2:24" s="56" customFormat="1" ht="16.5" customHeight="1">
      <c r="B33" s="299" t="s">
        <v>22</v>
      </c>
      <c r="C33" s="379"/>
      <c r="D33" s="379"/>
      <c r="E33" s="379"/>
      <c r="F33" s="379"/>
      <c r="G33" s="379"/>
      <c r="H33" s="379"/>
      <c r="I33" s="379"/>
      <c r="J33" s="379"/>
      <c r="K33" s="379"/>
      <c r="L33" s="379"/>
      <c r="M33" s="379"/>
      <c r="N33" s="379"/>
      <c r="O33" s="379"/>
      <c r="P33" s="379"/>
      <c r="Q33" s="23"/>
      <c r="R33" s="382">
        <f>R6*(1-'OV Custos'!S31)</f>
        <v>326.62987127224977</v>
      </c>
      <c r="S33" s="382">
        <f>S6*(1-'OV Custos'!T31)</f>
        <v>353.69630171600357</v>
      </c>
      <c r="T33" s="382">
        <f>T6*(1-'OV Custos'!U31)</f>
        <v>366.07118346187508</v>
      </c>
      <c r="U33" s="382">
        <f>U6*(1-'OV Custos'!V31)</f>
        <v>378.53414135123194</v>
      </c>
      <c r="V33" s="382">
        <f>V6*(1-'OV Custos'!W31)</f>
        <v>391.04157023487573</v>
      </c>
      <c r="X33" s="49"/>
    </row>
    <row r="34" spans="2:24" s="56" customFormat="1" ht="16.5" customHeight="1">
      <c r="B34" s="299" t="s">
        <v>23</v>
      </c>
      <c r="C34" s="379"/>
      <c r="D34" s="379"/>
      <c r="E34" s="379"/>
      <c r="F34" s="379"/>
      <c r="G34" s="379"/>
      <c r="H34" s="379"/>
      <c r="I34" s="379"/>
      <c r="J34" s="379"/>
      <c r="K34" s="379"/>
      <c r="L34" s="379"/>
      <c r="M34" s="379"/>
      <c r="N34" s="379"/>
      <c r="O34" s="379"/>
      <c r="P34" s="379"/>
      <c r="Q34" s="23"/>
      <c r="R34" s="382">
        <f>R7*(1-'OV Custos'!S34)</f>
        <v>41.166661783111969</v>
      </c>
      <c r="S34" s="382">
        <f>S7*(1-'OV Custos'!T34)</f>
        <v>48.82950199196916</v>
      </c>
      <c r="T34" s="382">
        <f>T7*(1-'OV Custos'!U34)</f>
        <v>53.777290032327919</v>
      </c>
      <c r="U34" s="382">
        <f>U7*(1-'OV Custos'!V34)</f>
        <v>59.226426755217666</v>
      </c>
      <c r="V34" s="382">
        <f>V7*(1-'OV Custos'!W34)</f>
        <v>65.227712740498561</v>
      </c>
      <c r="X34" s="49"/>
    </row>
    <row r="35" spans="2:24" s="56" customFormat="1" ht="16.5" customHeight="1">
      <c r="B35" s="299" t="s">
        <v>24</v>
      </c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79"/>
      <c r="O35" s="379"/>
      <c r="P35" s="379"/>
      <c r="Q35" s="23"/>
      <c r="R35" s="382">
        <f>R8*(1-'OV Custos'!S37)</f>
        <v>45.842139564018126</v>
      </c>
      <c r="S35" s="382">
        <f>S8*(1-'OV Custos'!T37)</f>
        <v>172.95510393167405</v>
      </c>
      <c r="T35" s="382">
        <f>T8*(1-'OV Custos'!U37)</f>
        <v>68.739419261197</v>
      </c>
      <c r="U35" s="382">
        <f>U8*(1-'OV Custos'!V37)</f>
        <v>88.934820460984071</v>
      </c>
      <c r="V35" s="382">
        <f>V8*(1-'OV Custos'!W37)</f>
        <v>132.28188917855226</v>
      </c>
      <c r="X35" s="49"/>
    </row>
    <row r="36" spans="2:24" s="56" customFormat="1" ht="16.5" customHeight="1">
      <c r="B36" s="328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79"/>
      <c r="P36" s="379"/>
      <c r="Q36" s="23"/>
      <c r="R36" s="379"/>
      <c r="S36" s="379"/>
      <c r="T36" s="379"/>
      <c r="U36" s="379"/>
      <c r="V36" s="379"/>
      <c r="X36" s="49"/>
    </row>
    <row r="37" spans="2:24" s="56" customFormat="1" ht="16.5" customHeight="1">
      <c r="B37" s="37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23"/>
      <c r="R37" s="22"/>
      <c r="S37" s="22"/>
      <c r="T37" s="22"/>
      <c r="U37" s="22"/>
      <c r="V37" s="49"/>
      <c r="X37" s="49"/>
    </row>
    <row r="38" spans="2:24" s="56" customFormat="1" ht="16.5" customHeight="1">
      <c r="B38" s="390" t="s">
        <v>15</v>
      </c>
      <c r="C38" s="391">
        <f t="shared" ref="C38:P38" si="2">C11+C12+C31+C30</f>
        <v>437.89</v>
      </c>
      <c r="D38" s="391">
        <f t="shared" si="2"/>
        <v>542.54999999999995</v>
      </c>
      <c r="E38" s="391">
        <f t="shared" si="2"/>
        <v>712.75</v>
      </c>
      <c r="F38" s="391">
        <f t="shared" si="2"/>
        <v>800.7399999999999</v>
      </c>
      <c r="G38" s="391">
        <f t="shared" si="2"/>
        <v>937.58999999999969</v>
      </c>
      <c r="H38" s="391">
        <f t="shared" si="2"/>
        <v>920.50999999999976</v>
      </c>
      <c r="I38" s="391">
        <f t="shared" si="2"/>
        <v>903.2</v>
      </c>
      <c r="J38" s="391">
        <f t="shared" si="2"/>
        <v>1142.3</v>
      </c>
      <c r="K38" s="391">
        <f t="shared" si="2"/>
        <v>1170.94</v>
      </c>
      <c r="L38" s="391">
        <f t="shared" si="2"/>
        <v>1366.32</v>
      </c>
      <c r="M38" s="391">
        <f t="shared" si="2"/>
        <v>1299.9100000000001</v>
      </c>
      <c r="N38" s="391">
        <f t="shared" si="2"/>
        <v>1648.0300000000002</v>
      </c>
      <c r="O38" s="391">
        <f t="shared" si="2"/>
        <v>1654.7199999999998</v>
      </c>
      <c r="P38" s="391">
        <f t="shared" si="2"/>
        <v>1760.0300000000004</v>
      </c>
      <c r="Q38" s="23"/>
      <c r="R38" s="391">
        <f>R31+R13</f>
        <v>1717.3065064084749</v>
      </c>
      <c r="S38" s="391">
        <f>S31+S13</f>
        <v>1513.2944898924902</v>
      </c>
      <c r="T38" s="391">
        <f>T31+T13</f>
        <v>1715.0893938134432</v>
      </c>
      <c r="U38" s="391">
        <f>U31+U13</f>
        <v>1795.6952719269791</v>
      </c>
      <c r="V38" s="391">
        <f>V31+V13</f>
        <v>1856.6378519665122</v>
      </c>
      <c r="X38" s="49"/>
    </row>
    <row r="39" spans="2:24" s="31" customFormat="1" ht="16.5" customHeight="1">
      <c r="B39" s="116" t="s">
        <v>34</v>
      </c>
      <c r="C39" s="9">
        <f t="shared" ref="C39:O39" si="3">C38/C11</f>
        <v>0.7531259136955436</v>
      </c>
      <c r="D39" s="9">
        <f t="shared" si="3"/>
        <v>0.74867527736380191</v>
      </c>
      <c r="E39" s="9">
        <f t="shared" si="3"/>
        <v>0.75212367435234528</v>
      </c>
      <c r="F39" s="9">
        <f t="shared" si="3"/>
        <v>0.74917433081032525</v>
      </c>
      <c r="G39" s="9">
        <f t="shared" si="3"/>
        <v>0.7295568610668014</v>
      </c>
      <c r="H39" s="9">
        <f t="shared" si="3"/>
        <v>0.69928970258669798</v>
      </c>
      <c r="I39" s="9">
        <f t="shared" si="3"/>
        <v>0.70744335048679807</v>
      </c>
      <c r="J39" s="9">
        <f t="shared" si="3"/>
        <v>0.73837303254581299</v>
      </c>
      <c r="K39" s="9">
        <f t="shared" si="3"/>
        <v>0.70933817961532641</v>
      </c>
      <c r="L39" s="9">
        <f t="shared" si="3"/>
        <v>0.74777116774938568</v>
      </c>
      <c r="M39" s="9">
        <f t="shared" si="3"/>
        <v>0.76614466991613084</v>
      </c>
      <c r="N39" s="9">
        <f t="shared" si="3"/>
        <v>0.9036738498656578</v>
      </c>
      <c r="O39" s="9">
        <f t="shared" si="3"/>
        <v>0.95607106745630499</v>
      </c>
      <c r="P39" s="9">
        <f>P38/P11</f>
        <v>1.0013483836464392</v>
      </c>
      <c r="Q39" s="10"/>
      <c r="R39" s="9"/>
      <c r="S39" s="9"/>
      <c r="T39" s="9"/>
      <c r="U39" s="9"/>
      <c r="V39" s="77"/>
      <c r="W39" s="75"/>
      <c r="X39" s="49"/>
    </row>
    <row r="40" spans="2:24" s="31" customFormat="1" ht="16.5" customHeight="1">
      <c r="B40" s="448" t="s">
        <v>111</v>
      </c>
      <c r="C40" s="9"/>
      <c r="D40" s="9">
        <f>D38/C38-1</f>
        <v>0.2390097969809768</v>
      </c>
      <c r="E40" s="9">
        <f t="shared" ref="E40:P40" si="4">E38/D38-1</f>
        <v>0.31370380610082038</v>
      </c>
      <c r="F40" s="9">
        <f t="shared" si="4"/>
        <v>0.12345142055419145</v>
      </c>
      <c r="G40" s="9">
        <f t="shared" si="4"/>
        <v>0.17090441341758855</v>
      </c>
      <c r="H40" s="9">
        <f t="shared" si="4"/>
        <v>-1.8216917842553748E-2</v>
      </c>
      <c r="I40" s="9">
        <f t="shared" si="4"/>
        <v>-1.8804792995187114E-2</v>
      </c>
      <c r="J40" s="9">
        <f t="shared" si="4"/>
        <v>0.26472542072630634</v>
      </c>
      <c r="K40" s="9">
        <f t="shared" si="4"/>
        <v>2.5072222708570457E-2</v>
      </c>
      <c r="L40" s="9">
        <f t="shared" si="4"/>
        <v>0.16685739662151766</v>
      </c>
      <c r="M40" s="9">
        <f t="shared" si="4"/>
        <v>-4.8605012003044568E-2</v>
      </c>
      <c r="N40" s="9">
        <f t="shared" si="4"/>
        <v>0.26780315560308021</v>
      </c>
      <c r="O40" s="9">
        <f t="shared" si="4"/>
        <v>4.059392122715888E-3</v>
      </c>
      <c r="P40" s="9">
        <f t="shared" si="4"/>
        <v>6.3642187197834543E-2</v>
      </c>
      <c r="Q40" s="614">
        <f>AVERAGE(D40:P40)</f>
        <v>0.11950788378406284</v>
      </c>
      <c r="R40" s="9"/>
      <c r="S40" s="9"/>
      <c r="T40" s="9"/>
      <c r="U40" s="9"/>
      <c r="V40" s="77"/>
      <c r="W40" s="75"/>
      <c r="X40" s="49"/>
    </row>
    <row r="41" spans="2:24" s="38" customFormat="1" ht="16.5" customHeight="1">
      <c r="B41" s="11"/>
      <c r="C41" s="4"/>
      <c r="D41" s="5"/>
      <c r="E41" s="5"/>
      <c r="F41" s="5"/>
      <c r="G41" s="5"/>
      <c r="H41" s="5"/>
      <c r="I41" s="5"/>
      <c r="J41" s="5"/>
      <c r="K41" s="5"/>
      <c r="L41" s="5"/>
      <c r="M41" s="5"/>
      <c r="N41" s="6"/>
      <c r="O41" s="6"/>
      <c r="P41" s="6"/>
      <c r="Q41" s="7"/>
      <c r="R41" s="6"/>
      <c r="S41" s="6"/>
      <c r="T41" s="6"/>
      <c r="U41" s="6"/>
      <c r="W41" s="44"/>
      <c r="X41" s="49"/>
    </row>
    <row r="42" spans="2:24" s="49" customFormat="1" ht="16.5" customHeight="1">
      <c r="B42" s="234" t="s">
        <v>35</v>
      </c>
      <c r="C42" s="17">
        <v>0.81</v>
      </c>
      <c r="D42" s="18">
        <v>0.18</v>
      </c>
      <c r="E42" s="18">
        <v>0.16</v>
      </c>
      <c r="F42" s="18">
        <v>0.27</v>
      </c>
      <c r="G42" s="18">
        <v>0</v>
      </c>
      <c r="H42" s="18">
        <v>-1.29</v>
      </c>
      <c r="I42" s="18">
        <v>-0.02</v>
      </c>
      <c r="J42" s="18">
        <v>0.17</v>
      </c>
      <c r="K42" s="18">
        <v>-4.7</v>
      </c>
      <c r="L42" s="18">
        <v>0.19</v>
      </c>
      <c r="M42" s="18">
        <v>-0.33</v>
      </c>
      <c r="N42" s="18">
        <v>-1.24</v>
      </c>
      <c r="O42" s="18">
        <v>-0.7</v>
      </c>
      <c r="P42" s="18">
        <v>-1.56</v>
      </c>
      <c r="Q42" s="19">
        <f>AVERAGE(C42:P42)</f>
        <v>-0.57571428571428573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  <c r="W42" s="56"/>
    </row>
    <row r="43" spans="2:24" s="49" customFormat="1" ht="16.5" customHeight="1">
      <c r="B43" s="234" t="s">
        <v>36</v>
      </c>
      <c r="C43" s="17">
        <v>-207.76</v>
      </c>
      <c r="D43" s="18">
        <v>-314.35000000000002</v>
      </c>
      <c r="E43" s="18">
        <v>-434.4</v>
      </c>
      <c r="F43" s="18">
        <v>-468.49</v>
      </c>
      <c r="G43" s="18">
        <v>-502.71</v>
      </c>
      <c r="H43" s="18">
        <v>-464.67</v>
      </c>
      <c r="I43" s="18">
        <v>-499.78</v>
      </c>
      <c r="J43" s="18">
        <v>-587.47</v>
      </c>
      <c r="K43" s="18">
        <v>-624.5</v>
      </c>
      <c r="L43" s="18">
        <v>-582.87</v>
      </c>
      <c r="M43" s="18">
        <v>-562.04</v>
      </c>
      <c r="N43" s="18">
        <v>-608.95000000000005</v>
      </c>
      <c r="O43" s="18">
        <v>-616.61</v>
      </c>
      <c r="P43" s="18">
        <v>-623.32000000000005</v>
      </c>
      <c r="Q43" s="19"/>
      <c r="R43" s="18">
        <f>-'OV Balanço'!Q29</f>
        <v>-630.16175028542557</v>
      </c>
      <c r="S43" s="18">
        <f>-'OV Balanço'!R29</f>
        <v>-712.03168262008933</v>
      </c>
      <c r="T43" s="18">
        <f>-'OV Balanço'!S29</f>
        <v>-740.78852659365043</v>
      </c>
      <c r="U43" s="18">
        <f>-'OV Balanço'!T29</f>
        <v>-768.30096115859726</v>
      </c>
      <c r="V43" s="18">
        <f>-'OV Balanço'!U29</f>
        <v>-794.6228362707061</v>
      </c>
      <c r="W43" s="56"/>
    </row>
    <row r="44" spans="2:24" s="49" customFormat="1" ht="16.5" customHeight="1">
      <c r="B44" s="234" t="s">
        <v>37</v>
      </c>
      <c r="C44" s="17">
        <v>0.7</v>
      </c>
      <c r="D44" s="18">
        <v>2.4</v>
      </c>
      <c r="E44" s="18">
        <v>11.41</v>
      </c>
      <c r="F44" s="18">
        <v>14.99</v>
      </c>
      <c r="G44" s="18">
        <v>15.23</v>
      </c>
      <c r="H44" s="18">
        <v>18.47</v>
      </c>
      <c r="I44" s="18">
        <v>19.02</v>
      </c>
      <c r="J44" s="18">
        <v>22.84</v>
      </c>
      <c r="K44" s="18">
        <v>22.21</v>
      </c>
      <c r="L44" s="18">
        <v>19.510000000000002</v>
      </c>
      <c r="M44" s="18">
        <v>16.16</v>
      </c>
      <c r="N44" s="18">
        <v>17.329999999999998</v>
      </c>
      <c r="O44" s="18">
        <v>16.579999999999998</v>
      </c>
      <c r="P44" s="18">
        <v>16.03</v>
      </c>
      <c r="Q44" s="19">
        <f>AVERAGE(F44:P44)</f>
        <v>18.033636363636361</v>
      </c>
      <c r="R44" s="18">
        <f>$Q$44</f>
        <v>18.033636363636361</v>
      </c>
      <c r="S44" s="18">
        <f>$Q$44</f>
        <v>18.033636363636361</v>
      </c>
      <c r="T44" s="18">
        <f>$Q$44</f>
        <v>18.033636363636361</v>
      </c>
      <c r="U44" s="18">
        <f>$Q$44</f>
        <v>18.033636363636361</v>
      </c>
      <c r="V44" s="18">
        <f>$Q$44</f>
        <v>18.033636363636361</v>
      </c>
      <c r="W44" s="56"/>
    </row>
    <row r="45" spans="2:24" s="49" customFormat="1" ht="16.5" customHeight="1">
      <c r="B45" s="331"/>
      <c r="C45" s="17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22"/>
      <c r="O45" s="22"/>
      <c r="P45" s="22"/>
      <c r="Q45" s="23"/>
      <c r="R45" s="22"/>
      <c r="S45" s="22"/>
      <c r="T45" s="22"/>
      <c r="U45" s="22"/>
      <c r="W45" s="56"/>
    </row>
    <row r="46" spans="2:24" s="56" customFormat="1" ht="16.5" customHeight="1">
      <c r="B46" s="332" t="s">
        <v>17</v>
      </c>
      <c r="C46" s="21">
        <v>231.62</v>
      </c>
      <c r="D46" s="22">
        <v>230.79</v>
      </c>
      <c r="E46" s="22">
        <v>289.91000000000003</v>
      </c>
      <c r="F46" s="22">
        <v>347.5</v>
      </c>
      <c r="G46" s="22">
        <v>450.11</v>
      </c>
      <c r="H46" s="22">
        <v>473.02</v>
      </c>
      <c r="I46" s="22">
        <v>422.41</v>
      </c>
      <c r="J46" s="22">
        <v>577.84</v>
      </c>
      <c r="K46" s="22">
        <v>563.96</v>
      </c>
      <c r="L46" s="22">
        <v>803.14</v>
      </c>
      <c r="M46" s="22">
        <v>753.7</v>
      </c>
      <c r="N46" s="22">
        <v>1055.17</v>
      </c>
      <c r="O46" s="22">
        <v>1053.99</v>
      </c>
      <c r="P46" s="22">
        <v>1151.19</v>
      </c>
      <c r="Q46" s="23"/>
      <c r="R46" s="22">
        <f>R38+R42+R43+R44</f>
        <v>1105.1783924866857</v>
      </c>
      <c r="S46" s="22">
        <f>S38+S42+S43+S44</f>
        <v>819.29644363603722</v>
      </c>
      <c r="T46" s="22">
        <f>T38+T42+T43+T44</f>
        <v>992.33450358342907</v>
      </c>
      <c r="U46" s="22">
        <f>U38+U42+U43+U44</f>
        <v>1045.4279471320181</v>
      </c>
      <c r="V46" s="22">
        <f>V38+V42+V43+V44</f>
        <v>1080.0486520594425</v>
      </c>
      <c r="X46" s="49"/>
    </row>
    <row r="47" spans="2:24" s="49" customFormat="1" ht="16.5" customHeight="1">
      <c r="B47" s="331"/>
      <c r="C47" s="17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22"/>
      <c r="O47" s="22"/>
      <c r="P47" s="22"/>
      <c r="Q47" s="23"/>
      <c r="R47" s="22"/>
      <c r="S47" s="22"/>
      <c r="T47" s="22"/>
      <c r="U47" s="22"/>
      <c r="W47" s="56"/>
    </row>
    <row r="48" spans="2:24" s="49" customFormat="1" ht="16.5" customHeight="1">
      <c r="B48" s="234" t="s">
        <v>38</v>
      </c>
      <c r="C48" s="17">
        <v>-74.86</v>
      </c>
      <c r="D48" s="18">
        <v>-72.17</v>
      </c>
      <c r="E48" s="18">
        <v>-174.15</v>
      </c>
      <c r="F48" s="18">
        <v>-233.63</v>
      </c>
      <c r="G48" s="18">
        <v>-274.85000000000002</v>
      </c>
      <c r="H48" s="18">
        <v>-261.70999999999998</v>
      </c>
      <c r="I48" s="18">
        <v>-249.88</v>
      </c>
      <c r="J48" s="18">
        <v>-285.48</v>
      </c>
      <c r="K48" s="18">
        <v>-350.09</v>
      </c>
      <c r="L48" s="18">
        <v>-301.58</v>
      </c>
      <c r="M48" s="18">
        <v>-219.74</v>
      </c>
      <c r="N48" s="18">
        <v>-349.46</v>
      </c>
      <c r="O48" s="18">
        <v>-285.06</v>
      </c>
      <c r="P48" s="18">
        <v>-248.6</v>
      </c>
      <c r="Q48" s="19"/>
      <c r="R48" s="18">
        <f>-$Q$49*'OV Balanço'!Q4</f>
        <v>-335.17668888484587</v>
      </c>
      <c r="S48" s="18">
        <f>-$Q$49*'OV Balanço'!R4</f>
        <v>-369.66615044072734</v>
      </c>
      <c r="T48" s="18">
        <f>-$Q$49*'OV Balanço'!S4</f>
        <v>-407.70455498059795</v>
      </c>
      <c r="U48" s="18">
        <f>-$Q$49*'OV Balanço'!T4</f>
        <v>-449.65708641094477</v>
      </c>
      <c r="V48" s="18">
        <f>-$Q$49*'OV Balanço'!U4</f>
        <v>-495.92650582283005</v>
      </c>
      <c r="W48" s="56"/>
    </row>
    <row r="49" spans="2:24" s="49" customFormat="1" ht="16.5" customHeight="1">
      <c r="B49" s="463" t="s">
        <v>122</v>
      </c>
      <c r="C49" s="457">
        <f>-C48/Balanço!C36</f>
        <v>5.1194375867657821E-2</v>
      </c>
      <c r="D49" s="457">
        <f>-D48/Balanço!D36</f>
        <v>2.6995182237117721E-2</v>
      </c>
      <c r="E49" s="457">
        <f>-E48/Balanço!E36</f>
        <v>4.9284155773590028E-2</v>
      </c>
      <c r="F49" s="457">
        <f>-F48/Balanço!F36</f>
        <v>6.1061859011217634E-2</v>
      </c>
      <c r="G49" s="457">
        <f>-G48/Balanço!G36</f>
        <v>7.0941481343822915E-2</v>
      </c>
      <c r="H49" s="457">
        <f>-H48/Balanço!H36</f>
        <v>7.139077111089287E-2</v>
      </c>
      <c r="I49" s="457">
        <f>-I48/Balanço!I36</f>
        <v>6.4040267355558289E-2</v>
      </c>
      <c r="J49" s="457">
        <f>-J48/Balanço!J36</f>
        <v>6.764496110438431E-2</v>
      </c>
      <c r="K49" s="457">
        <f>-K48/Balanço!K36</f>
        <v>0.10278414712557286</v>
      </c>
      <c r="L49" s="457">
        <f>-L48/Balanço!L36</f>
        <v>9.316766348672828E-2</v>
      </c>
      <c r="M49" s="457">
        <f>-M48/Balanço!M36</f>
        <v>6.0202904665492239E-2</v>
      </c>
      <c r="N49" s="457">
        <f>-N48/Balanço!N36</f>
        <v>0.10228476763040971</v>
      </c>
      <c r="O49" s="457">
        <f>-O48/Balanço!O36</f>
        <v>7.22307247904483E-2</v>
      </c>
      <c r="P49" s="457">
        <f>-P48/Balanço!P36</f>
        <v>6.1520187084720179E-2</v>
      </c>
      <c r="Q49" s="464">
        <f>AVERAGE(F49:P49)</f>
        <v>7.5206339519022516E-2</v>
      </c>
      <c r="R49" s="474">
        <f>$Q$49</f>
        <v>7.5206339519022516E-2</v>
      </c>
      <c r="S49" s="474">
        <f>$Q$49</f>
        <v>7.5206339519022516E-2</v>
      </c>
      <c r="T49" s="474">
        <f>$Q$49</f>
        <v>7.5206339519022516E-2</v>
      </c>
      <c r="U49" s="474">
        <f>$Q$49</f>
        <v>7.5206339519022516E-2</v>
      </c>
      <c r="V49" s="474">
        <f>$Q$49</f>
        <v>7.5206339519022516E-2</v>
      </c>
      <c r="W49" s="56"/>
    </row>
    <row r="50" spans="2:24" s="49" customFormat="1" ht="16.5" customHeight="1">
      <c r="B50" s="234" t="s">
        <v>33</v>
      </c>
      <c r="C50" s="17">
        <v>4.4400000000000004</v>
      </c>
      <c r="D50" s="18">
        <v>3.92</v>
      </c>
      <c r="E50" s="18">
        <v>5.04</v>
      </c>
      <c r="F50" s="18">
        <v>4.8</v>
      </c>
      <c r="G50" s="18">
        <v>6.83</v>
      </c>
      <c r="H50" s="18">
        <v>14.73</v>
      </c>
      <c r="I50" s="18">
        <v>21.76</v>
      </c>
      <c r="J50" s="18">
        <v>-1.52</v>
      </c>
      <c r="K50" s="18">
        <v>-0.18</v>
      </c>
      <c r="L50" s="18">
        <v>2.71</v>
      </c>
      <c r="M50" s="18">
        <v>1.65</v>
      </c>
      <c r="N50" s="18">
        <v>3.39</v>
      </c>
      <c r="O50" s="18">
        <v>0</v>
      </c>
      <c r="P50" s="18">
        <v>0</v>
      </c>
      <c r="Q50" s="19">
        <f>AVERAGE(C50:P50)</f>
        <v>4.826428571428572</v>
      </c>
      <c r="R50" s="18"/>
      <c r="S50" s="18"/>
      <c r="T50" s="18"/>
      <c r="U50" s="18"/>
      <c r="W50" s="56"/>
    </row>
    <row r="51" spans="2:24" s="49" customFormat="1" ht="16.5" customHeight="1">
      <c r="B51" s="331"/>
      <c r="C51" s="2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3"/>
      <c r="R51" s="22"/>
      <c r="S51" s="22"/>
      <c r="T51" s="22"/>
      <c r="U51" s="22"/>
      <c r="W51" s="56"/>
    </row>
    <row r="52" spans="2:24" s="56" customFormat="1" ht="16.5" customHeight="1">
      <c r="B52" s="332" t="s">
        <v>39</v>
      </c>
      <c r="C52" s="21">
        <v>161.19999999999999</v>
      </c>
      <c r="D52" s="22">
        <v>162.54</v>
      </c>
      <c r="E52" s="22">
        <v>120.8</v>
      </c>
      <c r="F52" s="22">
        <v>118.66</v>
      </c>
      <c r="G52" s="22">
        <v>182.09</v>
      </c>
      <c r="H52" s="22">
        <v>226.03</v>
      </c>
      <c r="I52" s="22">
        <v>194.29</v>
      </c>
      <c r="J52" s="22">
        <v>290.83999999999997</v>
      </c>
      <c r="K52" s="22">
        <v>213.68</v>
      </c>
      <c r="L52" s="22">
        <v>504.27</v>
      </c>
      <c r="M52" s="22">
        <v>535.61</v>
      </c>
      <c r="N52" s="22">
        <v>709.11</v>
      </c>
      <c r="O52" s="22">
        <v>768.93</v>
      </c>
      <c r="P52" s="22">
        <v>902.59</v>
      </c>
      <c r="Q52" s="23"/>
      <c r="R52" s="22">
        <f>R46+R48</f>
        <v>770.00170360183984</v>
      </c>
      <c r="S52" s="22">
        <f>S46+S48</f>
        <v>449.63029319530989</v>
      </c>
      <c r="T52" s="22">
        <f>T46+T48</f>
        <v>584.62994860283106</v>
      </c>
      <c r="U52" s="22">
        <f>U46+U48</f>
        <v>595.77086072107329</v>
      </c>
      <c r="V52" s="22">
        <f>V46+V48</f>
        <v>584.12214623661248</v>
      </c>
      <c r="X52" s="49"/>
    </row>
    <row r="53" spans="2:24" s="49" customFormat="1" ht="16.5" customHeight="1">
      <c r="B53" s="331"/>
      <c r="C53" s="2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3"/>
      <c r="R53" s="22"/>
      <c r="S53" s="22"/>
      <c r="T53" s="22"/>
      <c r="U53" s="22"/>
      <c r="W53" s="56"/>
    </row>
    <row r="54" spans="2:24" s="49" customFormat="1" ht="16.5" customHeight="1">
      <c r="B54" s="234" t="s">
        <v>40</v>
      </c>
      <c r="C54" s="17">
        <v>-48.98</v>
      </c>
      <c r="D54" s="18">
        <v>-44.75</v>
      </c>
      <c r="E54" s="18">
        <v>-37.76</v>
      </c>
      <c r="F54" s="18">
        <v>-28.04</v>
      </c>
      <c r="G54" s="18">
        <v>-46.04</v>
      </c>
      <c r="H54" s="18">
        <v>-56.91</v>
      </c>
      <c r="I54" s="18">
        <v>-16.399999999999999</v>
      </c>
      <c r="J54" s="18">
        <v>-45.35</v>
      </c>
      <c r="K54" s="18">
        <v>-37.57</v>
      </c>
      <c r="L54" s="18">
        <v>-48.06</v>
      </c>
      <c r="M54" s="18">
        <v>-63.44</v>
      </c>
      <c r="N54" s="18">
        <v>-86.44</v>
      </c>
      <c r="O54" s="18">
        <v>-86.08</v>
      </c>
      <c r="P54" s="18">
        <v>-93.01</v>
      </c>
      <c r="Q54" s="19"/>
      <c r="R54" s="18">
        <f>-R52*R55</f>
        <v>-93.055345742365176</v>
      </c>
      <c r="S54" s="18">
        <f>-S52*S55</f>
        <v>-54.33819456997707</v>
      </c>
      <c r="T54" s="18">
        <f>-T52*T55</f>
        <v>-70.653015109053371</v>
      </c>
      <c r="U54" s="18">
        <f>-U52*U55</f>
        <v>-71.999403596505886</v>
      </c>
      <c r="V54" s="18">
        <f>-V52*V55</f>
        <v>-70.591646771118249</v>
      </c>
      <c r="W54" s="333"/>
    </row>
    <row r="55" spans="2:24" s="49" customFormat="1" ht="16.5" customHeight="1">
      <c r="B55" s="463" t="s">
        <v>120</v>
      </c>
      <c r="C55" s="457">
        <f>-C54/C52</f>
        <v>0.30384615384615382</v>
      </c>
      <c r="D55" s="457">
        <f t="shared" ref="D55:P55" si="5">-D54/D52</f>
        <v>0.27531684508428694</v>
      </c>
      <c r="E55" s="457">
        <f t="shared" si="5"/>
        <v>0.31258278145695362</v>
      </c>
      <c r="F55" s="457">
        <f t="shared" si="5"/>
        <v>0.23630541041631553</v>
      </c>
      <c r="G55" s="457">
        <f t="shared" si="5"/>
        <v>0.25284200120819372</v>
      </c>
      <c r="H55" s="457">
        <f t="shared" si="5"/>
        <v>0.25178073707030041</v>
      </c>
      <c r="I55" s="457">
        <f t="shared" si="5"/>
        <v>8.4409902722734048E-2</v>
      </c>
      <c r="J55" s="457">
        <f t="shared" si="5"/>
        <v>0.15592765781873197</v>
      </c>
      <c r="K55" s="457">
        <f t="shared" si="5"/>
        <v>0.17582366154998127</v>
      </c>
      <c r="L55" s="457">
        <f t="shared" si="5"/>
        <v>9.5306086025343573E-2</v>
      </c>
      <c r="M55" s="457">
        <f t="shared" si="5"/>
        <v>0.11844439050801889</v>
      </c>
      <c r="N55" s="457">
        <f t="shared" si="5"/>
        <v>0.12189928219881259</v>
      </c>
      <c r="O55" s="457">
        <f t="shared" si="5"/>
        <v>0.11194777157868727</v>
      </c>
      <c r="P55" s="457">
        <f t="shared" si="5"/>
        <v>0.1030478955007257</v>
      </c>
      <c r="Q55" s="464">
        <f>AVERAGE(I55:P55)</f>
        <v>0.12085083098787942</v>
      </c>
      <c r="R55" s="474">
        <f>$Q$55</f>
        <v>0.12085083098787942</v>
      </c>
      <c r="S55" s="474">
        <f>$Q$55</f>
        <v>0.12085083098787942</v>
      </c>
      <c r="T55" s="474">
        <f>$Q$55</f>
        <v>0.12085083098787942</v>
      </c>
      <c r="U55" s="474">
        <f>$Q$55</f>
        <v>0.12085083098787942</v>
      </c>
      <c r="V55" s="474">
        <f>$Q$55</f>
        <v>0.12085083098787942</v>
      </c>
      <c r="W55" s="56"/>
    </row>
    <row r="56" spans="2:24" s="49" customFormat="1" ht="16.5" customHeight="1">
      <c r="B56" s="332" t="s">
        <v>41</v>
      </c>
      <c r="C56" s="378">
        <v>112.22</v>
      </c>
      <c r="D56" s="379">
        <v>117.79</v>
      </c>
      <c r="E56" s="379">
        <v>83.04</v>
      </c>
      <c r="F56" s="379">
        <v>90.62</v>
      </c>
      <c r="G56" s="379">
        <v>136.05000000000001</v>
      </c>
      <c r="H56" s="379">
        <v>169.13</v>
      </c>
      <c r="I56" s="379">
        <v>177.89</v>
      </c>
      <c r="J56" s="379">
        <v>245.49</v>
      </c>
      <c r="K56" s="379">
        <v>176.11</v>
      </c>
      <c r="L56" s="379">
        <v>456.21</v>
      </c>
      <c r="M56" s="379">
        <v>472.17</v>
      </c>
      <c r="N56" s="379">
        <v>622.66999999999996</v>
      </c>
      <c r="O56" s="379">
        <v>682.85</v>
      </c>
      <c r="P56" s="379">
        <v>809.58</v>
      </c>
      <c r="Q56" s="19"/>
      <c r="R56" s="379">
        <f>R52+R54</f>
        <v>676.94635785947469</v>
      </c>
      <c r="S56" s="379">
        <f>S52+S54</f>
        <v>395.29209862533281</v>
      </c>
      <c r="T56" s="379">
        <f>T52+T54</f>
        <v>513.97693349377766</v>
      </c>
      <c r="U56" s="379">
        <f>U52+U54</f>
        <v>523.77145712456741</v>
      </c>
      <c r="V56" s="379">
        <f>V52+V54</f>
        <v>513.53049946549424</v>
      </c>
      <c r="W56" s="56"/>
    </row>
    <row r="57" spans="2:24" s="49" customFormat="1" ht="16.5" customHeight="1">
      <c r="B57" s="463" t="s">
        <v>371</v>
      </c>
      <c r="C57" s="611">
        <f>C56/C11</f>
        <v>0.19300689678895136</v>
      </c>
      <c r="D57" s="611">
        <f t="shared" ref="D57:P57" si="6">D56/D11</f>
        <v>0.16254070762267486</v>
      </c>
      <c r="E57" s="611">
        <f t="shared" si="6"/>
        <v>8.7627288555901447E-2</v>
      </c>
      <c r="F57" s="611">
        <f t="shared" si="6"/>
        <v>8.4784296847955257E-2</v>
      </c>
      <c r="G57" s="611">
        <f t="shared" si="6"/>
        <v>0.10586312881764777</v>
      </c>
      <c r="H57" s="611">
        <f t="shared" si="6"/>
        <v>0.12848406578797433</v>
      </c>
      <c r="I57" s="611">
        <f t="shared" si="6"/>
        <v>0.13933469621135575</v>
      </c>
      <c r="J57" s="611">
        <f t="shared" si="6"/>
        <v>0.15868265408357843</v>
      </c>
      <c r="K57" s="611">
        <f t="shared" si="6"/>
        <v>0.10668484022414056</v>
      </c>
      <c r="L57" s="611">
        <f t="shared" si="6"/>
        <v>0.24967846803014465</v>
      </c>
      <c r="M57" s="611">
        <f t="shared" si="6"/>
        <v>0.27828890368894732</v>
      </c>
      <c r="N57" s="611">
        <f t="shared" si="6"/>
        <v>0.34143225311180564</v>
      </c>
      <c r="O57" s="611">
        <f t="shared" si="6"/>
        <v>0.39453993933265924</v>
      </c>
      <c r="P57" s="611">
        <f t="shared" si="6"/>
        <v>0.46060102636459838</v>
      </c>
      <c r="Q57" s="19"/>
      <c r="R57" s="379"/>
      <c r="S57" s="379"/>
      <c r="T57" s="379"/>
      <c r="U57" s="379"/>
      <c r="V57" s="379"/>
      <c r="W57" s="56"/>
    </row>
    <row r="58" spans="2:24" s="49" customFormat="1" ht="16.5" customHeight="1">
      <c r="B58" s="331"/>
      <c r="C58" s="2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3"/>
      <c r="R58" s="22"/>
      <c r="S58" s="22"/>
      <c r="T58" s="22"/>
      <c r="U58" s="22"/>
      <c r="W58" s="56"/>
    </row>
    <row r="59" spans="2:24" ht="16.5" customHeight="1">
      <c r="B59" s="334" t="s">
        <v>113</v>
      </c>
      <c r="C59" s="100"/>
      <c r="D59" s="101"/>
      <c r="E59" s="101"/>
      <c r="F59" s="101"/>
      <c r="H59" s="101">
        <v>0.04</v>
      </c>
      <c r="I59" s="101">
        <v>0.04</v>
      </c>
      <c r="J59" s="101">
        <v>0.04</v>
      </c>
      <c r="K59" s="101">
        <v>0.05</v>
      </c>
      <c r="L59" s="101">
        <v>0.05</v>
      </c>
      <c r="M59" s="101">
        <v>0.06</v>
      </c>
      <c r="N59" s="101">
        <v>7.0000000000000007E-2</v>
      </c>
      <c r="O59" s="101">
        <v>0.08</v>
      </c>
      <c r="P59" s="101">
        <v>0.08</v>
      </c>
      <c r="R59" s="110">
        <v>0.09</v>
      </c>
    </row>
    <row r="63" spans="2:24" ht="16.5" customHeight="1">
      <c r="C63" s="113"/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</row>
    <row r="64" spans="2:24" ht="16.5" customHeight="1">
      <c r="C64" s="114"/>
      <c r="D64" s="114"/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14"/>
      <c r="P64" s="114"/>
      <c r="Q64" s="114"/>
      <c r="R64" s="114"/>
      <c r="S64" s="114"/>
      <c r="T64" s="114"/>
      <c r="U64" s="114"/>
      <c r="V64" s="114"/>
    </row>
    <row r="65" spans="3:22" ht="16.5" customHeight="1"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</row>
    <row r="66" spans="3:22" ht="16.5" customHeight="1"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</row>
    <row r="67" spans="3:22" ht="16.5" customHeight="1"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</row>
    <row r="68" spans="3:22" ht="16.5" customHeight="1"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</row>
    <row r="69" spans="3:22" ht="16.5" customHeight="1"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</row>
  </sheetData>
  <conditionalFormatting sqref="C53:G53">
    <cfRule type="cellIs" dxfId="12" priority="37" stopIfTrue="1" operator="equal">
      <formula>0</formula>
    </cfRule>
  </conditionalFormatting>
  <conditionalFormatting sqref="H53">
    <cfRule type="cellIs" dxfId="11" priority="34" stopIfTrue="1" operator="equal">
      <formula>0</formula>
    </cfRule>
  </conditionalFormatting>
  <conditionalFormatting sqref="J53">
    <cfRule type="cellIs" dxfId="10" priority="33" stopIfTrue="1" operator="equal">
      <formula>0</formula>
    </cfRule>
  </conditionalFormatting>
  <conditionalFormatting sqref="I53">
    <cfRule type="cellIs" dxfId="9" priority="32" stopIfTrue="1" operator="equal">
      <formula>0</formula>
    </cfRule>
  </conditionalFormatting>
  <conditionalFormatting sqref="J53">
    <cfRule type="cellIs" dxfId="8" priority="31" stopIfTrue="1" operator="equal">
      <formula>0</formula>
    </cfRule>
  </conditionalFormatting>
  <conditionalFormatting sqref="L53">
    <cfRule type="cellIs" dxfId="7" priority="30" stopIfTrue="1" operator="equal">
      <formula>0</formula>
    </cfRule>
  </conditionalFormatting>
  <conditionalFormatting sqref="K53">
    <cfRule type="cellIs" dxfId="6" priority="28" stopIfTrue="1" operator="equal">
      <formula>0</formula>
    </cfRule>
  </conditionalFormatting>
  <conditionalFormatting sqref="K53">
    <cfRule type="cellIs" dxfId="5" priority="29" stopIfTrue="1" operator="equal">
      <formula>0</formula>
    </cfRule>
  </conditionalFormatting>
  <conditionalFormatting sqref="L53">
    <cfRule type="cellIs" dxfId="4" priority="26" stopIfTrue="1" operator="equal">
      <formula>0</formula>
    </cfRule>
  </conditionalFormatting>
  <conditionalFormatting sqref="L53">
    <cfRule type="cellIs" dxfId="3" priority="27" stopIfTrue="1" operator="equal">
      <formula>0</formula>
    </cfRule>
  </conditionalFormatting>
  <conditionalFormatting sqref="M53">
    <cfRule type="cellIs" dxfId="2" priority="23" stopIfTrue="1" operator="equal">
      <formula>0</formula>
    </cfRule>
  </conditionalFormatting>
  <conditionalFormatting sqref="M53">
    <cfRule type="cellIs" dxfId="1" priority="21" stopIfTrue="1" operator="equal">
      <formula>0</formula>
    </cfRule>
  </conditionalFormatting>
  <conditionalFormatting sqref="M53">
    <cfRule type="cellIs" dxfId="0" priority="22" stopIfTrue="1" operator="equal">
      <formula>0</formula>
    </cfRule>
  </conditionalFormatting>
  <pageMargins left="0.59055118110236227" right="0.59055118110236227" top="0.78740157480314965" bottom="0" header="0.39370078740157483" footer="0.39370078740157483"/>
  <pageSetup paperSize="9" scale="50" orientation="landscape" r:id="rId1"/>
  <headerFooter>
    <oddHeader>&amp;C&amp;"Calibri,Regular"&amp;16&amp;A</oddHeader>
  </headerFooter>
  <customProperties>
    <customPr name="Epm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8"/>
  </sheetPr>
  <dimension ref="B1:AA108"/>
  <sheetViews>
    <sheetView showGridLines="0" view="pageBreakPreview" zoomScale="55" zoomScaleNormal="70" zoomScaleSheetLayoutView="55" zoomScalePageLayoutView="85" workbookViewId="0">
      <selection activeCell="Q18" sqref="Q18"/>
    </sheetView>
  </sheetViews>
  <sheetFormatPr defaultColWidth="9.1796875" defaultRowHeight="16.5" customHeight="1"/>
  <cols>
    <col min="1" max="1" width="3.1796875" style="25" customWidth="1"/>
    <col min="2" max="2" width="58.54296875" style="25" customWidth="1"/>
    <col min="3" max="21" width="10.54296875" style="25" customWidth="1"/>
    <col min="22" max="22" width="3.1796875" style="25" customWidth="1"/>
    <col min="23" max="23" width="3.1796875" style="145" customWidth="1"/>
    <col min="24" max="31" width="10.54296875" style="25" customWidth="1"/>
    <col min="32" max="16384" width="9.1796875" style="25"/>
  </cols>
  <sheetData>
    <row r="1" spans="2:23" ht="15.75" customHeight="1"/>
    <row r="2" spans="2:23" ht="16.5" customHeight="1">
      <c r="B2" s="340" t="s">
        <v>43</v>
      </c>
      <c r="C2" s="336">
        <v>2008</v>
      </c>
      <c r="D2" s="336">
        <v>2009</v>
      </c>
      <c r="E2" s="336">
        <v>2010</v>
      </c>
      <c r="F2" s="337">
        <v>2011</v>
      </c>
      <c r="G2" s="337">
        <v>2012</v>
      </c>
      <c r="H2" s="337">
        <v>2013</v>
      </c>
      <c r="I2" s="337">
        <v>2014</v>
      </c>
      <c r="J2" s="337">
        <v>2015</v>
      </c>
      <c r="K2" s="337">
        <v>2016</v>
      </c>
      <c r="L2" s="337">
        <v>2017</v>
      </c>
      <c r="M2" s="337">
        <v>2018</v>
      </c>
      <c r="N2" s="337">
        <v>2019</v>
      </c>
      <c r="O2" s="335">
        <v>2020</v>
      </c>
      <c r="P2" s="335">
        <v>2021</v>
      </c>
      <c r="Q2" s="335">
        <v>2022</v>
      </c>
      <c r="R2" s="335">
        <v>2023</v>
      </c>
      <c r="S2" s="335">
        <v>2024</v>
      </c>
      <c r="T2" s="335">
        <v>2025</v>
      </c>
      <c r="U2" s="335">
        <v>2026</v>
      </c>
      <c r="W2" s="12"/>
    </row>
    <row r="3" spans="2:23" ht="16.5" customHeight="1">
      <c r="B3" s="121"/>
      <c r="C3" s="26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8"/>
      <c r="W3" s="120"/>
    </row>
    <row r="4" spans="2:23" s="49" customFormat="1" ht="16.5" customHeight="1">
      <c r="B4" s="146" t="s">
        <v>44</v>
      </c>
      <c r="C4" s="48">
        <v>7052.78</v>
      </c>
      <c r="D4" s="49">
        <v>8635.01</v>
      </c>
      <c r="E4" s="49">
        <v>9981.77</v>
      </c>
      <c r="F4" s="49">
        <v>10454.620000000001</v>
      </c>
      <c r="G4" s="49">
        <v>10536.91</v>
      </c>
      <c r="H4" s="49">
        <v>10095.459999999999</v>
      </c>
      <c r="I4" s="49">
        <v>11012.98</v>
      </c>
      <c r="J4" s="49">
        <v>12612.45</v>
      </c>
      <c r="K4" s="49">
        <v>13437.37</v>
      </c>
      <c r="L4" s="49">
        <v>13185.2</v>
      </c>
      <c r="M4" s="49">
        <v>13921.79</v>
      </c>
      <c r="N4" s="49">
        <v>13263.86</v>
      </c>
      <c r="O4" s="49">
        <v>13491.72</v>
      </c>
      <c r="P4" s="49">
        <v>14562.3</v>
      </c>
      <c r="Q4" s="50">
        <f>'OV Balanço'!Q22</f>
        <v>16454.218249714573</v>
      </c>
      <c r="R4" s="50">
        <f>'OV Balanço'!R22</f>
        <v>17118.755233761149</v>
      </c>
      <c r="S4" s="50">
        <f>'OV Balanço'!S22</f>
        <v>17754.535373834166</v>
      </c>
      <c r="T4" s="50">
        <f>'OV Balanço'!T22</f>
        <v>18362.803079342233</v>
      </c>
      <c r="U4" s="50">
        <f>'OV Balanço'!U22</f>
        <v>18944.748909738191</v>
      </c>
      <c r="V4" s="152"/>
      <c r="W4" s="56"/>
    </row>
    <row r="5" spans="2:23" s="49" customFormat="1" ht="16.5" customHeight="1">
      <c r="B5" s="146" t="s">
        <v>45</v>
      </c>
      <c r="C5" s="48">
        <v>0</v>
      </c>
      <c r="D5" s="49">
        <v>0</v>
      </c>
      <c r="E5" s="49">
        <v>0</v>
      </c>
      <c r="F5" s="49">
        <v>0</v>
      </c>
      <c r="G5" s="49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615.96</v>
      </c>
      <c r="O5" s="49">
        <v>674.05</v>
      </c>
      <c r="P5" s="49">
        <v>668.79</v>
      </c>
      <c r="Q5" s="50"/>
      <c r="V5" s="153"/>
      <c r="W5" s="56"/>
    </row>
    <row r="6" spans="2:23" s="49" customFormat="1" ht="16.5" customHeight="1">
      <c r="B6" s="146" t="s">
        <v>46</v>
      </c>
      <c r="C6" s="48">
        <v>1394.8</v>
      </c>
      <c r="D6" s="49">
        <v>1335.7</v>
      </c>
      <c r="E6" s="49">
        <v>1366.73</v>
      </c>
      <c r="F6" s="49">
        <v>1333.66</v>
      </c>
      <c r="G6" s="49">
        <v>1326.84</v>
      </c>
      <c r="H6" s="49">
        <v>1301.43</v>
      </c>
      <c r="I6" s="49">
        <v>1405.42</v>
      </c>
      <c r="J6" s="49">
        <v>1534.15</v>
      </c>
      <c r="K6" s="49">
        <v>1595.68</v>
      </c>
      <c r="L6" s="49">
        <v>1545.74</v>
      </c>
      <c r="M6" s="49">
        <v>1577.21</v>
      </c>
      <c r="N6" s="49">
        <v>1489.53</v>
      </c>
      <c r="O6" s="49">
        <v>1536.89</v>
      </c>
      <c r="P6" s="49">
        <v>1584.44</v>
      </c>
      <c r="Q6" s="50"/>
      <c r="V6" s="152"/>
      <c r="W6" s="56"/>
    </row>
    <row r="7" spans="2:23" s="49" customFormat="1" ht="16.5" customHeight="1">
      <c r="B7" s="146" t="s">
        <v>47</v>
      </c>
      <c r="C7" s="48">
        <v>53.28</v>
      </c>
      <c r="D7" s="49">
        <v>60.24</v>
      </c>
      <c r="E7" s="49">
        <v>64.25</v>
      </c>
      <c r="F7" s="49">
        <v>61</v>
      </c>
      <c r="G7" s="49">
        <v>56.88</v>
      </c>
      <c r="H7" s="49">
        <v>346.08</v>
      </c>
      <c r="I7" s="49">
        <v>376.13</v>
      </c>
      <c r="J7" s="49">
        <v>340.06</v>
      </c>
      <c r="K7" s="49">
        <v>348.36</v>
      </c>
      <c r="L7" s="49">
        <v>312.10000000000002</v>
      </c>
      <c r="M7" s="49">
        <v>357.16</v>
      </c>
      <c r="N7" s="49">
        <v>476.15</v>
      </c>
      <c r="O7" s="49">
        <v>488.2</v>
      </c>
      <c r="P7" s="49">
        <v>1003.4</v>
      </c>
      <c r="Q7" s="50"/>
      <c r="V7" s="153"/>
      <c r="W7" s="56"/>
    </row>
    <row r="8" spans="2:23" s="49" customFormat="1" ht="16.5" customHeight="1">
      <c r="B8" s="146" t="s">
        <v>48</v>
      </c>
      <c r="C8" s="48">
        <v>21.83</v>
      </c>
      <c r="D8" s="49">
        <v>28.07</v>
      </c>
      <c r="E8" s="49">
        <v>38.520000000000003</v>
      </c>
      <c r="F8" s="49">
        <v>55.56</v>
      </c>
      <c r="G8" s="49">
        <v>89.38</v>
      </c>
      <c r="H8" s="49">
        <v>109.21</v>
      </c>
      <c r="I8" s="49">
        <v>46.49</v>
      </c>
      <c r="J8" s="49">
        <v>47.09</v>
      </c>
      <c r="K8" s="49">
        <v>75.84</v>
      </c>
      <c r="L8" s="49">
        <v>64.48</v>
      </c>
      <c r="M8" s="49">
        <v>174.49</v>
      </c>
      <c r="N8" s="49">
        <v>126.17</v>
      </c>
      <c r="O8" s="49">
        <v>122.17</v>
      </c>
      <c r="P8" s="49">
        <v>331.8</v>
      </c>
      <c r="Q8" s="50"/>
      <c r="V8" s="153"/>
      <c r="W8" s="56"/>
    </row>
    <row r="9" spans="2:23" s="49" customFormat="1" ht="16.5" customHeight="1">
      <c r="B9" s="146" t="s">
        <v>49</v>
      </c>
      <c r="C9" s="48">
        <v>12.38</v>
      </c>
      <c r="D9" s="49">
        <v>11.34</v>
      </c>
      <c r="E9" s="49">
        <v>24.16</v>
      </c>
      <c r="F9" s="49">
        <v>23.75</v>
      </c>
      <c r="G9" s="49">
        <v>16.21</v>
      </c>
      <c r="H9" s="49">
        <v>15.42</v>
      </c>
      <c r="I9" s="49">
        <v>21.32</v>
      </c>
      <c r="J9" s="49">
        <v>22.76</v>
      </c>
      <c r="K9" s="49">
        <v>23.9</v>
      </c>
      <c r="L9" s="49">
        <v>28.56</v>
      </c>
      <c r="M9" s="49">
        <v>35.630000000000003</v>
      </c>
      <c r="N9" s="49">
        <v>34.08</v>
      </c>
      <c r="O9" s="49">
        <v>54.53</v>
      </c>
      <c r="P9" s="49">
        <v>62.27</v>
      </c>
      <c r="Q9" s="50"/>
      <c r="V9" s="152"/>
      <c r="W9" s="56"/>
    </row>
    <row r="10" spans="2:23" s="49" customFormat="1" ht="16.5" customHeight="1">
      <c r="B10" s="146" t="s">
        <v>50</v>
      </c>
      <c r="C10" s="48">
        <v>82.6</v>
      </c>
      <c r="D10" s="49">
        <v>106.15</v>
      </c>
      <c r="E10" s="49">
        <v>143.65</v>
      </c>
      <c r="F10" s="49">
        <v>146.11000000000001</v>
      </c>
      <c r="G10" s="49">
        <v>180.26</v>
      </c>
      <c r="H10" s="49">
        <v>202.26</v>
      </c>
      <c r="I10" s="49">
        <v>146.02000000000001</v>
      </c>
      <c r="J10" s="49">
        <v>221.54</v>
      </c>
      <c r="K10" s="49">
        <v>265.94</v>
      </c>
      <c r="L10" s="49">
        <v>363.65</v>
      </c>
      <c r="M10" s="49">
        <v>334.29</v>
      </c>
      <c r="N10" s="49">
        <v>303.01</v>
      </c>
      <c r="O10" s="49">
        <v>279.02999999999997</v>
      </c>
      <c r="P10" s="49">
        <v>498.23</v>
      </c>
      <c r="Q10" s="50"/>
      <c r="V10" s="153"/>
      <c r="W10" s="56"/>
    </row>
    <row r="11" spans="2:23" s="49" customFormat="1" ht="16.5" customHeight="1">
      <c r="B11" s="146" t="s">
        <v>51</v>
      </c>
      <c r="C11" s="48">
        <v>512.45000000000005</v>
      </c>
      <c r="D11" s="49">
        <v>636.57000000000005</v>
      </c>
      <c r="E11" s="49">
        <v>756.62</v>
      </c>
      <c r="F11" s="49">
        <v>750.1</v>
      </c>
      <c r="G11" s="49">
        <v>800.13</v>
      </c>
      <c r="H11" s="49">
        <v>654.67999999999995</v>
      </c>
      <c r="I11" s="49">
        <v>858.6</v>
      </c>
      <c r="J11" s="49">
        <v>338.33</v>
      </c>
      <c r="K11" s="49">
        <v>338.1</v>
      </c>
      <c r="L11" s="49">
        <v>235.08</v>
      </c>
      <c r="M11" s="49">
        <v>540.39</v>
      </c>
      <c r="N11" s="49">
        <v>556.1</v>
      </c>
      <c r="O11" s="49">
        <v>998.67</v>
      </c>
      <c r="P11" s="49">
        <v>1771.52</v>
      </c>
      <c r="Q11" s="50"/>
      <c r="V11" s="152"/>
      <c r="W11" s="56"/>
    </row>
    <row r="12" spans="2:23" s="49" customFormat="1" ht="16.5" customHeight="1">
      <c r="B12" s="146" t="s">
        <v>52</v>
      </c>
      <c r="C12" s="48">
        <v>35.770000000000003</v>
      </c>
      <c r="D12" s="49">
        <v>37.1</v>
      </c>
      <c r="E12" s="49">
        <v>35.74</v>
      </c>
      <c r="F12" s="38">
        <v>0.21</v>
      </c>
      <c r="G12" s="38">
        <v>0.39</v>
      </c>
      <c r="H12" s="38">
        <v>0.08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50"/>
      <c r="V12" s="153"/>
      <c r="W12" s="56"/>
    </row>
    <row r="13" spans="2:23" s="49" customFormat="1" ht="16.5" customHeight="1">
      <c r="B13" s="146" t="s">
        <v>53</v>
      </c>
      <c r="C13" s="48">
        <v>0.98</v>
      </c>
      <c r="D13" s="49">
        <v>0</v>
      </c>
      <c r="E13" s="68">
        <v>0</v>
      </c>
      <c r="F13" s="49">
        <v>0</v>
      </c>
      <c r="G13" s="49">
        <v>0</v>
      </c>
      <c r="H13" s="49">
        <v>0</v>
      </c>
      <c r="I13" s="49">
        <v>0</v>
      </c>
      <c r="J13" s="49">
        <v>109.69</v>
      </c>
      <c r="K13" s="49">
        <v>0</v>
      </c>
      <c r="L13" s="49">
        <v>58.18</v>
      </c>
      <c r="M13" s="49">
        <v>7.55</v>
      </c>
      <c r="N13" s="49">
        <v>214.19</v>
      </c>
      <c r="O13" s="49">
        <v>12.31</v>
      </c>
      <c r="P13" s="49">
        <v>495.92</v>
      </c>
      <c r="Q13" s="50"/>
      <c r="V13" s="152"/>
      <c r="W13" s="56"/>
    </row>
    <row r="14" spans="2:23" s="49" customFormat="1" ht="16.5" customHeight="1">
      <c r="B14" s="146" t="s">
        <v>54</v>
      </c>
      <c r="C14" s="48">
        <v>0</v>
      </c>
      <c r="D14" s="49">
        <v>0</v>
      </c>
      <c r="E14" s="49">
        <v>0</v>
      </c>
      <c r="F14" s="49">
        <v>0</v>
      </c>
      <c r="G14" s="49">
        <v>49.14</v>
      </c>
      <c r="H14" s="49">
        <v>78.260000000000005</v>
      </c>
      <c r="I14" s="49">
        <v>80.739999999999995</v>
      </c>
      <c r="J14" s="49">
        <v>73.349999999999994</v>
      </c>
      <c r="K14" s="49">
        <v>46.05</v>
      </c>
      <c r="L14" s="49">
        <v>42.75</v>
      </c>
      <c r="M14" s="49">
        <v>38.65</v>
      </c>
      <c r="N14" s="49">
        <v>31.84</v>
      </c>
      <c r="O14" s="49">
        <v>30.61</v>
      </c>
      <c r="P14" s="49">
        <v>49.1</v>
      </c>
      <c r="Q14" s="50"/>
      <c r="V14" s="153"/>
      <c r="W14" s="56"/>
    </row>
    <row r="15" spans="2:23" s="49" customFormat="1" ht="16.5" customHeight="1">
      <c r="B15" s="146" t="s">
        <v>55</v>
      </c>
      <c r="C15" s="48">
        <v>229.68</v>
      </c>
      <c r="D15" s="49">
        <v>443.63</v>
      </c>
      <c r="E15" s="49">
        <v>423.7</v>
      </c>
      <c r="F15" s="49">
        <v>219.92</v>
      </c>
      <c r="G15" s="49">
        <v>245.84</v>
      </c>
      <c r="H15" s="49">
        <v>255.46</v>
      </c>
      <c r="I15" s="49">
        <v>368.62</v>
      </c>
      <c r="J15" s="49">
        <v>436.73</v>
      </c>
      <c r="K15" s="49">
        <v>603.22</v>
      </c>
      <c r="L15" s="49">
        <v>388.06</v>
      </c>
      <c r="M15" s="49">
        <v>551.54</v>
      </c>
      <c r="N15" s="49">
        <v>581.76</v>
      </c>
      <c r="O15" s="49">
        <v>474.38</v>
      </c>
      <c r="P15" s="49">
        <v>1003.78</v>
      </c>
      <c r="Q15" s="50">
        <f>$P$15</f>
        <v>1003.78</v>
      </c>
      <c r="R15" s="50">
        <f t="shared" ref="R15:U15" si="0">$P$15</f>
        <v>1003.78</v>
      </c>
      <c r="S15" s="50">
        <f t="shared" si="0"/>
        <v>1003.78</v>
      </c>
      <c r="T15" s="50">
        <f t="shared" si="0"/>
        <v>1003.78</v>
      </c>
      <c r="U15" s="50">
        <f t="shared" si="0"/>
        <v>1003.78</v>
      </c>
      <c r="V15" s="154"/>
      <c r="W15" s="56"/>
    </row>
    <row r="16" spans="2:23" s="49" customFormat="1" ht="16.5" customHeight="1">
      <c r="B16" s="448" t="s">
        <v>111</v>
      </c>
      <c r="Q16" s="467">
        <f>AVERAGE($D$18:$O$18)</f>
        <v>9.6219483516649926E-2</v>
      </c>
      <c r="R16" s="467">
        <f>AVERAGE($D$18:$O$18)</f>
        <v>9.6219483516649926E-2</v>
      </c>
      <c r="S16" s="467">
        <f>AVERAGE($D$18:$O$18)</f>
        <v>9.6219483516649926E-2</v>
      </c>
      <c r="T16" s="467">
        <f>AVERAGE($D$18:$O$18)</f>
        <v>9.6219483516649926E-2</v>
      </c>
      <c r="U16" s="467">
        <f>AVERAGE($D$18:$O$18)</f>
        <v>9.6219483516649926E-2</v>
      </c>
      <c r="V16" s="154"/>
      <c r="W16" s="56"/>
    </row>
    <row r="17" spans="2:27" s="49" customFormat="1" ht="16.5" customHeight="1">
      <c r="B17" s="164" t="s">
        <v>101</v>
      </c>
      <c r="C17" s="399">
        <f t="shared" ref="C17:P17" si="1">C15+C14+C13+C12+C11+C10+C9+C8+C7</f>
        <v>948.97000000000014</v>
      </c>
      <c r="D17" s="399">
        <f t="shared" si="1"/>
        <v>1323.1000000000001</v>
      </c>
      <c r="E17" s="399">
        <f t="shared" si="1"/>
        <v>1486.64</v>
      </c>
      <c r="F17" s="399">
        <f t="shared" si="1"/>
        <v>1256.6500000000001</v>
      </c>
      <c r="G17" s="399">
        <f t="shared" si="1"/>
        <v>1438.23</v>
      </c>
      <c r="H17" s="399">
        <f t="shared" si="1"/>
        <v>1661.45</v>
      </c>
      <c r="I17" s="399">
        <f t="shared" si="1"/>
        <v>1897.92</v>
      </c>
      <c r="J17" s="399">
        <f t="shared" si="1"/>
        <v>1589.5499999999997</v>
      </c>
      <c r="K17" s="399">
        <f t="shared" si="1"/>
        <v>1701.4099999999999</v>
      </c>
      <c r="L17" s="399">
        <f t="shared" si="1"/>
        <v>1492.8600000000001</v>
      </c>
      <c r="M17" s="399">
        <f t="shared" si="1"/>
        <v>2039.7</v>
      </c>
      <c r="N17" s="399">
        <f t="shared" si="1"/>
        <v>2323.2999999999997</v>
      </c>
      <c r="O17" s="399">
        <f t="shared" si="1"/>
        <v>2459.8999999999996</v>
      </c>
      <c r="P17" s="399">
        <f t="shared" si="1"/>
        <v>5216.0199999999995</v>
      </c>
      <c r="Q17" s="468">
        <f>(P17-Q15)*(1+Q18)+Q15</f>
        <v>5621.3195572481727</v>
      </c>
      <c r="R17" s="468">
        <f t="shared" ref="R17:T17" si="2">(Q17-R15)*(1+R18)+R15</f>
        <v>6065.6168285642925</v>
      </c>
      <c r="S17" s="468">
        <f t="shared" si="2"/>
        <v>6552.6641538543054</v>
      </c>
      <c r="T17" s="468">
        <f t="shared" si="2"/>
        <v>7086.5749212318897</v>
      </c>
      <c r="U17" s="468">
        <f>(T17-U15)*(1+U18)+U15</f>
        <v>7671.8583068905227</v>
      </c>
      <c r="V17" s="154"/>
      <c r="W17" s="56"/>
    </row>
    <row r="18" spans="2:27" s="49" customFormat="1" ht="16.5" customHeight="1">
      <c r="B18" s="448" t="s">
        <v>111</v>
      </c>
      <c r="C18" s="399"/>
      <c r="D18" s="465">
        <f>D17/C17-1</f>
        <v>0.39424850100635411</v>
      </c>
      <c r="E18" s="465">
        <f t="shared" ref="E18:P18" si="3">E17/D17-1</f>
        <v>0.12360365807573115</v>
      </c>
      <c r="F18" s="465">
        <f t="shared" si="3"/>
        <v>-0.15470456869181515</v>
      </c>
      <c r="G18" s="465">
        <f t="shared" si="3"/>
        <v>0.14449528508335652</v>
      </c>
      <c r="H18" s="465">
        <f t="shared" si="3"/>
        <v>0.15520466128505173</v>
      </c>
      <c r="I18" s="465">
        <f t="shared" si="3"/>
        <v>0.14232748502813819</v>
      </c>
      <c r="J18" s="465">
        <f t="shared" si="3"/>
        <v>-0.16247787051087526</v>
      </c>
      <c r="K18" s="465">
        <f t="shared" si="3"/>
        <v>7.0372117895001862E-2</v>
      </c>
      <c r="L18" s="465">
        <f t="shared" si="3"/>
        <v>-0.12257480560241196</v>
      </c>
      <c r="M18" s="465">
        <f t="shared" si="3"/>
        <v>0.36630360516056415</v>
      </c>
      <c r="N18" s="465">
        <f t="shared" si="3"/>
        <v>0.13904005491003568</v>
      </c>
      <c r="O18" s="465">
        <f t="shared" si="3"/>
        <v>5.879567856066803E-2</v>
      </c>
      <c r="P18" s="465">
        <f t="shared" si="3"/>
        <v>1.1204195292491566</v>
      </c>
      <c r="Q18" s="467">
        <f>AVERAGE($D$18:$O$18)</f>
        <v>9.6219483516649926E-2</v>
      </c>
      <c r="R18" s="467">
        <f>AVERAGE($D$18:$O$18)</f>
        <v>9.6219483516649926E-2</v>
      </c>
      <c r="S18" s="467">
        <f>AVERAGE($D$18:$O$18)</f>
        <v>9.6219483516649926E-2</v>
      </c>
      <c r="T18" s="467">
        <f>AVERAGE($D$18:$O$18)</f>
        <v>9.6219483516649926E-2</v>
      </c>
      <c r="U18" s="467">
        <f>AVERAGE($D$18:$O$18)</f>
        <v>9.6219483516649926E-2</v>
      </c>
      <c r="V18" s="154"/>
      <c r="W18" s="56"/>
    </row>
    <row r="19" spans="2:27" s="49" customFormat="1" ht="16.5" customHeight="1">
      <c r="B19" s="164" t="s">
        <v>102</v>
      </c>
      <c r="C19" s="399">
        <f>C6+C5+C4</f>
        <v>8447.58</v>
      </c>
      <c r="D19" s="399">
        <f t="shared" ref="D19:P19" si="4">D6+D5+D4</f>
        <v>9970.7100000000009</v>
      </c>
      <c r="E19" s="399">
        <f t="shared" si="4"/>
        <v>11348.5</v>
      </c>
      <c r="F19" s="399">
        <f t="shared" si="4"/>
        <v>11788.28</v>
      </c>
      <c r="G19" s="399">
        <f t="shared" si="4"/>
        <v>11863.75</v>
      </c>
      <c r="H19" s="399">
        <f t="shared" si="4"/>
        <v>11396.89</v>
      </c>
      <c r="I19" s="399">
        <f t="shared" si="4"/>
        <v>12418.4</v>
      </c>
      <c r="J19" s="399">
        <f t="shared" si="4"/>
        <v>14146.6</v>
      </c>
      <c r="K19" s="399">
        <f t="shared" si="4"/>
        <v>15033.050000000001</v>
      </c>
      <c r="L19" s="399">
        <f t="shared" si="4"/>
        <v>14730.94</v>
      </c>
      <c r="M19" s="399">
        <f t="shared" si="4"/>
        <v>15499</v>
      </c>
      <c r="N19" s="399">
        <f t="shared" si="4"/>
        <v>15369.35</v>
      </c>
      <c r="O19" s="399">
        <f t="shared" si="4"/>
        <v>15702.66</v>
      </c>
      <c r="P19" s="399">
        <f t="shared" si="4"/>
        <v>16815.53</v>
      </c>
      <c r="Q19" s="468">
        <f>(P19-P4)*(1+Q20)+Q4</f>
        <v>18834.319428291714</v>
      </c>
      <c r="R19" s="468">
        <f>(Q19-Q4)*(1+R20)+R4</f>
        <v>19632.871245115646</v>
      </c>
      <c r="S19" s="468">
        <f>(R19-R4)*(1+S20)+S4</f>
        <v>20410.212105328286</v>
      </c>
      <c r="T19" s="468">
        <f>(S19-S4)*(1+T20)+T4</f>
        <v>21168.01129978535</v>
      </c>
      <c r="U19" s="468">
        <f>(T19-T4)*(1+U20)+U4</f>
        <v>21907.908192914318</v>
      </c>
      <c r="V19" s="154"/>
      <c r="W19" s="56"/>
    </row>
    <row r="20" spans="2:27" s="49" customFormat="1" ht="16.5" customHeight="1">
      <c r="B20" s="448" t="s">
        <v>111</v>
      </c>
      <c r="C20" s="399"/>
      <c r="D20" s="465">
        <f t="shared" ref="D20:P20" si="5">D19/C19-1</f>
        <v>0.18030370828095155</v>
      </c>
      <c r="E20" s="465">
        <f t="shared" si="5"/>
        <v>0.13818374017497237</v>
      </c>
      <c r="F20" s="465">
        <f t="shared" si="5"/>
        <v>3.875225800766624E-2</v>
      </c>
      <c r="G20" s="465">
        <f t="shared" si="5"/>
        <v>6.4021214290803652E-3</v>
      </c>
      <c r="H20" s="465">
        <f t="shared" si="5"/>
        <v>-3.9351806975029047E-2</v>
      </c>
      <c r="I20" s="465">
        <f t="shared" si="5"/>
        <v>8.963059220541747E-2</v>
      </c>
      <c r="J20" s="465">
        <f t="shared" si="5"/>
        <v>0.13916446563164353</v>
      </c>
      <c r="K20" s="465">
        <f t="shared" si="5"/>
        <v>6.2661699631006762E-2</v>
      </c>
      <c r="L20" s="465">
        <f t="shared" si="5"/>
        <v>-2.0096387625930912E-2</v>
      </c>
      <c r="M20" s="465">
        <f t="shared" si="5"/>
        <v>5.2139238908039731E-2</v>
      </c>
      <c r="N20" s="465">
        <f t="shared" si="5"/>
        <v>-8.3650558100522021E-3</v>
      </c>
      <c r="O20" s="465">
        <f t="shared" si="5"/>
        <v>2.1686668596915259E-2</v>
      </c>
      <c r="P20" s="465">
        <f t="shared" si="5"/>
        <v>7.0871431973945853E-2</v>
      </c>
      <c r="Q20" s="467">
        <f>AVERAGE($D$20:$P$20)</f>
        <v>5.6306359571432846E-2</v>
      </c>
      <c r="R20" s="467">
        <f>AVERAGE($D$20:$P$20)</f>
        <v>5.6306359571432846E-2</v>
      </c>
      <c r="S20" s="467">
        <f>AVERAGE($D$20:$P$20)</f>
        <v>5.6306359571432846E-2</v>
      </c>
      <c r="T20" s="467">
        <f>AVERAGE($D$20:$P$20)</f>
        <v>5.6306359571432846E-2</v>
      </c>
      <c r="U20" s="467">
        <f>AVERAGE($D$20:$P$20)</f>
        <v>5.6306359571432846E-2</v>
      </c>
      <c r="V20" s="154"/>
      <c r="W20" s="56"/>
    </row>
    <row r="21" spans="2:27" s="49" customFormat="1" ht="16.5" customHeight="1">
      <c r="B21" s="122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Q21" s="404"/>
      <c r="R21" s="384"/>
      <c r="S21" s="384"/>
      <c r="T21" s="384"/>
      <c r="U21" s="384"/>
      <c r="V21" s="153"/>
      <c r="W21" s="56"/>
    </row>
    <row r="22" spans="2:27" s="56" customFormat="1" ht="16.5" customHeight="1">
      <c r="B22" s="123" t="s">
        <v>56</v>
      </c>
      <c r="C22" s="124">
        <v>9396.56</v>
      </c>
      <c r="D22" s="125">
        <v>11293.81</v>
      </c>
      <c r="E22" s="125">
        <v>12835.15</v>
      </c>
      <c r="F22" s="125">
        <v>13044.93</v>
      </c>
      <c r="G22" s="125">
        <v>13301.97</v>
      </c>
      <c r="H22" s="125">
        <v>13058.35</v>
      </c>
      <c r="I22" s="125">
        <v>14316.32</v>
      </c>
      <c r="J22" s="125">
        <v>15736.16</v>
      </c>
      <c r="K22" s="125">
        <v>16734.47</v>
      </c>
      <c r="L22" s="125">
        <v>16223.8</v>
      </c>
      <c r="M22" s="125">
        <v>17538.71</v>
      </c>
      <c r="N22" s="125">
        <v>17692.650000000001</v>
      </c>
      <c r="O22" s="125">
        <v>18162.55</v>
      </c>
      <c r="P22" s="125">
        <v>22031.58</v>
      </c>
      <c r="Q22" s="469">
        <f>Q19+Q17</f>
        <v>24455.638985539888</v>
      </c>
      <c r="R22" s="469">
        <f>R19+R17</f>
        <v>25698.488073679939</v>
      </c>
      <c r="S22" s="469">
        <f>S19+S17</f>
        <v>26962.876259182591</v>
      </c>
      <c r="T22" s="469">
        <f>T19+T17</f>
        <v>28254.586221017242</v>
      </c>
      <c r="U22" s="469">
        <f>U19+U17</f>
        <v>29579.766499804842</v>
      </c>
      <c r="V22" s="153"/>
      <c r="X22" s="49"/>
      <c r="Y22" s="49"/>
      <c r="Z22" s="49"/>
      <c r="AA22" s="49"/>
    </row>
    <row r="23" spans="2:27" ht="16.5" customHeight="1"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152"/>
      <c r="W23" s="29"/>
    </row>
    <row r="24" spans="2:27" ht="16.5" customHeight="1">
      <c r="B24" s="340" t="s">
        <v>57</v>
      </c>
      <c r="C24" s="336">
        <v>2008</v>
      </c>
      <c r="D24" s="336">
        <v>2009</v>
      </c>
      <c r="E24" s="336">
        <v>2010</v>
      </c>
      <c r="F24" s="337">
        <v>2011</v>
      </c>
      <c r="G24" s="337">
        <v>2012</v>
      </c>
      <c r="H24" s="337">
        <v>2013</v>
      </c>
      <c r="I24" s="337">
        <v>2014</v>
      </c>
      <c r="J24" s="337">
        <v>2015</v>
      </c>
      <c r="K24" s="337">
        <v>2016</v>
      </c>
      <c r="L24" s="337">
        <v>2017</v>
      </c>
      <c r="M24" s="337">
        <v>2018</v>
      </c>
      <c r="N24" s="337">
        <v>2019</v>
      </c>
      <c r="O24" s="337">
        <v>2020</v>
      </c>
      <c r="P24" s="337">
        <v>2021</v>
      </c>
      <c r="Q24" s="335">
        <v>2022</v>
      </c>
      <c r="R24" s="337">
        <v>2023</v>
      </c>
      <c r="S24" s="335">
        <v>2024</v>
      </c>
      <c r="T24" s="337">
        <v>2025</v>
      </c>
      <c r="U24" s="335">
        <v>2026</v>
      </c>
      <c r="V24" s="153"/>
      <c r="W24" s="29"/>
    </row>
    <row r="25" spans="2:27" ht="16.5" customHeight="1">
      <c r="B25" s="127"/>
      <c r="C25" s="128"/>
      <c r="D25" s="32"/>
      <c r="E25" s="32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30"/>
      <c r="R25" s="32"/>
      <c r="S25" s="32"/>
      <c r="T25" s="32"/>
      <c r="U25" s="32"/>
      <c r="V25" s="152"/>
      <c r="W25" s="29"/>
    </row>
    <row r="26" spans="2:27" s="49" customFormat="1" ht="16.5" customHeight="1">
      <c r="B26" s="117" t="s">
        <v>58</v>
      </c>
      <c r="C26" s="48">
        <v>4913.58</v>
      </c>
      <c r="D26" s="49">
        <v>4913.58</v>
      </c>
      <c r="E26" s="49">
        <v>4913.58</v>
      </c>
      <c r="F26" s="49">
        <v>4913.58</v>
      </c>
      <c r="G26" s="49">
        <v>4913.58</v>
      </c>
      <c r="H26" s="49">
        <v>4913.58</v>
      </c>
      <c r="I26" s="49">
        <v>4913.58</v>
      </c>
      <c r="J26" s="49">
        <v>4913.58</v>
      </c>
      <c r="K26" s="49">
        <v>4913.58</v>
      </c>
      <c r="L26" s="49">
        <v>4913.58</v>
      </c>
      <c r="M26" s="49">
        <v>4913.58</v>
      </c>
      <c r="N26" s="49">
        <v>4913.58</v>
      </c>
      <c r="O26" s="49">
        <v>4913.58</v>
      </c>
      <c r="P26" s="49">
        <v>6401.8</v>
      </c>
      <c r="Q26" s="50"/>
      <c r="V26" s="153"/>
      <c r="W26" s="56"/>
    </row>
    <row r="27" spans="2:27" s="49" customFormat="1" ht="16.5" customHeight="1">
      <c r="B27" s="117" t="s">
        <v>59</v>
      </c>
      <c r="C27" s="48">
        <v>89.42</v>
      </c>
      <c r="D27" s="49">
        <v>192.14</v>
      </c>
      <c r="E27" s="49">
        <v>274.19</v>
      </c>
      <c r="F27" s="49">
        <v>324.99</v>
      </c>
      <c r="G27" s="49">
        <v>383.82</v>
      </c>
      <c r="H27" s="49">
        <v>622.57000000000005</v>
      </c>
      <c r="I27" s="49">
        <v>742.06</v>
      </c>
      <c r="J27" s="49">
        <v>890.81</v>
      </c>
      <c r="K27" s="49">
        <v>1155.06</v>
      </c>
      <c r="L27" s="49">
        <v>1145.51</v>
      </c>
      <c r="M27" s="49">
        <v>1282.07</v>
      </c>
      <c r="N27" s="49">
        <v>1584.14</v>
      </c>
      <c r="O27" s="49">
        <v>1878.29</v>
      </c>
      <c r="P27" s="49">
        <v>1709.63</v>
      </c>
      <c r="Q27" s="50"/>
      <c r="V27" s="152"/>
      <c r="W27" s="56"/>
    </row>
    <row r="28" spans="2:27" s="49" customFormat="1" ht="16.5" customHeight="1">
      <c r="B28" s="147" t="s">
        <v>60</v>
      </c>
      <c r="C28" s="48">
        <v>104.36</v>
      </c>
      <c r="D28" s="49">
        <v>114.35</v>
      </c>
      <c r="E28" s="49">
        <v>80.2</v>
      </c>
      <c r="F28" s="49">
        <v>88.6</v>
      </c>
      <c r="G28" s="49">
        <v>126.27</v>
      </c>
      <c r="H28" s="49">
        <v>135.12</v>
      </c>
      <c r="I28" s="49">
        <v>126.01</v>
      </c>
      <c r="J28" s="49">
        <v>166.61</v>
      </c>
      <c r="K28" s="49">
        <v>56.33</v>
      </c>
      <c r="L28" s="49">
        <v>275.89999999999998</v>
      </c>
      <c r="M28" s="49">
        <v>313.36</v>
      </c>
      <c r="N28" s="49">
        <v>475.13</v>
      </c>
      <c r="O28" s="49">
        <v>555.67999999999995</v>
      </c>
      <c r="P28" s="49">
        <v>655.44</v>
      </c>
      <c r="Q28" s="50"/>
      <c r="V28" s="153"/>
      <c r="W28" s="56"/>
    </row>
    <row r="29" spans="2:27" s="49" customFormat="1" ht="16.5" customHeight="1">
      <c r="B29" s="117" t="s">
        <v>42</v>
      </c>
      <c r="C29" s="48">
        <v>82.75</v>
      </c>
      <c r="D29" s="49">
        <v>107.49</v>
      </c>
      <c r="E29" s="49">
        <v>125.54</v>
      </c>
      <c r="F29" s="49">
        <v>126.56</v>
      </c>
      <c r="G29" s="49">
        <v>325.17</v>
      </c>
      <c r="H29" s="49">
        <v>418.06</v>
      </c>
      <c r="I29" s="49">
        <v>549.11</v>
      </c>
      <c r="J29" s="49">
        <v>863.11</v>
      </c>
      <c r="K29" s="49">
        <v>1448.05</v>
      </c>
      <c r="L29" s="49">
        <v>1560.18</v>
      </c>
      <c r="M29" s="49">
        <v>1613.39</v>
      </c>
      <c r="N29" s="49">
        <v>1361.86</v>
      </c>
      <c r="O29" s="49">
        <v>1276.28</v>
      </c>
      <c r="P29" s="49">
        <v>1408.03</v>
      </c>
      <c r="Q29" s="50"/>
      <c r="V29" s="155"/>
      <c r="W29" s="56"/>
    </row>
    <row r="30" spans="2:27" s="49" customFormat="1" ht="16.5" customHeight="1">
      <c r="B30" s="13"/>
      <c r="C30" s="132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Q30" s="50"/>
      <c r="V30" s="155"/>
      <c r="W30" s="56"/>
    </row>
    <row r="31" spans="2:27" s="49" customFormat="1" ht="16.5" customHeight="1">
      <c r="B31" s="134" t="s">
        <v>61</v>
      </c>
      <c r="C31" s="135">
        <v>5190.1099999999997</v>
      </c>
      <c r="D31" s="136">
        <v>5327.55</v>
      </c>
      <c r="E31" s="136">
        <v>5393.51</v>
      </c>
      <c r="F31" s="136">
        <v>5453.73</v>
      </c>
      <c r="G31" s="136">
        <v>5748.83</v>
      </c>
      <c r="H31" s="136">
        <v>6089.32</v>
      </c>
      <c r="I31" s="136">
        <v>6330.76</v>
      </c>
      <c r="J31" s="136">
        <v>6834.11</v>
      </c>
      <c r="K31" s="136">
        <v>7573.01</v>
      </c>
      <c r="L31" s="136">
        <v>7895.15</v>
      </c>
      <c r="M31" s="136">
        <v>8122.4</v>
      </c>
      <c r="N31" s="136">
        <v>8334.7000000000007</v>
      </c>
      <c r="O31" s="136">
        <v>8623.83</v>
      </c>
      <c r="P31" s="136">
        <v>10174.91</v>
      </c>
      <c r="Q31" s="137">
        <f>Q22-Q48</f>
        <v>11418.849269591898</v>
      </c>
      <c r="R31" s="137">
        <f>R22-R48</f>
        <v>11557.942588266544</v>
      </c>
      <c r="S31" s="137">
        <f>S22-S48</f>
        <v>11797.106892215859</v>
      </c>
      <c r="T31" s="137">
        <f>T22-T48</f>
        <v>11982.300212223705</v>
      </c>
      <c r="U31" s="137">
        <f>U22-U48</f>
        <v>12112.668849600221</v>
      </c>
      <c r="V31" s="154"/>
      <c r="W31" s="56"/>
    </row>
    <row r="32" spans="2:27" s="49" customFormat="1" ht="16.5" customHeight="1">
      <c r="B32" s="448" t="s">
        <v>679</v>
      </c>
      <c r="C32" s="585">
        <f>C31/(C31+C36)</f>
        <v>0.78018844383513875</v>
      </c>
      <c r="D32" s="585">
        <f t="shared" ref="D32:P32" si="6">D31/(D31+D36)</f>
        <v>0.66586134965797983</v>
      </c>
      <c r="E32" s="585">
        <f t="shared" si="6"/>
        <v>0.60417268765892618</v>
      </c>
      <c r="F32" s="585">
        <f t="shared" si="6"/>
        <v>0.58769592180908103</v>
      </c>
      <c r="G32" s="585">
        <f t="shared" si="6"/>
        <v>0.59739586310095971</v>
      </c>
      <c r="H32" s="585">
        <f t="shared" si="6"/>
        <v>0.62421272757093649</v>
      </c>
      <c r="I32" s="585">
        <f t="shared" si="6"/>
        <v>0.61868054116810067</v>
      </c>
      <c r="J32" s="585">
        <f t="shared" si="6"/>
        <v>0.61822644056021225</v>
      </c>
      <c r="K32" s="585">
        <f t="shared" si="6"/>
        <v>0.68976726647405795</v>
      </c>
      <c r="L32" s="585">
        <f t="shared" si="6"/>
        <v>0.70922313918924618</v>
      </c>
      <c r="M32" s="585">
        <f t="shared" si="6"/>
        <v>0.68995335696489835</v>
      </c>
      <c r="N32" s="585">
        <f t="shared" si="6"/>
        <v>0.70926132050745283</v>
      </c>
      <c r="O32" s="585">
        <f t="shared" si="6"/>
        <v>0.68604533684424063</v>
      </c>
      <c r="P32" s="585">
        <f t="shared" si="6"/>
        <v>0.71574354277546337</v>
      </c>
      <c r="Q32" s="56"/>
      <c r="R32" s="56"/>
      <c r="S32" s="56"/>
      <c r="T32" s="56"/>
      <c r="U32" s="56"/>
      <c r="V32" s="154"/>
      <c r="W32" s="56"/>
    </row>
    <row r="33" spans="2:23" ht="16.5" customHeight="1"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153"/>
      <c r="W33" s="29"/>
    </row>
    <row r="34" spans="2:23" ht="16.5" customHeight="1">
      <c r="B34" s="343" t="s">
        <v>62</v>
      </c>
      <c r="C34" s="336">
        <v>2008</v>
      </c>
      <c r="D34" s="336">
        <v>2009</v>
      </c>
      <c r="E34" s="336">
        <v>2010</v>
      </c>
      <c r="F34" s="337">
        <v>2011</v>
      </c>
      <c r="G34" s="337">
        <v>2012</v>
      </c>
      <c r="H34" s="337">
        <v>2013</v>
      </c>
      <c r="I34" s="337">
        <v>2014</v>
      </c>
      <c r="J34" s="337">
        <v>2015</v>
      </c>
      <c r="K34" s="337">
        <v>2016</v>
      </c>
      <c r="L34" s="337">
        <v>2017</v>
      </c>
      <c r="M34" s="337">
        <v>2018</v>
      </c>
      <c r="N34" s="337">
        <v>2019</v>
      </c>
      <c r="O34" s="337">
        <v>2020</v>
      </c>
      <c r="P34" s="337">
        <v>2021</v>
      </c>
      <c r="Q34" s="335">
        <v>2022</v>
      </c>
      <c r="R34" s="454"/>
      <c r="S34" s="454"/>
      <c r="T34" s="454"/>
      <c r="U34" s="454"/>
      <c r="V34" s="153"/>
      <c r="W34" s="29"/>
    </row>
    <row r="35" spans="2:23" ht="16.5" customHeight="1">
      <c r="B35" s="138"/>
      <c r="C35" s="139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1"/>
      <c r="R35" s="32"/>
      <c r="S35" s="32"/>
      <c r="T35" s="32"/>
      <c r="U35" s="32"/>
      <c r="V35" s="154"/>
      <c r="W35" s="29"/>
    </row>
    <row r="36" spans="2:23" s="49" customFormat="1" ht="16.5" customHeight="1">
      <c r="B36" s="118" t="s">
        <v>63</v>
      </c>
      <c r="C36" s="48">
        <v>1462.27</v>
      </c>
      <c r="D36" s="49">
        <v>2673.44</v>
      </c>
      <c r="E36" s="49">
        <v>3533.59</v>
      </c>
      <c r="F36" s="49">
        <v>3826.12</v>
      </c>
      <c r="G36" s="49">
        <v>3874.32</v>
      </c>
      <c r="H36" s="49">
        <v>3665.88</v>
      </c>
      <c r="I36" s="49">
        <v>3901.92</v>
      </c>
      <c r="J36" s="49">
        <v>4220.2700000000004</v>
      </c>
      <c r="K36" s="49">
        <v>3406.07</v>
      </c>
      <c r="L36" s="49">
        <v>3236.96</v>
      </c>
      <c r="M36" s="49">
        <v>3649.99</v>
      </c>
      <c r="N36" s="49">
        <v>3416.54</v>
      </c>
      <c r="O36" s="49">
        <v>3946.52</v>
      </c>
      <c r="P36" s="49">
        <v>4040.95</v>
      </c>
      <c r="Q36" s="50">
        <f>'OV Balanço'!Q4</f>
        <v>4456.7611058914399</v>
      </c>
      <c r="R36" s="50">
        <f>'OV Balanço'!R4</f>
        <v>4915.3589019875753</v>
      </c>
      <c r="S36" s="50">
        <f>'OV Balanço'!S4</f>
        <v>5421.1461106609786</v>
      </c>
      <c r="T36" s="50">
        <f>'OV Balanço'!T4</f>
        <v>5978.9784915300861</v>
      </c>
      <c r="U36" s="50">
        <f>'OV Balanço'!U4</f>
        <v>6594.2114586948028</v>
      </c>
      <c r="V36" s="153"/>
      <c r="W36" s="56"/>
    </row>
    <row r="37" spans="2:23" s="49" customFormat="1" ht="16.5" customHeight="1">
      <c r="B37" s="118" t="s">
        <v>64</v>
      </c>
      <c r="C37" s="48">
        <v>894.85</v>
      </c>
      <c r="D37" s="49">
        <v>919.85</v>
      </c>
      <c r="E37" s="49">
        <v>1008.78</v>
      </c>
      <c r="F37" s="49">
        <v>1010.61</v>
      </c>
      <c r="G37" s="49">
        <v>942.15</v>
      </c>
      <c r="H37" s="49">
        <v>836.34</v>
      </c>
      <c r="I37" s="49">
        <v>1066.7</v>
      </c>
      <c r="J37" s="49">
        <v>1164.77</v>
      </c>
      <c r="K37" s="49">
        <v>1520.23</v>
      </c>
      <c r="L37" s="49">
        <v>1249.1099999999999</v>
      </c>
      <c r="M37" s="49">
        <v>1269.48</v>
      </c>
      <c r="N37" s="49">
        <v>1286.93</v>
      </c>
      <c r="O37" s="49">
        <v>1143.45</v>
      </c>
      <c r="P37" s="49">
        <v>1537.14</v>
      </c>
      <c r="Q37" s="50"/>
      <c r="V37" s="154"/>
      <c r="W37" s="56"/>
    </row>
    <row r="38" spans="2:23" s="49" customFormat="1" ht="16.5" customHeight="1">
      <c r="B38" s="117" t="s">
        <v>20</v>
      </c>
      <c r="C38" s="69">
        <v>0</v>
      </c>
      <c r="D38" s="49">
        <v>0</v>
      </c>
      <c r="E38" s="49">
        <v>0</v>
      </c>
      <c r="F38" s="49">
        <v>0</v>
      </c>
      <c r="G38" s="49">
        <v>0</v>
      </c>
      <c r="H38" s="49">
        <v>0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618.25</v>
      </c>
      <c r="O38" s="49">
        <v>689.24</v>
      </c>
      <c r="P38" s="49">
        <v>698.53</v>
      </c>
      <c r="Q38" s="50"/>
      <c r="V38" s="153"/>
      <c r="W38" s="56"/>
    </row>
    <row r="39" spans="2:23" s="49" customFormat="1" ht="16.5" customHeight="1">
      <c r="B39" s="118" t="s">
        <v>35</v>
      </c>
      <c r="C39" s="48">
        <v>50.86</v>
      </c>
      <c r="D39" s="49">
        <v>67.08</v>
      </c>
      <c r="E39" s="49">
        <v>53.79</v>
      </c>
      <c r="F39" s="49">
        <v>57.98</v>
      </c>
      <c r="G39" s="49">
        <v>63.6</v>
      </c>
      <c r="H39" s="49">
        <v>64.540000000000006</v>
      </c>
      <c r="I39" s="49">
        <v>98.91</v>
      </c>
      <c r="J39" s="49">
        <v>121.43</v>
      </c>
      <c r="K39" s="49">
        <v>275.06</v>
      </c>
      <c r="L39" s="49">
        <v>275.72000000000003</v>
      </c>
      <c r="M39" s="49">
        <v>295.32</v>
      </c>
      <c r="N39" s="49">
        <v>278.05</v>
      </c>
      <c r="O39" s="49">
        <v>315.3</v>
      </c>
      <c r="P39" s="49">
        <v>324.16000000000003</v>
      </c>
      <c r="Q39" s="50"/>
      <c r="V39" s="153"/>
      <c r="W39" s="56"/>
    </row>
    <row r="40" spans="2:23" s="49" customFormat="1" ht="16.5" customHeight="1">
      <c r="B40" s="118" t="s">
        <v>65</v>
      </c>
      <c r="C40" s="48">
        <v>303.33</v>
      </c>
      <c r="D40" s="49">
        <v>342.92</v>
      </c>
      <c r="E40" s="49">
        <v>371.6</v>
      </c>
      <c r="F40" s="49">
        <v>381.47</v>
      </c>
      <c r="G40" s="49">
        <v>380.59</v>
      </c>
      <c r="H40" s="49">
        <v>367.18</v>
      </c>
      <c r="I40" s="49">
        <v>270.39</v>
      </c>
      <c r="J40" s="49">
        <v>316.5</v>
      </c>
      <c r="K40" s="49">
        <v>365.09</v>
      </c>
      <c r="L40" s="49">
        <v>355.61</v>
      </c>
      <c r="M40" s="49">
        <v>463.06</v>
      </c>
      <c r="N40" s="49">
        <v>355.48</v>
      </c>
      <c r="O40" s="49">
        <v>427.1</v>
      </c>
      <c r="P40" s="49">
        <v>454.56</v>
      </c>
      <c r="Q40" s="50"/>
      <c r="V40" s="56"/>
      <c r="W40" s="56"/>
    </row>
    <row r="41" spans="2:23" s="49" customFormat="1" ht="16.5" customHeight="1">
      <c r="B41" s="118" t="s">
        <v>66</v>
      </c>
      <c r="C41" s="69">
        <v>201.82</v>
      </c>
      <c r="D41" s="49">
        <v>433.76</v>
      </c>
      <c r="E41" s="49">
        <v>635.27</v>
      </c>
      <c r="F41" s="49">
        <v>773.25</v>
      </c>
      <c r="G41" s="49">
        <v>737.6</v>
      </c>
      <c r="H41" s="49">
        <v>672.15</v>
      </c>
      <c r="I41" s="49">
        <v>735.26</v>
      </c>
      <c r="J41" s="49">
        <v>791.44</v>
      </c>
      <c r="K41" s="49">
        <v>819.2</v>
      </c>
      <c r="L41" s="49">
        <v>914.61</v>
      </c>
      <c r="M41" s="49">
        <v>961.77</v>
      </c>
      <c r="N41" s="49">
        <v>1002.86</v>
      </c>
      <c r="O41" s="49">
        <v>790.09</v>
      </c>
      <c r="P41" s="49">
        <v>722.6</v>
      </c>
      <c r="Q41" s="50"/>
      <c r="V41" s="56"/>
      <c r="W41" s="56"/>
    </row>
    <row r="42" spans="2:23" s="49" customFormat="1" ht="16.5" customHeight="1">
      <c r="B42" s="146" t="s">
        <v>67</v>
      </c>
      <c r="C42" s="48">
        <v>1293.31</v>
      </c>
      <c r="D42" s="49">
        <v>1529.2</v>
      </c>
      <c r="E42" s="49">
        <v>1838.61</v>
      </c>
      <c r="F42" s="49">
        <v>1541.77</v>
      </c>
      <c r="G42" s="49">
        <v>1554.88</v>
      </c>
      <c r="H42" s="49">
        <v>1362.94</v>
      </c>
      <c r="I42" s="49">
        <v>1912.37</v>
      </c>
      <c r="J42" s="49">
        <v>2287.63</v>
      </c>
      <c r="K42" s="49">
        <v>2775.81</v>
      </c>
      <c r="L42" s="49">
        <v>2296.64</v>
      </c>
      <c r="M42" s="49">
        <v>2776.69</v>
      </c>
      <c r="N42" s="49">
        <v>2399.85</v>
      </c>
      <c r="O42" s="49">
        <v>2227.0300000000002</v>
      </c>
      <c r="P42" s="49">
        <v>4078.73</v>
      </c>
      <c r="Q42" s="50"/>
      <c r="V42" s="154"/>
      <c r="W42" s="56"/>
    </row>
    <row r="43" spans="2:23" s="49" customFormat="1" ht="16.5" customHeight="1">
      <c r="B43" s="473" t="s">
        <v>103</v>
      </c>
      <c r="C43" s="423">
        <f>C41+C40+C39+C38</f>
        <v>556.01</v>
      </c>
      <c r="D43" s="423">
        <f t="shared" ref="D43:O43" si="7">D41+D40+D39+D38</f>
        <v>843.7600000000001</v>
      </c>
      <c r="E43" s="423">
        <f t="shared" si="7"/>
        <v>1060.6600000000001</v>
      </c>
      <c r="F43" s="423">
        <f t="shared" si="7"/>
        <v>1212.7</v>
      </c>
      <c r="G43" s="423">
        <f t="shared" si="7"/>
        <v>1181.79</v>
      </c>
      <c r="H43" s="423">
        <f t="shared" si="7"/>
        <v>1103.8699999999999</v>
      </c>
      <c r="I43" s="423">
        <f t="shared" si="7"/>
        <v>1104.56</v>
      </c>
      <c r="J43" s="423">
        <f t="shared" si="7"/>
        <v>1229.3700000000001</v>
      </c>
      <c r="K43" s="423">
        <f t="shared" si="7"/>
        <v>1459.35</v>
      </c>
      <c r="L43" s="423">
        <f t="shared" si="7"/>
        <v>1545.94</v>
      </c>
      <c r="M43" s="423">
        <f t="shared" si="7"/>
        <v>1720.1499999999999</v>
      </c>
      <c r="N43" s="423">
        <f t="shared" si="7"/>
        <v>2254.6400000000003</v>
      </c>
      <c r="O43" s="423">
        <f t="shared" si="7"/>
        <v>2221.73</v>
      </c>
      <c r="P43" s="423">
        <f>P41+P40+P39+P38</f>
        <v>2199.8500000000004</v>
      </c>
      <c r="Q43" s="468">
        <f>P43*(1+Q44)</f>
        <v>2468.1480659279014</v>
      </c>
      <c r="R43" s="468">
        <f>Q43*(1+R44)</f>
        <v>2769.1682957218168</v>
      </c>
      <c r="S43" s="468">
        <f>R43*(1+S44)</f>
        <v>2925.0900814945412</v>
      </c>
      <c r="T43" s="468">
        <f>S43*(1+T44)</f>
        <v>3089.7912554020045</v>
      </c>
      <c r="U43" s="468">
        <f>T43*(1+U44)</f>
        <v>3263.7661528293384</v>
      </c>
      <c r="V43" s="154"/>
      <c r="W43" s="56"/>
    </row>
    <row r="44" spans="2:23" s="49" customFormat="1" ht="16.5" customHeight="1">
      <c r="B44" s="448" t="s">
        <v>111</v>
      </c>
      <c r="C44" s="399"/>
      <c r="D44" s="465">
        <f t="shared" ref="D44:P44" si="8">D43/C43-1</f>
        <v>0.51752666318951124</v>
      </c>
      <c r="E44" s="465">
        <f t="shared" si="8"/>
        <v>0.257063619986726</v>
      </c>
      <c r="F44" s="465">
        <f t="shared" si="8"/>
        <v>0.14334470989761083</v>
      </c>
      <c r="G44" s="465">
        <f t="shared" si="8"/>
        <v>-2.5488579203430395E-2</v>
      </c>
      <c r="H44" s="465">
        <f t="shared" si="8"/>
        <v>-6.5933879961753039E-2</v>
      </c>
      <c r="I44" s="465">
        <f t="shared" si="8"/>
        <v>6.2507360468178064E-4</v>
      </c>
      <c r="J44" s="465">
        <f t="shared" si="8"/>
        <v>0.11299521981603555</v>
      </c>
      <c r="K44" s="465">
        <f t="shared" si="8"/>
        <v>0.1870714268283753</v>
      </c>
      <c r="L44" s="465">
        <f t="shared" si="8"/>
        <v>5.9334635282831449E-2</v>
      </c>
      <c r="M44" s="465">
        <f t="shared" si="8"/>
        <v>0.11268872013144104</v>
      </c>
      <c r="N44" s="465">
        <f t="shared" si="8"/>
        <v>0.31072290207249398</v>
      </c>
      <c r="O44" s="465">
        <f t="shared" si="8"/>
        <v>-1.4596565305326048E-2</v>
      </c>
      <c r="P44" s="465">
        <f t="shared" si="8"/>
        <v>-9.8481813721738032E-3</v>
      </c>
      <c r="Q44" s="467">
        <f>AVERAGE($D$44:$P$44)</f>
        <v>0.12196198192054032</v>
      </c>
      <c r="R44" s="467">
        <f>AVERAGE($D$44:$P$44)</f>
        <v>0.12196198192054032</v>
      </c>
      <c r="S44" s="467">
        <f>AVERAGE($D$20:$P$20)</f>
        <v>5.6306359571432846E-2</v>
      </c>
      <c r="T44" s="467">
        <f>AVERAGE($D$20:$P$20)</f>
        <v>5.6306359571432846E-2</v>
      </c>
      <c r="U44" s="467">
        <f>AVERAGE($D$20:$P$20)</f>
        <v>5.6306359571432846E-2</v>
      </c>
      <c r="V44" s="154"/>
      <c r="W44" s="56"/>
    </row>
    <row r="45" spans="2:23" s="49" customFormat="1" ht="16.5" customHeight="1">
      <c r="B45" s="473" t="s">
        <v>104</v>
      </c>
      <c r="C45" s="423">
        <f>C37+C36+C42</f>
        <v>3650.43</v>
      </c>
      <c r="D45" s="423">
        <f t="shared" ref="D45:P45" si="9">D37+D36+D42</f>
        <v>5122.49</v>
      </c>
      <c r="E45" s="423">
        <f t="shared" si="9"/>
        <v>6380.98</v>
      </c>
      <c r="F45" s="423">
        <f t="shared" si="9"/>
        <v>6378.5</v>
      </c>
      <c r="G45" s="423">
        <f t="shared" si="9"/>
        <v>6371.35</v>
      </c>
      <c r="H45" s="423">
        <f t="shared" si="9"/>
        <v>5865.16</v>
      </c>
      <c r="I45" s="423">
        <f t="shared" si="9"/>
        <v>6880.99</v>
      </c>
      <c r="J45" s="423">
        <f t="shared" si="9"/>
        <v>7672.670000000001</v>
      </c>
      <c r="K45" s="423">
        <f t="shared" si="9"/>
        <v>7702.1100000000006</v>
      </c>
      <c r="L45" s="423">
        <f t="shared" si="9"/>
        <v>6782.7099999999991</v>
      </c>
      <c r="M45" s="423">
        <f t="shared" si="9"/>
        <v>7696.16</v>
      </c>
      <c r="N45" s="423">
        <f t="shared" si="9"/>
        <v>7103.32</v>
      </c>
      <c r="O45" s="423">
        <f t="shared" si="9"/>
        <v>7317</v>
      </c>
      <c r="P45" s="423">
        <f t="shared" si="9"/>
        <v>9656.82</v>
      </c>
      <c r="Q45" s="468">
        <f>(P45-P36)*(1+Q46)+Q36</f>
        <v>10568.64165002009</v>
      </c>
      <c r="R45" s="468">
        <f>(Q45-Q36)*(1+R46)+R36</f>
        <v>11371.377189691579</v>
      </c>
      <c r="S45" s="468">
        <f>(R45-R36)*(1+S46)+S36</f>
        <v>12240.67928547219</v>
      </c>
      <c r="T45" s="468">
        <f>(S45-S36)*(1+T46)+T36</f>
        <v>13182.494753391533</v>
      </c>
      <c r="U45" s="468">
        <f>(T45-T36)*(1+U46)+U36</f>
        <v>14203.331497375284</v>
      </c>
      <c r="V45" s="154"/>
      <c r="W45" s="56"/>
    </row>
    <row r="46" spans="2:23" s="49" customFormat="1" ht="16.5" customHeight="1">
      <c r="B46" s="448" t="s">
        <v>111</v>
      </c>
      <c r="C46" s="399"/>
      <c r="D46" s="465">
        <f t="shared" ref="D46:P46" si="10">D45/C45-1</f>
        <v>0.4032566026468114</v>
      </c>
      <c r="E46" s="465">
        <f t="shared" si="10"/>
        <v>0.24567934734865271</v>
      </c>
      <c r="F46" s="465">
        <f t="shared" si="10"/>
        <v>-3.8865503417961911E-4</v>
      </c>
      <c r="G46" s="465">
        <f t="shared" si="10"/>
        <v>-1.1209532021634327E-3</v>
      </c>
      <c r="H46" s="465">
        <f t="shared" si="10"/>
        <v>-7.944784072449329E-2</v>
      </c>
      <c r="I46" s="465">
        <f t="shared" si="10"/>
        <v>0.17319732113019937</v>
      </c>
      <c r="J46" s="465">
        <f t="shared" si="10"/>
        <v>0.1150532118198111</v>
      </c>
      <c r="K46" s="465">
        <f t="shared" si="10"/>
        <v>3.8369954657244687E-3</v>
      </c>
      <c r="L46" s="465">
        <f t="shared" si="10"/>
        <v>-0.11936988695305595</v>
      </c>
      <c r="M46" s="465">
        <f t="shared" si="10"/>
        <v>0.13467330904608943</v>
      </c>
      <c r="N46" s="465">
        <f t="shared" si="10"/>
        <v>-7.7030623063969572E-2</v>
      </c>
      <c r="O46" s="465">
        <f t="shared" si="10"/>
        <v>3.0081708271625152E-2</v>
      </c>
      <c r="P46" s="465">
        <f t="shared" si="10"/>
        <v>0.31977859778597773</v>
      </c>
      <c r="Q46" s="467">
        <f>AVERAGE($D$46:$P$46)</f>
        <v>8.8323010349002265E-2</v>
      </c>
      <c r="R46" s="467">
        <f>AVERAGE($D$20:$P$20)</f>
        <v>5.6306359571432846E-2</v>
      </c>
      <c r="S46" s="467">
        <f t="shared" ref="S46:U46" si="11">AVERAGE($D$20:$P$20)</f>
        <v>5.6306359571432846E-2</v>
      </c>
      <c r="T46" s="467">
        <f t="shared" si="11"/>
        <v>5.6306359571432846E-2</v>
      </c>
      <c r="U46" s="467">
        <f t="shared" si="11"/>
        <v>5.6306359571432846E-2</v>
      </c>
      <c r="V46" s="154"/>
      <c r="W46" s="56"/>
    </row>
    <row r="47" spans="2:23" s="49" customFormat="1" ht="16.5" customHeight="1">
      <c r="B47" s="142"/>
      <c r="C47" s="54"/>
      <c r="D47" s="55"/>
      <c r="E47" s="55"/>
      <c r="F47" s="55"/>
      <c r="G47" s="55"/>
      <c r="H47" s="55"/>
      <c r="I47" s="55"/>
      <c r="J47" s="55"/>
      <c r="K47" s="55"/>
      <c r="L47" s="55"/>
      <c r="M47" s="55"/>
      <c r="Q47" s="50"/>
      <c r="V47" s="153"/>
      <c r="W47" s="56"/>
    </row>
    <row r="48" spans="2:23" s="56" customFormat="1" ht="16.5" customHeight="1">
      <c r="B48" s="123" t="s">
        <v>68</v>
      </c>
      <c r="C48" s="124">
        <v>4206.45</v>
      </c>
      <c r="D48" s="125">
        <v>5966.26</v>
      </c>
      <c r="E48" s="125">
        <v>7441.64</v>
      </c>
      <c r="F48" s="125">
        <v>7591.2</v>
      </c>
      <c r="G48" s="125">
        <v>7553.15</v>
      </c>
      <c r="H48" s="125">
        <v>6969.03</v>
      </c>
      <c r="I48" s="125">
        <v>7985.56</v>
      </c>
      <c r="J48" s="125">
        <v>8902.0499999999993</v>
      </c>
      <c r="K48" s="125">
        <v>9161.4599999999991</v>
      </c>
      <c r="L48" s="125">
        <v>8328.65</v>
      </c>
      <c r="M48" s="125">
        <v>9416.31</v>
      </c>
      <c r="N48" s="125">
        <v>9357.9500000000007</v>
      </c>
      <c r="O48" s="125">
        <v>9538.7199999999993</v>
      </c>
      <c r="P48" s="125">
        <v>11856.67</v>
      </c>
      <c r="Q48" s="56">
        <f>Q45+Q43</f>
        <v>13036.789715947991</v>
      </c>
      <c r="R48" s="56">
        <f>R45+R43</f>
        <v>14140.545485413395</v>
      </c>
      <c r="S48" s="56">
        <f>S45+S43</f>
        <v>15165.769366966731</v>
      </c>
      <c r="T48" s="56">
        <f>T45+T43</f>
        <v>16272.286008793537</v>
      </c>
      <c r="U48" s="56">
        <f>U45+U43</f>
        <v>17467.097650204621</v>
      </c>
      <c r="V48" s="153"/>
    </row>
    <row r="49" spans="2:23" s="49" customFormat="1" ht="16.5" customHeight="1">
      <c r="B49" s="14"/>
      <c r="C49" s="124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Q49" s="50"/>
      <c r="V49" s="56"/>
      <c r="W49" s="56"/>
    </row>
    <row r="50" spans="2:23" s="56" customFormat="1" ht="16.5" customHeight="1">
      <c r="B50" s="123" t="s">
        <v>69</v>
      </c>
      <c r="C50" s="124">
        <v>9396.56</v>
      </c>
      <c r="D50" s="125">
        <v>11293.81</v>
      </c>
      <c r="E50" s="125">
        <v>12835.15</v>
      </c>
      <c r="F50" s="125">
        <v>13044.93</v>
      </c>
      <c r="G50" s="125">
        <v>13301.97</v>
      </c>
      <c r="H50" s="125">
        <v>13058.35</v>
      </c>
      <c r="I50" s="125">
        <v>14316.32</v>
      </c>
      <c r="J50" s="125">
        <v>15736.16</v>
      </c>
      <c r="K50" s="125">
        <v>16734.47</v>
      </c>
      <c r="L50" s="125">
        <v>16223.8</v>
      </c>
      <c r="M50" s="125">
        <v>17538.71</v>
      </c>
      <c r="N50" s="125">
        <v>17692.650000000001</v>
      </c>
      <c r="O50" s="125">
        <v>18162.55</v>
      </c>
      <c r="P50" s="125">
        <v>22031.58</v>
      </c>
      <c r="Q50" s="126"/>
    </row>
    <row r="51" spans="2:23" ht="16.5" customHeight="1">
      <c r="C51" s="143"/>
      <c r="D51" s="143"/>
      <c r="E51" s="143"/>
      <c r="F51" s="143"/>
      <c r="G51" s="143"/>
      <c r="H51" s="143"/>
      <c r="I51" s="143"/>
      <c r="J51" s="143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56"/>
      <c r="W51" s="144"/>
    </row>
    <row r="52" spans="2:23" ht="16.5" customHeight="1">
      <c r="D52" s="143"/>
      <c r="V52" s="153"/>
    </row>
    <row r="53" spans="2:23" ht="16.5" customHeight="1">
      <c r="C53" s="143"/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56"/>
      <c r="W53" s="144"/>
    </row>
    <row r="54" spans="2:23" ht="16.5" customHeight="1">
      <c r="D54" s="143"/>
      <c r="V54" s="153"/>
    </row>
    <row r="55" spans="2:23" ht="16.5" customHeight="1">
      <c r="V55" s="56"/>
    </row>
    <row r="56" spans="2:23" ht="16.5" customHeight="1">
      <c r="D56" s="143"/>
      <c r="E56" s="143"/>
      <c r="V56" s="153"/>
    </row>
    <row r="57" spans="2:23" ht="16.5" customHeight="1">
      <c r="V57" s="56"/>
    </row>
    <row r="58" spans="2:23" ht="16.5" customHeight="1">
      <c r="V58" s="56"/>
    </row>
    <row r="59" spans="2:23" ht="16.5" customHeight="1">
      <c r="V59" s="49"/>
    </row>
    <row r="60" spans="2:23" ht="16.5" customHeight="1">
      <c r="V60" s="70"/>
    </row>
    <row r="61" spans="2:23" ht="16.5" customHeight="1">
      <c r="V61" s="70"/>
    </row>
    <row r="62" spans="2:23" ht="16.5" customHeight="1">
      <c r="V62" s="155"/>
    </row>
    <row r="63" spans="2:23" ht="16.5" customHeight="1">
      <c r="V63" s="56"/>
    </row>
    <row r="64" spans="2:23" ht="16.5" customHeight="1">
      <c r="V64" s="152"/>
    </row>
    <row r="65" spans="22:22" ht="16.5" customHeight="1">
      <c r="V65" s="153"/>
    </row>
    <row r="66" spans="22:22" ht="16.5" customHeight="1">
      <c r="V66" s="153"/>
    </row>
    <row r="67" spans="22:22" ht="16.5" customHeight="1">
      <c r="V67" s="153"/>
    </row>
    <row r="68" spans="22:22" ht="16.5" customHeight="1">
      <c r="V68" s="152"/>
    </row>
    <row r="69" spans="22:22" ht="16.5" customHeight="1">
      <c r="V69" s="153"/>
    </row>
    <row r="70" spans="22:22" ht="16.5" customHeight="1">
      <c r="V70" s="154"/>
    </row>
    <row r="71" spans="22:22" ht="16.5" customHeight="1">
      <c r="V71" s="153"/>
    </row>
    <row r="72" spans="22:22" ht="16.5" customHeight="1">
      <c r="V72" s="153"/>
    </row>
    <row r="73" spans="22:22" ht="16.5" customHeight="1">
      <c r="V73" s="158"/>
    </row>
    <row r="74" spans="22:22" ht="16.5" customHeight="1">
      <c r="V74" s="153"/>
    </row>
    <row r="75" spans="22:22" ht="16.5" customHeight="1">
      <c r="V75" s="158"/>
    </row>
    <row r="76" spans="22:22" ht="16.5" customHeight="1">
      <c r="V76" s="153"/>
    </row>
    <row r="77" spans="22:22" ht="16.5" customHeight="1">
      <c r="V77" s="158"/>
    </row>
    <row r="78" spans="22:22" ht="16.5" customHeight="1">
      <c r="V78" s="153"/>
    </row>
    <row r="79" spans="22:22" ht="16.5" customHeight="1">
      <c r="V79" s="153"/>
    </row>
    <row r="80" spans="22:22" ht="16.5" customHeight="1">
      <c r="V80" s="49"/>
    </row>
    <row r="81" spans="22:22" ht="16.5" customHeight="1">
      <c r="V81" s="70"/>
    </row>
    <row r="82" spans="22:22" ht="16.5" customHeight="1">
      <c r="V82" s="70"/>
    </row>
    <row r="83" spans="22:22" ht="16.5" customHeight="1">
      <c r="V83" s="70"/>
    </row>
    <row r="84" spans="22:22" ht="16.5" customHeight="1">
      <c r="V84" s="49"/>
    </row>
    <row r="85" spans="22:22" ht="16.5" customHeight="1">
      <c r="V85" s="49"/>
    </row>
    <row r="86" spans="22:22" ht="16.5" customHeight="1">
      <c r="V86" s="49"/>
    </row>
    <row r="87" spans="22:22" ht="16.5" customHeight="1">
      <c r="V87" s="49"/>
    </row>
    <row r="88" spans="22:22" ht="16.5" customHeight="1">
      <c r="V88" s="49"/>
    </row>
    <row r="89" spans="22:22" ht="16.5" customHeight="1">
      <c r="V89" s="49"/>
    </row>
    <row r="90" spans="22:22" ht="16.5" customHeight="1">
      <c r="V90" s="49"/>
    </row>
    <row r="91" spans="22:22" ht="16.5" customHeight="1">
      <c r="V91" s="49"/>
    </row>
    <row r="92" spans="22:22" ht="16.5" customHeight="1">
      <c r="V92" s="49"/>
    </row>
    <row r="93" spans="22:22" ht="16.5" customHeight="1">
      <c r="V93" s="49"/>
    </row>
    <row r="94" spans="22:22" ht="16.5" customHeight="1">
      <c r="V94" s="49"/>
    </row>
    <row r="95" spans="22:22" ht="16.5" customHeight="1">
      <c r="V95" s="49"/>
    </row>
    <row r="96" spans="22:22" ht="16.5" customHeight="1">
      <c r="V96" s="119"/>
    </row>
    <row r="97" spans="22:22" ht="16.5" customHeight="1">
      <c r="V97" s="49"/>
    </row>
    <row r="98" spans="22:22" ht="16.5" customHeight="1">
      <c r="V98" s="56"/>
    </row>
    <row r="99" spans="22:22" ht="16.5" customHeight="1">
      <c r="V99" s="49"/>
    </row>
    <row r="100" spans="22:22" ht="16.5" customHeight="1">
      <c r="V100" s="49"/>
    </row>
    <row r="101" spans="22:22" ht="16.5" customHeight="1">
      <c r="V101" s="49"/>
    </row>
    <row r="102" spans="22:22" ht="16.5" customHeight="1">
      <c r="V102" s="49"/>
    </row>
    <row r="103" spans="22:22" ht="16.5" customHeight="1">
      <c r="V103" s="49"/>
    </row>
    <row r="104" spans="22:22" ht="16.5" customHeight="1">
      <c r="V104" s="49"/>
    </row>
    <row r="105" spans="22:22" ht="16.5" customHeight="1">
      <c r="V105" s="49"/>
    </row>
    <row r="106" spans="22:22" ht="16.5" customHeight="1">
      <c r="V106" s="49"/>
    </row>
    <row r="107" spans="22:22" ht="16.5" customHeight="1">
      <c r="V107" s="49"/>
    </row>
    <row r="108" spans="22:22" ht="16.5" customHeight="1">
      <c r="V108" s="56"/>
    </row>
  </sheetData>
  <pageMargins left="0.59055118110236227" right="0.59055118110236227" top="0.78740157480314965" bottom="0" header="0.39370078740157483" footer="0.39370078740157483"/>
  <pageSetup paperSize="9" scale="43" orientation="landscape" r:id="rId1"/>
  <headerFooter>
    <oddHeader>&amp;C&amp;"Calibri,Regular"&amp;16&amp;A</oddHeader>
  </headerFooter>
  <customProperties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">
    <tabColor theme="8"/>
    <pageSetUpPr fitToPage="1"/>
  </sheetPr>
  <dimension ref="B1:AK183"/>
  <sheetViews>
    <sheetView showGridLines="0" view="pageBreakPreview" zoomScale="40" zoomScaleNormal="70" zoomScaleSheetLayoutView="40" zoomScalePageLayoutView="55" workbookViewId="0">
      <selection activeCell="B101" sqref="B101"/>
    </sheetView>
  </sheetViews>
  <sheetFormatPr defaultColWidth="9.1796875" defaultRowHeight="14.5"/>
  <cols>
    <col min="1" max="1" width="3.1796875" style="25" customWidth="1"/>
    <col min="2" max="2" width="58.54296875" style="25" customWidth="1"/>
    <col min="3" max="17" width="10.54296875" style="25" customWidth="1"/>
    <col min="18" max="18" width="3.1796875" style="25" customWidth="1"/>
    <col min="19" max="26" width="10.54296875" style="25" customWidth="1"/>
    <col min="27" max="27" width="3.1796875" style="25" customWidth="1"/>
    <col min="28" max="35" width="10.54296875" style="25" customWidth="1"/>
    <col min="36" max="16384" width="9.1796875" style="25"/>
  </cols>
  <sheetData>
    <row r="1" spans="2:37" ht="15.75" customHeight="1"/>
    <row r="2" spans="2:37" ht="15.5" thickBot="1">
      <c r="AJ2" s="217"/>
    </row>
    <row r="3" spans="2:37" ht="15.5" thickBot="1">
      <c r="B3" s="615" t="s">
        <v>98</v>
      </c>
      <c r="C3" s="616"/>
      <c r="D3" s="616"/>
      <c r="E3" s="616"/>
      <c r="F3" s="616"/>
      <c r="G3" s="616"/>
      <c r="H3" s="616"/>
      <c r="I3" s="616"/>
      <c r="J3" s="616"/>
      <c r="K3" s="616"/>
      <c r="L3" s="616"/>
      <c r="M3" s="616"/>
      <c r="N3" s="616"/>
      <c r="O3" s="616"/>
      <c r="P3" s="616"/>
      <c r="Q3" s="616"/>
      <c r="R3" s="616"/>
      <c r="S3" s="616"/>
      <c r="T3" s="616"/>
      <c r="U3" s="616"/>
      <c r="V3" s="616"/>
      <c r="W3" s="616"/>
      <c r="X3" s="616"/>
      <c r="Y3" s="616"/>
      <c r="Z3" s="616"/>
      <c r="AA3" s="616"/>
      <c r="AB3" s="616"/>
      <c r="AC3" s="616"/>
      <c r="AD3" s="616"/>
      <c r="AE3" s="616"/>
      <c r="AF3" s="616"/>
      <c r="AG3" s="616"/>
      <c r="AH3" s="616"/>
      <c r="AI3" s="617"/>
      <c r="AJ3" s="217"/>
    </row>
    <row r="4" spans="2:37" ht="15">
      <c r="B4" s="397" t="s">
        <v>82</v>
      </c>
      <c r="C4" s="398">
        <v>2008</v>
      </c>
      <c r="D4" s="398">
        <v>2009</v>
      </c>
      <c r="E4" s="398">
        <v>2010</v>
      </c>
      <c r="F4" s="342">
        <v>2011</v>
      </c>
      <c r="G4" s="342">
        <v>2012</v>
      </c>
      <c r="H4" s="342">
        <v>2013</v>
      </c>
      <c r="I4" s="342">
        <v>2014</v>
      </c>
      <c r="J4" s="342">
        <v>2015</v>
      </c>
      <c r="K4" s="342">
        <v>2016</v>
      </c>
      <c r="L4" s="342">
        <v>2017</v>
      </c>
      <c r="M4" s="342">
        <v>2018</v>
      </c>
      <c r="N4" s="342">
        <v>2019</v>
      </c>
      <c r="O4" s="342">
        <v>2020</v>
      </c>
      <c r="P4" s="342">
        <v>2021</v>
      </c>
      <c r="Q4" s="342">
        <v>2022</v>
      </c>
      <c r="R4" s="1"/>
      <c r="S4" s="395" t="s">
        <v>0</v>
      </c>
      <c r="T4" s="342" t="s">
        <v>1</v>
      </c>
      <c r="U4" s="342" t="s">
        <v>2</v>
      </c>
      <c r="V4" s="396" t="s">
        <v>3</v>
      </c>
      <c r="W4" s="395" t="s">
        <v>4</v>
      </c>
      <c r="X4" s="342" t="s">
        <v>5</v>
      </c>
      <c r="Y4" s="342" t="s">
        <v>6</v>
      </c>
      <c r="Z4" s="396" t="s">
        <v>7</v>
      </c>
      <c r="AA4" s="1"/>
      <c r="AB4" s="395" t="s">
        <v>0</v>
      </c>
      <c r="AC4" s="342" t="s">
        <v>8</v>
      </c>
      <c r="AD4" s="342" t="s">
        <v>9</v>
      </c>
      <c r="AE4" s="400" t="s">
        <v>10</v>
      </c>
      <c r="AF4" s="395" t="s">
        <v>4</v>
      </c>
      <c r="AG4" s="342" t="s">
        <v>11</v>
      </c>
      <c r="AH4" s="342" t="s">
        <v>12</v>
      </c>
      <c r="AI4" s="401" t="s">
        <v>13</v>
      </c>
      <c r="AJ4" s="217"/>
    </row>
    <row r="5" spans="2:37" ht="15">
      <c r="B5" s="104"/>
      <c r="C5" s="26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8"/>
      <c r="S5" s="148"/>
      <c r="V5" s="37"/>
      <c r="W5" s="148"/>
      <c r="Z5" s="37"/>
      <c r="AB5" s="26"/>
      <c r="AC5" s="27"/>
      <c r="AD5" s="27"/>
      <c r="AE5" s="28"/>
      <c r="AF5" s="27"/>
      <c r="AG5" s="27"/>
      <c r="AH5" s="27"/>
      <c r="AI5" s="268"/>
      <c r="AJ5" s="217"/>
    </row>
    <row r="6" spans="2:37" s="56" customFormat="1" ht="15">
      <c r="B6" s="328" t="s">
        <v>14</v>
      </c>
      <c r="C6" s="163">
        <v>388.88</v>
      </c>
      <c r="D6" s="162">
        <v>436.39</v>
      </c>
      <c r="E6" s="162">
        <v>562.23</v>
      </c>
      <c r="F6" s="162">
        <v>634.86</v>
      </c>
      <c r="G6" s="162">
        <v>777.54</v>
      </c>
      <c r="H6" s="162">
        <v>819.91</v>
      </c>
      <c r="I6" s="162">
        <v>746.93</v>
      </c>
      <c r="J6" s="162">
        <v>831.59</v>
      </c>
      <c r="K6" s="162">
        <v>913.01</v>
      </c>
      <c r="L6" s="162">
        <v>943.22</v>
      </c>
      <c r="M6" s="162">
        <v>890.82</v>
      </c>
      <c r="N6" s="162">
        <v>924.83</v>
      </c>
      <c r="O6" s="162">
        <v>824.24</v>
      </c>
      <c r="P6" s="22">
        <v>926.24</v>
      </c>
      <c r="Q6" s="181"/>
      <c r="S6" s="21">
        <v>253.05</v>
      </c>
      <c r="T6" s="22">
        <v>453.12</v>
      </c>
      <c r="U6" s="22">
        <v>594.95000000000005</v>
      </c>
      <c r="V6" s="23">
        <v>926.24</v>
      </c>
      <c r="W6" s="183">
        <v>293.3</v>
      </c>
      <c r="X6" s="182">
        <v>636.23</v>
      </c>
      <c r="Y6" s="182">
        <v>869.67</v>
      </c>
      <c r="Z6" s="214"/>
      <c r="AB6" s="21">
        <v>253.05</v>
      </c>
      <c r="AC6" s="22">
        <v>200.07</v>
      </c>
      <c r="AD6" s="22">
        <v>141.83000000000001</v>
      </c>
      <c r="AE6" s="23">
        <v>331.28</v>
      </c>
      <c r="AF6" s="183">
        <v>293.3</v>
      </c>
      <c r="AG6" s="182">
        <v>342.92</v>
      </c>
      <c r="AH6" s="182">
        <v>233.44</v>
      </c>
      <c r="AI6" s="356"/>
    </row>
    <row r="7" spans="2:37" s="49" customFormat="1" ht="15">
      <c r="B7" s="329"/>
      <c r="C7" s="48"/>
      <c r="P7" s="175"/>
      <c r="Q7" s="50"/>
      <c r="S7" s="323"/>
      <c r="T7" s="237"/>
      <c r="U7" s="237"/>
      <c r="V7" s="324"/>
      <c r="W7" s="64"/>
      <c r="X7" s="65"/>
      <c r="Y7" s="65"/>
      <c r="Z7" s="66"/>
      <c r="AA7" s="52"/>
      <c r="AB7" s="323"/>
      <c r="AC7" s="237"/>
      <c r="AD7" s="237"/>
      <c r="AE7" s="324"/>
      <c r="AF7" s="64"/>
      <c r="AG7" s="65"/>
      <c r="AH7" s="65"/>
      <c r="AI7" s="131"/>
      <c r="AJ7" s="56"/>
      <c r="AK7" s="56"/>
    </row>
    <row r="8" spans="2:37" s="49" customFormat="1" ht="15">
      <c r="B8" s="299" t="s">
        <v>28</v>
      </c>
      <c r="C8" s="48">
        <v>5.58</v>
      </c>
      <c r="D8" s="49">
        <v>9.85</v>
      </c>
      <c r="E8" s="49">
        <v>26.88</v>
      </c>
      <c r="F8" s="49">
        <v>62.56</v>
      </c>
      <c r="G8" s="49">
        <v>46.54</v>
      </c>
      <c r="H8" s="49">
        <v>11.66</v>
      </c>
      <c r="I8" s="49">
        <v>26.55</v>
      </c>
      <c r="J8" s="49">
        <v>140.19</v>
      </c>
      <c r="K8" s="49">
        <v>34.619999999999997</v>
      </c>
      <c r="L8" s="49">
        <v>65.86</v>
      </c>
      <c r="M8" s="49">
        <v>29.6</v>
      </c>
      <c r="N8" s="49">
        <v>246.43</v>
      </c>
      <c r="O8" s="49">
        <v>286.79000000000002</v>
      </c>
      <c r="P8" s="175">
        <v>350.07</v>
      </c>
      <c r="Q8" s="50"/>
      <c r="S8" s="323">
        <v>6.65</v>
      </c>
      <c r="T8" s="237">
        <v>25.5</v>
      </c>
      <c r="U8" s="237">
        <v>30.67</v>
      </c>
      <c r="V8" s="324">
        <v>350.07</v>
      </c>
      <c r="W8" s="71">
        <v>8.5</v>
      </c>
      <c r="X8" s="72">
        <v>110.35</v>
      </c>
      <c r="Y8" s="72">
        <v>279.98</v>
      </c>
      <c r="Z8" s="66"/>
      <c r="AA8" s="52"/>
      <c r="AB8" s="17">
        <v>6.65</v>
      </c>
      <c r="AC8" s="18">
        <v>18.850000000000001</v>
      </c>
      <c r="AD8" s="18">
        <v>5.17</v>
      </c>
      <c r="AE8" s="19">
        <v>319.39999999999998</v>
      </c>
      <c r="AF8" s="71">
        <v>8.5</v>
      </c>
      <c r="AG8" s="72">
        <v>101.85</v>
      </c>
      <c r="AH8" s="72">
        <v>169.63</v>
      </c>
      <c r="AI8" s="131"/>
      <c r="AJ8" s="56"/>
      <c r="AK8" s="56"/>
    </row>
    <row r="9" spans="2:37" s="56" customFormat="1" ht="15">
      <c r="B9" s="299" t="s">
        <v>29</v>
      </c>
      <c r="C9" s="67">
        <v>-87.69</v>
      </c>
      <c r="D9" s="68">
        <v>-97.87</v>
      </c>
      <c r="E9" s="68">
        <v>-127.45</v>
      </c>
      <c r="F9" s="68">
        <v>-158.13999999999999</v>
      </c>
      <c r="G9" s="68">
        <v>-190.64</v>
      </c>
      <c r="H9" s="68">
        <v>-241.31</v>
      </c>
      <c r="I9" s="68">
        <v>-229.01</v>
      </c>
      <c r="J9" s="68">
        <v>-281.63</v>
      </c>
      <c r="K9" s="68">
        <v>-281.14999999999998</v>
      </c>
      <c r="L9" s="68">
        <v>-280.48</v>
      </c>
      <c r="M9" s="68">
        <v>-267.63</v>
      </c>
      <c r="N9" s="68">
        <v>-257.69</v>
      </c>
      <c r="O9" s="68">
        <v>-258.74</v>
      </c>
      <c r="P9" s="18">
        <v>-335.35</v>
      </c>
      <c r="Q9" s="179"/>
      <c r="S9" s="17">
        <v>-72.430000000000007</v>
      </c>
      <c r="T9" s="18">
        <v>-142.1</v>
      </c>
      <c r="U9" s="18">
        <v>-204.11</v>
      </c>
      <c r="V9" s="19">
        <v>-335.35</v>
      </c>
      <c r="W9" s="71">
        <v>-100.81</v>
      </c>
      <c r="X9" s="72">
        <v>-201.31</v>
      </c>
      <c r="Y9" s="72">
        <v>-304.43</v>
      </c>
      <c r="Z9" s="73"/>
      <c r="AA9" s="49"/>
      <c r="AB9" s="17">
        <v>-72.430000000000007</v>
      </c>
      <c r="AC9" s="18">
        <v>-69.67</v>
      </c>
      <c r="AD9" s="18">
        <v>-62.01</v>
      </c>
      <c r="AE9" s="19">
        <v>-131.24</v>
      </c>
      <c r="AF9" s="71">
        <v>-100.81</v>
      </c>
      <c r="AG9" s="72">
        <v>-100.5</v>
      </c>
      <c r="AH9" s="72">
        <v>-103.12</v>
      </c>
      <c r="AI9" s="357"/>
    </row>
    <row r="10" spans="2:37" s="49" customFormat="1" ht="15">
      <c r="B10" s="330" t="s">
        <v>30</v>
      </c>
      <c r="C10" s="67">
        <v>-55.78</v>
      </c>
      <c r="D10" s="68">
        <v>-68.7</v>
      </c>
      <c r="E10" s="68">
        <v>-87.41</v>
      </c>
      <c r="F10" s="68">
        <v>-106.65</v>
      </c>
      <c r="G10" s="68">
        <v>-125.1</v>
      </c>
      <c r="H10" s="68">
        <v>-138.09</v>
      </c>
      <c r="I10" s="68">
        <v>-141.38</v>
      </c>
      <c r="J10" s="68">
        <v>-150.84</v>
      </c>
      <c r="K10" s="68">
        <v>-161.97999999999999</v>
      </c>
      <c r="L10" s="68">
        <v>-166.52</v>
      </c>
      <c r="M10" s="68">
        <v>-174.13</v>
      </c>
      <c r="N10" s="68">
        <v>-157.75</v>
      </c>
      <c r="O10" s="68">
        <v>-158.13</v>
      </c>
      <c r="P10" s="18">
        <v>-188.9</v>
      </c>
      <c r="Q10" s="179"/>
      <c r="S10" s="17">
        <v>-40.729999999999997</v>
      </c>
      <c r="T10" s="18">
        <v>-85.64</v>
      </c>
      <c r="U10" s="18">
        <v>-128.58000000000001</v>
      </c>
      <c r="V10" s="19">
        <v>-188.9</v>
      </c>
      <c r="W10" s="71">
        <v>-52.42</v>
      </c>
      <c r="X10" s="72">
        <v>-104.01</v>
      </c>
      <c r="Y10" s="72">
        <v>-160.62</v>
      </c>
      <c r="Z10" s="73"/>
      <c r="AB10" s="17">
        <v>-40.729999999999997</v>
      </c>
      <c r="AC10" s="18">
        <v>-44.9</v>
      </c>
      <c r="AD10" s="18">
        <v>-42.94</v>
      </c>
      <c r="AE10" s="19">
        <v>-60.32</v>
      </c>
      <c r="AF10" s="71">
        <v>-52.42</v>
      </c>
      <c r="AG10" s="72">
        <v>-51.59</v>
      </c>
      <c r="AH10" s="72">
        <v>-56.6</v>
      </c>
      <c r="AI10" s="357"/>
      <c r="AJ10" s="56"/>
      <c r="AK10" s="56"/>
    </row>
    <row r="11" spans="2:37" s="49" customFormat="1" ht="15">
      <c r="B11" s="330" t="s">
        <v>31</v>
      </c>
      <c r="C11" s="67">
        <v>-18.690000000000001</v>
      </c>
      <c r="D11" s="68">
        <v>-13.85</v>
      </c>
      <c r="E11" s="68">
        <v>-20.13</v>
      </c>
      <c r="F11" s="68">
        <v>-22.84</v>
      </c>
      <c r="G11" s="68">
        <v>-24.54</v>
      </c>
      <c r="H11" s="68">
        <v>-25.54</v>
      </c>
      <c r="I11" s="68">
        <v>-22.38</v>
      </c>
      <c r="J11" s="68">
        <v>-26.72</v>
      </c>
      <c r="K11" s="68">
        <v>-30.34</v>
      </c>
      <c r="L11" s="68">
        <v>-29.79</v>
      </c>
      <c r="M11" s="68">
        <v>-28.56</v>
      </c>
      <c r="N11" s="68">
        <v>-29.02</v>
      </c>
      <c r="O11" s="68">
        <v>-32.200000000000003</v>
      </c>
      <c r="P11" s="18">
        <v>-45.3</v>
      </c>
      <c r="Q11" s="179"/>
      <c r="S11" s="17">
        <v>-9.92</v>
      </c>
      <c r="T11" s="18">
        <v>-22.31</v>
      </c>
      <c r="U11" s="18">
        <v>-33.270000000000003</v>
      </c>
      <c r="V11" s="19">
        <v>-45.3</v>
      </c>
      <c r="W11" s="71">
        <v>-12.97</v>
      </c>
      <c r="X11" s="72">
        <v>-28.14</v>
      </c>
      <c r="Y11" s="72">
        <v>-41.17</v>
      </c>
      <c r="Z11" s="73"/>
      <c r="AB11" s="17">
        <v>-9.92</v>
      </c>
      <c r="AC11" s="18">
        <v>-12.39</v>
      </c>
      <c r="AD11" s="18">
        <v>-10.96</v>
      </c>
      <c r="AE11" s="19">
        <v>-12.04</v>
      </c>
      <c r="AF11" s="71">
        <v>-12.97</v>
      </c>
      <c r="AG11" s="72">
        <v>-15.17</v>
      </c>
      <c r="AH11" s="72">
        <v>-13.03</v>
      </c>
      <c r="AI11" s="357"/>
      <c r="AJ11" s="56"/>
      <c r="AK11" s="56"/>
    </row>
    <row r="12" spans="2:37" s="49" customFormat="1" ht="15">
      <c r="B12" s="330" t="s">
        <v>32</v>
      </c>
      <c r="C12" s="67">
        <v>-13.22</v>
      </c>
      <c r="D12" s="68">
        <v>-15.32</v>
      </c>
      <c r="E12" s="68">
        <v>-19.91</v>
      </c>
      <c r="F12" s="68">
        <v>-28.65</v>
      </c>
      <c r="G12" s="68">
        <v>-41</v>
      </c>
      <c r="H12" s="68">
        <v>-77.69</v>
      </c>
      <c r="I12" s="68">
        <v>-65.25</v>
      </c>
      <c r="J12" s="68">
        <v>-104.06</v>
      </c>
      <c r="K12" s="68">
        <v>-88.83</v>
      </c>
      <c r="L12" s="68">
        <v>-84.17</v>
      </c>
      <c r="M12" s="68">
        <v>-64.94</v>
      </c>
      <c r="N12" s="68">
        <v>-70.92</v>
      </c>
      <c r="O12" s="68">
        <v>-68.400000000000006</v>
      </c>
      <c r="P12" s="18">
        <v>-101.15</v>
      </c>
      <c r="Q12" s="179"/>
      <c r="S12" s="17">
        <v>-21.78</v>
      </c>
      <c r="T12" s="18">
        <v>-34.159999999999997</v>
      </c>
      <c r="U12" s="18">
        <v>-42.27</v>
      </c>
      <c r="V12" s="19">
        <v>-101.15</v>
      </c>
      <c r="W12" s="71">
        <v>-35.409999999999997</v>
      </c>
      <c r="X12" s="72">
        <v>-69.150000000000006</v>
      </c>
      <c r="Y12" s="72">
        <v>-102.64</v>
      </c>
      <c r="Z12" s="73"/>
      <c r="AB12" s="17">
        <v>-21.78</v>
      </c>
      <c r="AC12" s="18">
        <v>-12.37</v>
      </c>
      <c r="AD12" s="18">
        <v>-8.11</v>
      </c>
      <c r="AE12" s="19">
        <v>-58.88</v>
      </c>
      <c r="AF12" s="71">
        <v>-35.409999999999997</v>
      </c>
      <c r="AG12" s="72">
        <v>-33.74</v>
      </c>
      <c r="AH12" s="72">
        <v>-33.49</v>
      </c>
      <c r="AI12" s="357"/>
      <c r="AJ12" s="56"/>
      <c r="AK12" s="56"/>
    </row>
    <row r="13" spans="2:37" s="49" customFormat="1" ht="15">
      <c r="B13" s="299" t="s">
        <v>33</v>
      </c>
      <c r="C13" s="48"/>
      <c r="N13" s="49">
        <v>0</v>
      </c>
      <c r="O13" s="49">
        <v>4.18</v>
      </c>
      <c r="P13" s="175">
        <v>8.82</v>
      </c>
      <c r="Q13" s="50"/>
      <c r="R13" s="56"/>
      <c r="S13" s="4">
        <v>0.78</v>
      </c>
      <c r="T13" s="18">
        <v>2.14</v>
      </c>
      <c r="U13" s="18">
        <v>3.73</v>
      </c>
      <c r="V13" s="19">
        <v>8.82</v>
      </c>
      <c r="W13" s="71">
        <v>9.4600000000000009</v>
      </c>
      <c r="X13" s="72">
        <v>18.48</v>
      </c>
      <c r="Y13" s="72">
        <v>22.15</v>
      </c>
      <c r="Z13" s="73"/>
      <c r="AB13" s="4">
        <v>0.78</v>
      </c>
      <c r="AC13" s="18">
        <v>1.36</v>
      </c>
      <c r="AD13" s="18">
        <v>1.59</v>
      </c>
      <c r="AE13" s="19">
        <v>5.09</v>
      </c>
      <c r="AF13" s="71">
        <v>9.4600000000000009</v>
      </c>
      <c r="AG13" s="72">
        <v>9.02</v>
      </c>
      <c r="AH13" s="72">
        <v>3.67</v>
      </c>
      <c r="AI13" s="357"/>
      <c r="AJ13" s="56"/>
      <c r="AK13" s="56"/>
    </row>
    <row r="14" spans="2:37" s="49" customFormat="1" ht="15">
      <c r="B14" s="331"/>
      <c r="C14" s="48"/>
      <c r="P14" s="175"/>
      <c r="Q14" s="50"/>
      <c r="S14" s="174"/>
      <c r="T14" s="175"/>
      <c r="U14" s="175"/>
      <c r="V14" s="325"/>
      <c r="W14" s="64"/>
      <c r="X14" s="65"/>
      <c r="Y14" s="65"/>
      <c r="Z14" s="66"/>
      <c r="AB14" s="174"/>
      <c r="AC14" s="175"/>
      <c r="AD14" s="175"/>
      <c r="AE14" s="325"/>
      <c r="AF14" s="64"/>
      <c r="AG14" s="65"/>
      <c r="AH14" s="65"/>
      <c r="AI14" s="131"/>
      <c r="AJ14" s="56"/>
      <c r="AK14" s="56"/>
    </row>
    <row r="15" spans="2:37" s="56" customFormat="1" ht="15">
      <c r="B15" s="332" t="s">
        <v>15</v>
      </c>
      <c r="C15" s="63">
        <v>306.77</v>
      </c>
      <c r="D15" s="56">
        <v>348.37</v>
      </c>
      <c r="E15" s="56">
        <v>461.67</v>
      </c>
      <c r="F15" s="56">
        <v>539.28</v>
      </c>
      <c r="G15" s="56">
        <v>633.44000000000005</v>
      </c>
      <c r="H15" s="56">
        <v>590.25</v>
      </c>
      <c r="I15" s="56">
        <v>544.48</v>
      </c>
      <c r="J15" s="56">
        <v>690.16</v>
      </c>
      <c r="K15" s="56">
        <v>666.47</v>
      </c>
      <c r="L15" s="56">
        <v>728.59</v>
      </c>
      <c r="M15" s="56">
        <v>652.79</v>
      </c>
      <c r="N15" s="56">
        <v>913.57</v>
      </c>
      <c r="O15" s="56">
        <v>856.47</v>
      </c>
      <c r="P15" s="164">
        <v>949.78</v>
      </c>
      <c r="Q15" s="57"/>
      <c r="S15" s="21">
        <v>188.05</v>
      </c>
      <c r="T15" s="22">
        <v>338.66</v>
      </c>
      <c r="U15" s="22">
        <v>425.24</v>
      </c>
      <c r="V15" s="23">
        <v>949.78</v>
      </c>
      <c r="W15" s="183">
        <v>210.45</v>
      </c>
      <c r="X15" s="182">
        <v>563.74</v>
      </c>
      <c r="Y15" s="182">
        <v>867.36</v>
      </c>
      <c r="Z15" s="214"/>
      <c r="AB15" s="21">
        <v>188.05</v>
      </c>
      <c r="AC15" s="22">
        <v>150.61000000000001</v>
      </c>
      <c r="AD15" s="22">
        <v>86.58</v>
      </c>
      <c r="AE15" s="23">
        <v>524.54</v>
      </c>
      <c r="AF15" s="183">
        <v>210.45</v>
      </c>
      <c r="AG15" s="182">
        <v>353.29</v>
      </c>
      <c r="AH15" s="182">
        <v>303.62</v>
      </c>
      <c r="AI15" s="356"/>
    </row>
    <row r="16" spans="2:37" s="31" customFormat="1" ht="15">
      <c r="B16" s="116" t="s">
        <v>16</v>
      </c>
      <c r="C16" s="77">
        <v>0.79</v>
      </c>
      <c r="D16" s="77">
        <v>0.8</v>
      </c>
      <c r="E16" s="77">
        <v>0.82</v>
      </c>
      <c r="F16" s="77">
        <v>0.85</v>
      </c>
      <c r="G16" s="77">
        <v>0.81</v>
      </c>
      <c r="H16" s="77">
        <v>0.72</v>
      </c>
      <c r="I16" s="77">
        <v>0.73</v>
      </c>
      <c r="J16" s="77">
        <v>0.83</v>
      </c>
      <c r="K16" s="77">
        <v>0.73</v>
      </c>
      <c r="L16" s="77">
        <v>0.77</v>
      </c>
      <c r="M16" s="77">
        <v>0.73</v>
      </c>
      <c r="N16" s="77">
        <v>0.99</v>
      </c>
      <c r="O16" s="77">
        <v>1.04</v>
      </c>
      <c r="P16" s="222">
        <v>1.03</v>
      </c>
      <c r="Q16" s="79"/>
      <c r="R16" s="77"/>
      <c r="S16" s="223">
        <v>0.74</v>
      </c>
      <c r="T16" s="222">
        <v>0.75</v>
      </c>
      <c r="U16" s="222">
        <v>0.71</v>
      </c>
      <c r="V16" s="224">
        <v>1.03</v>
      </c>
      <c r="W16" s="80">
        <v>0.72</v>
      </c>
      <c r="X16" s="81">
        <v>0.89</v>
      </c>
      <c r="Y16" s="81">
        <v>1</v>
      </c>
      <c r="Z16" s="82"/>
      <c r="AA16" s="77"/>
      <c r="AB16" s="223">
        <v>0.74</v>
      </c>
      <c r="AC16" s="222">
        <v>0.75</v>
      </c>
      <c r="AD16" s="222">
        <v>0.61</v>
      </c>
      <c r="AE16" s="224">
        <v>1.58</v>
      </c>
      <c r="AF16" s="80">
        <v>0.72</v>
      </c>
      <c r="AG16" s="81">
        <v>1.03</v>
      </c>
      <c r="AH16" s="81">
        <v>1.3</v>
      </c>
      <c r="AI16" s="358"/>
      <c r="AJ16" s="75"/>
      <c r="AK16" s="56"/>
    </row>
    <row r="17" spans="2:37" ht="15">
      <c r="B17" s="225"/>
      <c r="C17" s="195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226"/>
      <c r="Q17" s="227"/>
      <c r="R17" s="36"/>
      <c r="S17" s="228"/>
      <c r="T17" s="226"/>
      <c r="U17" s="226"/>
      <c r="V17" s="229"/>
      <c r="W17" s="230"/>
      <c r="X17" s="231"/>
      <c r="Y17" s="231"/>
      <c r="Z17" s="232"/>
      <c r="AA17" s="36"/>
      <c r="AB17" s="228"/>
      <c r="AC17" s="226"/>
      <c r="AD17" s="226"/>
      <c r="AE17" s="229"/>
      <c r="AF17" s="230"/>
      <c r="AG17" s="231"/>
      <c r="AH17" s="231"/>
      <c r="AI17" s="359"/>
      <c r="AJ17" s="217"/>
      <c r="AK17" s="56"/>
    </row>
    <row r="18" spans="2:37" s="49" customFormat="1" ht="15">
      <c r="B18" s="234" t="s">
        <v>35</v>
      </c>
      <c r="C18" s="43">
        <v>0.81</v>
      </c>
      <c r="D18" s="40">
        <v>0.18</v>
      </c>
      <c r="E18" s="40">
        <v>0.16</v>
      </c>
      <c r="F18" s="40">
        <v>0.27</v>
      </c>
      <c r="G18" s="40">
        <v>0</v>
      </c>
      <c r="H18" s="40">
        <v>-0.1</v>
      </c>
      <c r="I18" s="286">
        <v>-0.02</v>
      </c>
      <c r="J18" s="286">
        <v>-0.02</v>
      </c>
      <c r="K18" s="68">
        <v>-4.8</v>
      </c>
      <c r="L18" s="40">
        <v>-0.18</v>
      </c>
      <c r="M18" s="40">
        <v>-0.62</v>
      </c>
      <c r="N18" s="68">
        <v>-1.23</v>
      </c>
      <c r="O18" s="40">
        <v>-0.69</v>
      </c>
      <c r="P18" s="5">
        <v>-0.8</v>
      </c>
      <c r="Q18" s="179"/>
      <c r="S18" s="4">
        <v>-0.06</v>
      </c>
      <c r="T18" s="5">
        <v>-0.47</v>
      </c>
      <c r="U18" s="5">
        <v>-0.54</v>
      </c>
      <c r="V18" s="3">
        <v>-0.8</v>
      </c>
      <c r="W18" s="221">
        <v>-0.06</v>
      </c>
      <c r="X18" s="180">
        <v>-0.54</v>
      </c>
      <c r="Y18" s="72">
        <v>-2.2200000000000002</v>
      </c>
      <c r="Z18" s="73"/>
      <c r="AB18" s="4">
        <v>-0.06</v>
      </c>
      <c r="AC18" s="5">
        <v>-0.41</v>
      </c>
      <c r="AD18" s="5">
        <v>-0.06</v>
      </c>
      <c r="AE18" s="3">
        <v>-0.26</v>
      </c>
      <c r="AF18" s="221">
        <v>-0.06</v>
      </c>
      <c r="AG18" s="180">
        <v>-0.48</v>
      </c>
      <c r="AH18" s="180">
        <v>-1.68</v>
      </c>
      <c r="AI18" s="357"/>
      <c r="AJ18" s="56"/>
      <c r="AK18" s="56"/>
    </row>
    <row r="19" spans="2:37" s="49" customFormat="1" ht="15">
      <c r="B19" s="234" t="s">
        <v>36</v>
      </c>
      <c r="C19" s="67">
        <v>-120.08</v>
      </c>
      <c r="D19" s="68">
        <v>-154.09</v>
      </c>
      <c r="E19" s="68">
        <v>-209.19</v>
      </c>
      <c r="F19" s="68">
        <v>-252.23</v>
      </c>
      <c r="G19" s="68">
        <v>-260.14</v>
      </c>
      <c r="H19" s="68">
        <v>-235.8</v>
      </c>
      <c r="I19" s="68">
        <v>-270.8</v>
      </c>
      <c r="J19" s="68">
        <v>-291.27999999999997</v>
      </c>
      <c r="K19" s="68">
        <v>-303.17</v>
      </c>
      <c r="L19" s="68">
        <v>-294.7</v>
      </c>
      <c r="M19" s="68">
        <v>-253.47</v>
      </c>
      <c r="N19" s="68">
        <v>-255.2</v>
      </c>
      <c r="O19" s="68">
        <v>-222.9</v>
      </c>
      <c r="P19" s="18">
        <v>-252.06</v>
      </c>
      <c r="Q19" s="179"/>
      <c r="S19" s="17">
        <v>-62.65</v>
      </c>
      <c r="T19" s="18">
        <v>-126.83</v>
      </c>
      <c r="U19" s="18">
        <v>-189.33</v>
      </c>
      <c r="V19" s="19">
        <v>-252.06</v>
      </c>
      <c r="W19" s="71">
        <v>-62.08</v>
      </c>
      <c r="X19" s="72">
        <v>-124.39</v>
      </c>
      <c r="Y19" s="72">
        <v>-187.95</v>
      </c>
      <c r="Z19" s="73"/>
      <c r="AB19" s="17">
        <v>-62.65</v>
      </c>
      <c r="AC19" s="18">
        <v>-64.17</v>
      </c>
      <c r="AD19" s="18">
        <v>-62.5</v>
      </c>
      <c r="AE19" s="19">
        <v>-62.73</v>
      </c>
      <c r="AF19" s="71">
        <v>-62.08</v>
      </c>
      <c r="AG19" s="72">
        <v>-62.32</v>
      </c>
      <c r="AH19" s="72">
        <v>-63.56</v>
      </c>
      <c r="AI19" s="357"/>
      <c r="AJ19" s="56"/>
      <c r="AK19" s="56"/>
    </row>
    <row r="20" spans="2:37" s="49" customFormat="1" ht="15">
      <c r="B20" s="234" t="s">
        <v>37</v>
      </c>
      <c r="C20" s="43">
        <v>0.7</v>
      </c>
      <c r="D20" s="40">
        <v>0.81</v>
      </c>
      <c r="E20" s="68">
        <v>1.54</v>
      </c>
      <c r="F20" s="68">
        <v>1.3</v>
      </c>
      <c r="G20" s="68">
        <v>1.1200000000000001</v>
      </c>
      <c r="H20" s="68">
        <v>1.1000000000000001</v>
      </c>
      <c r="I20" s="68">
        <v>1.6</v>
      </c>
      <c r="J20" s="68">
        <v>1.99</v>
      </c>
      <c r="K20" s="68">
        <v>1.28</v>
      </c>
      <c r="L20" s="68">
        <v>3.31</v>
      </c>
      <c r="M20" s="40">
        <v>0.66</v>
      </c>
      <c r="N20" s="68">
        <v>0.96</v>
      </c>
      <c r="O20" s="40">
        <v>0.61</v>
      </c>
      <c r="P20" s="5">
        <v>0.61</v>
      </c>
      <c r="Q20" s="179"/>
      <c r="S20" s="4">
        <v>0.15</v>
      </c>
      <c r="T20" s="5">
        <v>0.3</v>
      </c>
      <c r="U20" s="5">
        <v>0.46</v>
      </c>
      <c r="V20" s="3">
        <v>0.61</v>
      </c>
      <c r="W20" s="221">
        <v>0.22</v>
      </c>
      <c r="X20" s="180">
        <v>0.45</v>
      </c>
      <c r="Y20" s="180">
        <v>0.68</v>
      </c>
      <c r="Z20" s="73"/>
      <c r="AB20" s="4">
        <v>0.15</v>
      </c>
      <c r="AC20" s="5">
        <v>0.15</v>
      </c>
      <c r="AD20" s="5">
        <v>0.15</v>
      </c>
      <c r="AE20" s="3">
        <v>0.15</v>
      </c>
      <c r="AF20" s="221">
        <v>0.22</v>
      </c>
      <c r="AG20" s="180">
        <v>0.23</v>
      </c>
      <c r="AH20" s="180">
        <v>0.23</v>
      </c>
      <c r="AI20" s="357"/>
      <c r="AJ20" s="56"/>
      <c r="AK20" s="56"/>
    </row>
    <row r="21" spans="2:37" s="49" customFormat="1" ht="15">
      <c r="B21" s="331"/>
      <c r="C21" s="48"/>
      <c r="P21" s="175"/>
      <c r="Q21" s="50"/>
      <c r="S21" s="174"/>
      <c r="T21" s="175"/>
      <c r="U21" s="175"/>
      <c r="V21" s="325"/>
      <c r="W21" s="64"/>
      <c r="X21" s="65"/>
      <c r="Y21" s="65"/>
      <c r="Z21" s="66"/>
      <c r="AB21" s="174"/>
      <c r="AC21" s="175"/>
      <c r="AD21" s="175"/>
      <c r="AE21" s="325"/>
      <c r="AF21" s="64"/>
      <c r="AG21" s="65"/>
      <c r="AH21" s="65"/>
      <c r="AI21" s="131"/>
      <c r="AJ21" s="56"/>
      <c r="AK21" s="56"/>
    </row>
    <row r="22" spans="2:37" s="56" customFormat="1" ht="15">
      <c r="B22" s="332" t="s">
        <v>17</v>
      </c>
      <c r="C22" s="63">
        <v>188.2</v>
      </c>
      <c r="D22" s="56">
        <v>195.27</v>
      </c>
      <c r="E22" s="56">
        <v>254.17</v>
      </c>
      <c r="F22" s="56">
        <v>288.61</v>
      </c>
      <c r="G22" s="56">
        <v>374.42</v>
      </c>
      <c r="H22" s="56">
        <v>355.45</v>
      </c>
      <c r="I22" s="56">
        <v>275.26</v>
      </c>
      <c r="J22" s="56">
        <v>400.85</v>
      </c>
      <c r="K22" s="56">
        <v>359.79</v>
      </c>
      <c r="L22" s="56">
        <v>437.02</v>
      </c>
      <c r="M22" s="56">
        <v>399.37</v>
      </c>
      <c r="N22" s="56">
        <v>658.09</v>
      </c>
      <c r="O22" s="56">
        <v>633.49</v>
      </c>
      <c r="P22" s="164">
        <v>697.53</v>
      </c>
      <c r="Q22" s="57"/>
      <c r="S22" s="326">
        <v>125.49</v>
      </c>
      <c r="T22" s="164">
        <v>211.66</v>
      </c>
      <c r="U22" s="164">
        <v>235.83</v>
      </c>
      <c r="V22" s="327">
        <v>697.53</v>
      </c>
      <c r="W22" s="60">
        <v>148.53</v>
      </c>
      <c r="X22" s="61">
        <v>439.25</v>
      </c>
      <c r="Y22" s="61">
        <v>677.86</v>
      </c>
      <c r="Z22" s="62"/>
      <c r="AB22" s="326">
        <v>125.49</v>
      </c>
      <c r="AC22" s="164">
        <v>86.18</v>
      </c>
      <c r="AD22" s="164">
        <v>24.17</v>
      </c>
      <c r="AE22" s="327">
        <v>461.7</v>
      </c>
      <c r="AF22" s="60">
        <v>148.53</v>
      </c>
      <c r="AG22" s="61">
        <v>290.70999999999998</v>
      </c>
      <c r="AH22" s="61">
        <v>238.61</v>
      </c>
      <c r="AI22" s="360"/>
    </row>
    <row r="23" spans="2:37">
      <c r="B23" s="108"/>
      <c r="C23" s="100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2"/>
      <c r="S23" s="109"/>
      <c r="T23" s="103"/>
      <c r="U23" s="103"/>
      <c r="V23" s="110"/>
      <c r="W23" s="109"/>
      <c r="X23" s="103"/>
      <c r="Y23" s="103"/>
      <c r="Z23" s="110"/>
      <c r="AB23" s="109"/>
      <c r="AC23" s="103"/>
      <c r="AD23" s="103"/>
      <c r="AE23" s="110"/>
      <c r="AF23" s="109"/>
      <c r="AG23" s="103"/>
      <c r="AH23" s="103"/>
      <c r="AI23" s="283"/>
    </row>
    <row r="24" spans="2:37">
      <c r="B24" s="240" t="s">
        <v>91</v>
      </c>
    </row>
    <row r="25" spans="2:37">
      <c r="B25" s="240"/>
    </row>
    <row r="26" spans="2:37" ht="15" thickBot="1">
      <c r="B26" s="240"/>
    </row>
    <row r="27" spans="2:37" ht="15.5" thickBot="1">
      <c r="B27" s="615" t="s">
        <v>99</v>
      </c>
      <c r="C27" s="616"/>
      <c r="D27" s="616"/>
      <c r="E27" s="616"/>
      <c r="F27" s="616"/>
      <c r="G27" s="616"/>
      <c r="H27" s="616"/>
      <c r="I27" s="616"/>
      <c r="J27" s="616"/>
      <c r="K27" s="616"/>
      <c r="L27" s="616"/>
      <c r="M27" s="616"/>
      <c r="N27" s="616"/>
      <c r="O27" s="616"/>
      <c r="P27" s="616"/>
      <c r="Q27" s="616"/>
      <c r="R27" s="616"/>
      <c r="S27" s="616"/>
      <c r="T27" s="616"/>
      <c r="U27" s="616"/>
      <c r="V27" s="616"/>
      <c r="W27" s="616"/>
      <c r="X27" s="616"/>
      <c r="Y27" s="616"/>
      <c r="Z27" s="616"/>
      <c r="AA27" s="616"/>
      <c r="AB27" s="616"/>
      <c r="AC27" s="616"/>
      <c r="AD27" s="616"/>
      <c r="AE27" s="616"/>
      <c r="AF27" s="616"/>
      <c r="AG27" s="616"/>
      <c r="AH27" s="616"/>
      <c r="AI27" s="617"/>
    </row>
    <row r="28" spans="2:37" ht="15">
      <c r="B28" s="392" t="s">
        <v>83</v>
      </c>
      <c r="C28" s="393">
        <v>2008</v>
      </c>
      <c r="D28" s="393">
        <v>2009</v>
      </c>
      <c r="E28" s="393">
        <v>2010</v>
      </c>
      <c r="F28" s="393">
        <v>2011</v>
      </c>
      <c r="G28" s="394">
        <v>2012</v>
      </c>
      <c r="H28" s="394">
        <v>2013</v>
      </c>
      <c r="I28" s="394">
        <v>2014</v>
      </c>
      <c r="J28" s="394">
        <v>2015</v>
      </c>
      <c r="K28" s="394">
        <v>2016</v>
      </c>
      <c r="L28" s="394">
        <v>2017</v>
      </c>
      <c r="M28" s="394">
        <v>2018</v>
      </c>
      <c r="N28" s="394">
        <v>2019</v>
      </c>
      <c r="O28" s="394">
        <v>2020</v>
      </c>
      <c r="P28" s="394">
        <v>2021</v>
      </c>
      <c r="Q28" s="394">
        <v>2022</v>
      </c>
      <c r="R28" s="1"/>
      <c r="S28" s="395" t="s">
        <v>0</v>
      </c>
      <c r="T28" s="342" t="s">
        <v>1</v>
      </c>
      <c r="U28" s="342" t="s">
        <v>2</v>
      </c>
      <c r="V28" s="396" t="s">
        <v>3</v>
      </c>
      <c r="W28" s="395" t="s">
        <v>4</v>
      </c>
      <c r="X28" s="342" t="s">
        <v>5</v>
      </c>
      <c r="Y28" s="342" t="s">
        <v>6</v>
      </c>
      <c r="Z28" s="396" t="s">
        <v>7</v>
      </c>
      <c r="AB28" s="395" t="s">
        <v>0</v>
      </c>
      <c r="AC28" s="342" t="s">
        <v>8</v>
      </c>
      <c r="AD28" s="342" t="s">
        <v>9</v>
      </c>
      <c r="AE28" s="400" t="s">
        <v>10</v>
      </c>
      <c r="AF28" s="395" t="s">
        <v>4</v>
      </c>
      <c r="AG28" s="342" t="s">
        <v>11</v>
      </c>
      <c r="AH28" s="342" t="s">
        <v>12</v>
      </c>
      <c r="AI28" s="396" t="s">
        <v>13</v>
      </c>
    </row>
    <row r="29" spans="2:37">
      <c r="B29" s="241"/>
      <c r="C29" s="149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1"/>
      <c r="S29" s="149"/>
      <c r="T29" s="150"/>
      <c r="U29" s="150"/>
      <c r="V29" s="151"/>
      <c r="W29" s="238"/>
      <c r="X29" s="235"/>
      <c r="Y29" s="235"/>
      <c r="Z29" s="151"/>
      <c r="AB29" s="149"/>
      <c r="AC29" s="150"/>
      <c r="AD29" s="150"/>
      <c r="AE29" s="151"/>
      <c r="AF29" s="235"/>
      <c r="AG29" s="235"/>
      <c r="AH29" s="235"/>
      <c r="AI29" s="151"/>
    </row>
    <row r="30" spans="2:37">
      <c r="B30" s="295" t="s">
        <v>26</v>
      </c>
      <c r="C30" s="48">
        <v>193.88</v>
      </c>
      <c r="D30" s="49">
        <v>282.73</v>
      </c>
      <c r="E30" s="49">
        <v>364.53</v>
      </c>
      <c r="F30" s="49">
        <v>421.61</v>
      </c>
      <c r="G30" s="49">
        <v>456.75</v>
      </c>
      <c r="H30" s="49">
        <v>461.89</v>
      </c>
      <c r="I30" s="49">
        <v>507.6</v>
      </c>
      <c r="J30" s="49">
        <v>552.98</v>
      </c>
      <c r="K30" s="49">
        <v>561.87</v>
      </c>
      <c r="L30" s="49">
        <v>675.62</v>
      </c>
      <c r="M30" s="49">
        <v>682.44</v>
      </c>
      <c r="N30" s="49">
        <v>728.66</v>
      </c>
      <c r="O30" s="49">
        <v>764.52</v>
      </c>
      <c r="P30" s="49">
        <v>691.21</v>
      </c>
      <c r="Q30" s="50"/>
      <c r="R30" s="49"/>
      <c r="S30" s="51">
        <v>170.85</v>
      </c>
      <c r="T30" s="52">
        <v>358.61</v>
      </c>
      <c r="U30" s="52">
        <v>513.91</v>
      </c>
      <c r="V30" s="239">
        <v>691.21</v>
      </c>
      <c r="W30" s="64">
        <v>223.69</v>
      </c>
      <c r="X30" s="65">
        <v>452.29</v>
      </c>
      <c r="Y30" s="65">
        <v>580.26</v>
      </c>
      <c r="Z30" s="53"/>
      <c r="AB30" s="51">
        <v>170.85</v>
      </c>
      <c r="AC30" s="52">
        <v>187.75</v>
      </c>
      <c r="AD30" s="52">
        <v>155.30000000000001</v>
      </c>
      <c r="AE30" s="239">
        <v>177.3</v>
      </c>
      <c r="AF30" s="64">
        <v>223.69</v>
      </c>
      <c r="AG30" s="65">
        <v>228.59</v>
      </c>
      <c r="AH30" s="65">
        <v>127.97</v>
      </c>
      <c r="AI30" s="53"/>
    </row>
    <row r="31" spans="2:37">
      <c r="B31" s="295" t="s">
        <v>84</v>
      </c>
      <c r="C31" s="67">
        <v>90.42</v>
      </c>
      <c r="D31" s="68">
        <v>114.89</v>
      </c>
      <c r="E31" s="68">
        <v>141.86000000000001</v>
      </c>
      <c r="F31" s="68">
        <v>155.36000000000001</v>
      </c>
      <c r="G31" s="68">
        <v>163.62</v>
      </c>
      <c r="H31" s="68">
        <v>166.15</v>
      </c>
      <c r="I31" s="68">
        <v>164.2</v>
      </c>
      <c r="J31" s="68">
        <v>219.15</v>
      </c>
      <c r="K31" s="68">
        <v>218.65</v>
      </c>
      <c r="L31" s="68">
        <v>254.75</v>
      </c>
      <c r="M31" s="68">
        <v>218.69</v>
      </c>
      <c r="N31" s="68">
        <v>203.28</v>
      </c>
      <c r="O31" s="68">
        <v>230.46</v>
      </c>
      <c r="P31" s="68">
        <v>209.59</v>
      </c>
      <c r="Q31" s="179"/>
      <c r="R31" s="49"/>
      <c r="S31" s="67">
        <v>53.85</v>
      </c>
      <c r="T31" s="68">
        <v>104.28</v>
      </c>
      <c r="U31" s="68">
        <v>147.29</v>
      </c>
      <c r="V31" s="179">
        <v>209.59</v>
      </c>
      <c r="W31" s="71">
        <v>65.83</v>
      </c>
      <c r="X31" s="72">
        <v>135.31</v>
      </c>
      <c r="Y31" s="72">
        <v>184.99</v>
      </c>
      <c r="Z31" s="313"/>
      <c r="AB31" s="67">
        <v>53.85</v>
      </c>
      <c r="AC31" s="68">
        <v>50.44</v>
      </c>
      <c r="AD31" s="68">
        <v>43.01</v>
      </c>
      <c r="AE31" s="179">
        <v>62.3</v>
      </c>
      <c r="AF31" s="71">
        <v>65.83</v>
      </c>
      <c r="AG31" s="72">
        <v>69.47</v>
      </c>
      <c r="AH31" s="72">
        <v>49.68</v>
      </c>
      <c r="AI31" s="313"/>
    </row>
    <row r="32" spans="2:37" ht="15">
      <c r="B32" s="293" t="s">
        <v>14</v>
      </c>
      <c r="C32" s="163">
        <v>284.31</v>
      </c>
      <c r="D32" s="162">
        <v>397.62</v>
      </c>
      <c r="E32" s="162">
        <v>506.39</v>
      </c>
      <c r="F32" s="162">
        <v>576.97</v>
      </c>
      <c r="G32" s="162">
        <v>620.37</v>
      </c>
      <c r="H32" s="162">
        <v>628.04</v>
      </c>
      <c r="I32" s="162">
        <v>671.81</v>
      </c>
      <c r="J32" s="162">
        <v>772.13</v>
      </c>
      <c r="K32" s="162">
        <v>780.52</v>
      </c>
      <c r="L32" s="162">
        <v>930.37</v>
      </c>
      <c r="M32" s="162">
        <v>901.14</v>
      </c>
      <c r="N32" s="162">
        <v>931.94</v>
      </c>
      <c r="O32" s="162">
        <v>994.98</v>
      </c>
      <c r="P32" s="162">
        <v>900.8</v>
      </c>
      <c r="Q32" s="181"/>
      <c r="R32" s="56"/>
      <c r="S32" s="163">
        <v>224.7</v>
      </c>
      <c r="T32" s="162">
        <v>462.89</v>
      </c>
      <c r="U32" s="162">
        <v>661.2</v>
      </c>
      <c r="V32" s="181">
        <v>900.8</v>
      </c>
      <c r="W32" s="183">
        <v>289.52999999999997</v>
      </c>
      <c r="X32" s="182">
        <v>587.59</v>
      </c>
      <c r="Y32" s="182">
        <v>765.25</v>
      </c>
      <c r="Z32" s="314"/>
      <c r="AB32" s="163">
        <v>224.7</v>
      </c>
      <c r="AC32" s="162">
        <v>238.19</v>
      </c>
      <c r="AD32" s="162">
        <v>198.31</v>
      </c>
      <c r="AE32" s="181">
        <v>239.6</v>
      </c>
      <c r="AF32" s="183">
        <v>289.52999999999997</v>
      </c>
      <c r="AG32" s="182">
        <v>298.06</v>
      </c>
      <c r="AH32" s="182">
        <v>177.66</v>
      </c>
      <c r="AI32" s="314"/>
    </row>
    <row r="33" spans="2:35" ht="15">
      <c r="B33" s="293"/>
      <c r="C33" s="163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81"/>
      <c r="R33" s="56"/>
      <c r="S33" s="163"/>
      <c r="T33" s="162"/>
      <c r="U33" s="162"/>
      <c r="V33" s="181"/>
      <c r="W33" s="183"/>
      <c r="X33" s="182"/>
      <c r="Y33" s="182"/>
      <c r="Z33" s="314"/>
      <c r="AB33" s="163"/>
      <c r="AC33" s="162"/>
      <c r="AD33" s="162"/>
      <c r="AE33" s="181"/>
      <c r="AF33" s="183"/>
      <c r="AG33" s="182"/>
      <c r="AH33" s="182"/>
      <c r="AI33" s="314"/>
    </row>
    <row r="34" spans="2:35">
      <c r="B34" s="295" t="s">
        <v>28</v>
      </c>
      <c r="C34" s="48">
        <v>34.5</v>
      </c>
      <c r="D34" s="49">
        <v>45.37</v>
      </c>
      <c r="E34" s="49">
        <v>61.01</v>
      </c>
      <c r="F34" s="49">
        <v>24.65</v>
      </c>
      <c r="G34" s="49">
        <v>25.43</v>
      </c>
      <c r="H34" s="49">
        <v>39.880000000000003</v>
      </c>
      <c r="I34" s="49">
        <v>22.62</v>
      </c>
      <c r="J34" s="49">
        <v>21.78</v>
      </c>
      <c r="K34" s="49">
        <v>25.71</v>
      </c>
      <c r="L34" s="49">
        <v>24.97</v>
      </c>
      <c r="M34" s="49">
        <v>175.27</v>
      </c>
      <c r="N34" s="49">
        <v>56.37</v>
      </c>
      <c r="O34" s="49">
        <v>249.64</v>
      </c>
      <c r="P34" s="49">
        <v>331.78</v>
      </c>
      <c r="Q34" s="50"/>
      <c r="R34" s="49"/>
      <c r="S34" s="51">
        <v>11.06</v>
      </c>
      <c r="T34" s="52">
        <v>149.72</v>
      </c>
      <c r="U34" s="52">
        <v>210.96</v>
      </c>
      <c r="V34" s="239">
        <v>331.78</v>
      </c>
      <c r="W34" s="64">
        <v>14.95</v>
      </c>
      <c r="X34" s="65">
        <v>24.7</v>
      </c>
      <c r="Y34" s="65">
        <v>42.86</v>
      </c>
      <c r="Z34" s="53"/>
      <c r="AB34" s="51">
        <v>11.06</v>
      </c>
      <c r="AC34" s="52">
        <v>138.66999999999999</v>
      </c>
      <c r="AD34" s="52">
        <v>61.23</v>
      </c>
      <c r="AE34" s="239">
        <v>120.82</v>
      </c>
      <c r="AF34" s="64">
        <v>14.95</v>
      </c>
      <c r="AG34" s="65">
        <v>9.74</v>
      </c>
      <c r="AH34" s="65">
        <v>18.16</v>
      </c>
      <c r="AI34" s="53"/>
    </row>
    <row r="35" spans="2:35" ht="15">
      <c r="B35" s="295" t="s">
        <v>29</v>
      </c>
      <c r="C35" s="67">
        <v>-114.35</v>
      </c>
      <c r="D35" s="68">
        <v>-144.99</v>
      </c>
      <c r="E35" s="68">
        <v>-185.15</v>
      </c>
      <c r="F35" s="68">
        <v>-225.55</v>
      </c>
      <c r="G35" s="68">
        <v>-237.67</v>
      </c>
      <c r="H35" s="68">
        <v>-230.31</v>
      </c>
      <c r="I35" s="68">
        <v>-217.05</v>
      </c>
      <c r="J35" s="68">
        <v>-281.23</v>
      </c>
      <c r="K35" s="68">
        <v>-251.11</v>
      </c>
      <c r="L35" s="68">
        <v>-279.32</v>
      </c>
      <c r="M35" s="68">
        <v>-327.06</v>
      </c>
      <c r="N35" s="68">
        <v>-300.22000000000003</v>
      </c>
      <c r="O35" s="68">
        <v>-330.67</v>
      </c>
      <c r="P35" s="68">
        <v>-355.19</v>
      </c>
      <c r="Q35" s="179"/>
      <c r="R35" s="56"/>
      <c r="S35" s="67">
        <v>-122.67</v>
      </c>
      <c r="T35" s="68">
        <v>-209.2</v>
      </c>
      <c r="U35" s="68">
        <v>-284.32</v>
      </c>
      <c r="V35" s="179">
        <v>-355.19</v>
      </c>
      <c r="W35" s="71">
        <v>-141.09</v>
      </c>
      <c r="X35" s="72">
        <v>-241.96</v>
      </c>
      <c r="Y35" s="72">
        <v>-337.77</v>
      </c>
      <c r="Z35" s="313"/>
      <c r="AB35" s="67">
        <v>-122.67</v>
      </c>
      <c r="AC35" s="68">
        <v>-86.53</v>
      </c>
      <c r="AD35" s="68">
        <v>-75.13</v>
      </c>
      <c r="AE35" s="179">
        <v>-70.87</v>
      </c>
      <c r="AF35" s="71">
        <v>-141.09</v>
      </c>
      <c r="AG35" s="72">
        <v>-100.87</v>
      </c>
      <c r="AH35" s="72">
        <v>-95.81</v>
      </c>
      <c r="AI35" s="313"/>
    </row>
    <row r="36" spans="2:35">
      <c r="B36" s="298" t="s">
        <v>30</v>
      </c>
      <c r="C36" s="67">
        <v>-67.010000000000005</v>
      </c>
      <c r="D36" s="68">
        <v>-90.91</v>
      </c>
      <c r="E36" s="68">
        <v>-123.33</v>
      </c>
      <c r="F36" s="68">
        <v>-140.94999999999999</v>
      </c>
      <c r="G36" s="68">
        <v>-149.62</v>
      </c>
      <c r="H36" s="68">
        <v>-143.44</v>
      </c>
      <c r="I36" s="68">
        <v>-144.51</v>
      </c>
      <c r="J36" s="68">
        <v>-149.02000000000001</v>
      </c>
      <c r="K36" s="68">
        <v>-154.38999999999999</v>
      </c>
      <c r="L36" s="68">
        <v>-176.05</v>
      </c>
      <c r="M36" s="68">
        <v>-189.3</v>
      </c>
      <c r="N36" s="68">
        <v>-165.9</v>
      </c>
      <c r="O36" s="68">
        <v>-186.47</v>
      </c>
      <c r="P36" s="68">
        <v>-185.33</v>
      </c>
      <c r="Q36" s="179"/>
      <c r="R36" s="49"/>
      <c r="S36" s="67">
        <v>-47.99</v>
      </c>
      <c r="T36" s="68">
        <v>-92.33</v>
      </c>
      <c r="U36" s="68">
        <v>-137.06</v>
      </c>
      <c r="V36" s="179">
        <v>-185.33</v>
      </c>
      <c r="W36" s="71">
        <v>-47.67</v>
      </c>
      <c r="X36" s="72">
        <v>-97.31</v>
      </c>
      <c r="Y36" s="72">
        <v>-152.32</v>
      </c>
      <c r="Z36" s="313"/>
      <c r="AB36" s="67">
        <v>-47.99</v>
      </c>
      <c r="AC36" s="68">
        <v>-44.34</v>
      </c>
      <c r="AD36" s="68">
        <v>-44.73</v>
      </c>
      <c r="AE36" s="179">
        <v>-48.27</v>
      </c>
      <c r="AF36" s="71">
        <v>-47.67</v>
      </c>
      <c r="AG36" s="72">
        <v>-49.64</v>
      </c>
      <c r="AH36" s="72">
        <v>-55.01</v>
      </c>
      <c r="AI36" s="313"/>
    </row>
    <row r="37" spans="2:35">
      <c r="B37" s="298" t="s">
        <v>31</v>
      </c>
      <c r="C37" s="67">
        <v>-26.62</v>
      </c>
      <c r="D37" s="68">
        <v>-29.17</v>
      </c>
      <c r="E37" s="68">
        <v>-32.26</v>
      </c>
      <c r="F37" s="68">
        <v>-36.1</v>
      </c>
      <c r="G37" s="68">
        <v>-37.28</v>
      </c>
      <c r="H37" s="68">
        <v>-38.21</v>
      </c>
      <c r="I37" s="68">
        <v>-36.96</v>
      </c>
      <c r="J37" s="68">
        <v>-44.57</v>
      </c>
      <c r="K37" s="68">
        <v>-48.56</v>
      </c>
      <c r="L37" s="68">
        <v>-56.61</v>
      </c>
      <c r="M37" s="68">
        <v>-68.78</v>
      </c>
      <c r="N37" s="68">
        <v>-70.86</v>
      </c>
      <c r="O37" s="68">
        <v>-86.97</v>
      </c>
      <c r="P37" s="68">
        <v>-105.78</v>
      </c>
      <c r="Q37" s="179"/>
      <c r="R37" s="49"/>
      <c r="S37" s="67">
        <v>-23.35</v>
      </c>
      <c r="T37" s="68">
        <v>-49.34</v>
      </c>
      <c r="U37" s="68">
        <v>-78.040000000000006</v>
      </c>
      <c r="V37" s="179">
        <v>-105.78</v>
      </c>
      <c r="W37" s="71">
        <v>-29.59</v>
      </c>
      <c r="X37" s="72">
        <v>-60.12</v>
      </c>
      <c r="Y37" s="72">
        <v>-93.03</v>
      </c>
      <c r="Z37" s="313"/>
      <c r="AB37" s="67">
        <v>-23.35</v>
      </c>
      <c r="AC37" s="68">
        <v>-26</v>
      </c>
      <c r="AD37" s="68">
        <v>-28.7</v>
      </c>
      <c r="AE37" s="179">
        <v>-27.74</v>
      </c>
      <c r="AF37" s="71">
        <v>-29.59</v>
      </c>
      <c r="AG37" s="72">
        <v>-30.52</v>
      </c>
      <c r="AH37" s="72">
        <v>-32.909999999999997</v>
      </c>
      <c r="AI37" s="313"/>
    </row>
    <row r="38" spans="2:35">
      <c r="B38" s="298" t="s">
        <v>32</v>
      </c>
      <c r="C38" s="67">
        <v>-20.72</v>
      </c>
      <c r="D38" s="68">
        <v>-24.91</v>
      </c>
      <c r="E38" s="68">
        <v>-29.57</v>
      </c>
      <c r="F38" s="68">
        <v>-48.5</v>
      </c>
      <c r="G38" s="68">
        <v>-50.77</v>
      </c>
      <c r="H38" s="68">
        <v>-48.66</v>
      </c>
      <c r="I38" s="68">
        <v>-35.58</v>
      </c>
      <c r="J38" s="68">
        <v>-87.64</v>
      </c>
      <c r="K38" s="68">
        <v>-48.16</v>
      </c>
      <c r="L38" s="68">
        <v>-46.66</v>
      </c>
      <c r="M38" s="68">
        <v>-68.98</v>
      </c>
      <c r="N38" s="68">
        <v>-63.46</v>
      </c>
      <c r="O38" s="68">
        <v>-57.23</v>
      </c>
      <c r="P38" s="68">
        <v>-64.08</v>
      </c>
      <c r="Q38" s="179"/>
      <c r="R38" s="49"/>
      <c r="S38" s="67">
        <v>-51.33</v>
      </c>
      <c r="T38" s="68">
        <v>-67.52</v>
      </c>
      <c r="U38" s="68">
        <v>-69.22</v>
      </c>
      <c r="V38" s="179">
        <v>-64.08</v>
      </c>
      <c r="W38" s="71">
        <v>-63.82</v>
      </c>
      <c r="X38" s="72">
        <v>-84.53</v>
      </c>
      <c r="Y38" s="72">
        <v>-92.43</v>
      </c>
      <c r="Z38" s="313"/>
      <c r="AB38" s="67">
        <v>-51.33</v>
      </c>
      <c r="AC38" s="68">
        <v>-16.190000000000001</v>
      </c>
      <c r="AD38" s="68">
        <v>-1.7</v>
      </c>
      <c r="AE38" s="179">
        <v>5.14</v>
      </c>
      <c r="AF38" s="71">
        <v>-63.82</v>
      </c>
      <c r="AG38" s="72">
        <v>-20.71</v>
      </c>
      <c r="AH38" s="72">
        <v>-7.89</v>
      </c>
      <c r="AI38" s="313"/>
    </row>
    <row r="39" spans="2:35" ht="15">
      <c r="B39" s="299" t="s">
        <v>33</v>
      </c>
      <c r="C39" s="48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>
        <v>0</v>
      </c>
      <c r="O39" s="68">
        <v>-0.21</v>
      </c>
      <c r="P39" s="68">
        <v>17.920000000000002</v>
      </c>
      <c r="Q39" s="179"/>
      <c r="R39" s="56"/>
      <c r="S39" s="67">
        <v>-4.47</v>
      </c>
      <c r="T39" s="68">
        <v>-1.29</v>
      </c>
      <c r="U39" s="68">
        <v>1.19</v>
      </c>
      <c r="V39" s="179">
        <v>17.920000000000002</v>
      </c>
      <c r="W39" s="71">
        <v>7.35</v>
      </c>
      <c r="X39" s="72">
        <v>22.72</v>
      </c>
      <c r="Y39" s="72">
        <v>26.93</v>
      </c>
      <c r="Z39" s="73"/>
      <c r="AB39" s="67">
        <v>-4.47</v>
      </c>
      <c r="AC39" s="68">
        <v>3.18</v>
      </c>
      <c r="AD39" s="68">
        <v>2.48</v>
      </c>
      <c r="AE39" s="179">
        <v>16.73</v>
      </c>
      <c r="AF39" s="71">
        <v>7.35</v>
      </c>
      <c r="AG39" s="72">
        <v>15.36</v>
      </c>
      <c r="AH39" s="72">
        <v>4.21</v>
      </c>
      <c r="AI39" s="73"/>
    </row>
    <row r="40" spans="2:35">
      <c r="B40" s="315"/>
      <c r="C40" s="67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179"/>
      <c r="R40" s="49"/>
      <c r="S40" s="67"/>
      <c r="T40" s="68"/>
      <c r="U40" s="68"/>
      <c r="V40" s="179"/>
      <c r="W40" s="71"/>
      <c r="X40" s="72"/>
      <c r="Y40" s="72"/>
      <c r="Z40" s="313"/>
      <c r="AB40" s="67"/>
      <c r="AC40" s="68"/>
      <c r="AD40" s="68"/>
      <c r="AE40" s="179"/>
      <c r="AF40" s="71"/>
      <c r="AG40" s="72"/>
      <c r="AH40" s="72"/>
      <c r="AI40" s="313"/>
    </row>
    <row r="41" spans="2:35" ht="15">
      <c r="B41" s="302" t="s">
        <v>15</v>
      </c>
      <c r="C41" s="63">
        <v>204.46</v>
      </c>
      <c r="D41" s="56">
        <v>298</v>
      </c>
      <c r="E41" s="56">
        <v>382.25</v>
      </c>
      <c r="F41" s="56">
        <v>376.07</v>
      </c>
      <c r="G41" s="56">
        <v>408.13</v>
      </c>
      <c r="H41" s="56">
        <v>437.6</v>
      </c>
      <c r="I41" s="56">
        <v>477.38</v>
      </c>
      <c r="J41" s="56">
        <v>512.66999999999996</v>
      </c>
      <c r="K41" s="56">
        <v>555.11</v>
      </c>
      <c r="L41" s="56">
        <v>676.02</v>
      </c>
      <c r="M41" s="56">
        <v>749.34</v>
      </c>
      <c r="N41" s="56">
        <v>688.09</v>
      </c>
      <c r="O41" s="56">
        <v>913.73</v>
      </c>
      <c r="P41" s="56">
        <v>895.31</v>
      </c>
      <c r="Q41" s="57"/>
      <c r="R41" s="56"/>
      <c r="S41" s="163">
        <v>108.62</v>
      </c>
      <c r="T41" s="162">
        <v>402.13</v>
      </c>
      <c r="U41" s="162">
        <v>589.02</v>
      </c>
      <c r="V41" s="181">
        <v>895.31</v>
      </c>
      <c r="W41" s="183">
        <v>170.75</v>
      </c>
      <c r="X41" s="182">
        <v>393.05</v>
      </c>
      <c r="Y41" s="182">
        <v>497.27</v>
      </c>
      <c r="Z41" s="316"/>
      <c r="AB41" s="163">
        <v>108.62</v>
      </c>
      <c r="AC41" s="162">
        <v>293.51</v>
      </c>
      <c r="AD41" s="162">
        <v>186.9</v>
      </c>
      <c r="AE41" s="181">
        <v>306.27999999999997</v>
      </c>
      <c r="AF41" s="183">
        <v>170.75</v>
      </c>
      <c r="AG41" s="182">
        <v>222.3</v>
      </c>
      <c r="AH41" s="182">
        <v>104.21</v>
      </c>
      <c r="AI41" s="316"/>
    </row>
    <row r="42" spans="2:35">
      <c r="B42" s="267" t="s">
        <v>16</v>
      </c>
      <c r="C42" s="76">
        <v>0.72</v>
      </c>
      <c r="D42" s="77">
        <v>0.75</v>
      </c>
      <c r="E42" s="77">
        <v>0.75</v>
      </c>
      <c r="F42" s="77">
        <v>0.65</v>
      </c>
      <c r="G42" s="77">
        <v>0.66</v>
      </c>
      <c r="H42" s="77">
        <v>0.7</v>
      </c>
      <c r="I42" s="77">
        <v>0.71</v>
      </c>
      <c r="J42" s="77">
        <v>0.66</v>
      </c>
      <c r="K42" s="77">
        <v>0.71</v>
      </c>
      <c r="L42" s="77">
        <v>0.73</v>
      </c>
      <c r="M42" s="77">
        <v>0.83</v>
      </c>
      <c r="N42" s="77">
        <v>0.74</v>
      </c>
      <c r="O42" s="77">
        <v>0.92</v>
      </c>
      <c r="P42" s="77">
        <v>0.99</v>
      </c>
      <c r="Q42" s="79"/>
      <c r="R42" s="77"/>
      <c r="S42" s="76">
        <v>0.48</v>
      </c>
      <c r="T42" s="77">
        <v>0.87</v>
      </c>
      <c r="U42" s="77">
        <v>0.89</v>
      </c>
      <c r="V42" s="79">
        <v>0.99</v>
      </c>
      <c r="W42" s="80">
        <v>0.59</v>
      </c>
      <c r="X42" s="81">
        <v>0.67</v>
      </c>
      <c r="Y42" s="81">
        <v>0.65</v>
      </c>
      <c r="Z42" s="246"/>
      <c r="AB42" s="76">
        <v>0.48</v>
      </c>
      <c r="AC42" s="77">
        <v>1.23</v>
      </c>
      <c r="AD42" s="77">
        <v>0.94</v>
      </c>
      <c r="AE42" s="79">
        <v>1.28</v>
      </c>
      <c r="AF42" s="80">
        <v>0.59</v>
      </c>
      <c r="AG42" s="81">
        <v>0.75</v>
      </c>
      <c r="AH42" s="81">
        <v>0.59</v>
      </c>
      <c r="AI42" s="246"/>
    </row>
    <row r="43" spans="2:35">
      <c r="B43" s="191"/>
      <c r="C43" s="195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227"/>
      <c r="R43" s="36"/>
      <c r="S43" s="195"/>
      <c r="T43" s="36"/>
      <c r="U43" s="36"/>
      <c r="V43" s="227"/>
      <c r="W43" s="230"/>
      <c r="X43" s="231"/>
      <c r="Y43" s="231"/>
      <c r="Z43" s="247"/>
      <c r="AB43" s="195"/>
      <c r="AC43" s="36"/>
      <c r="AD43" s="36"/>
      <c r="AE43" s="227"/>
      <c r="AF43" s="230"/>
      <c r="AG43" s="231"/>
      <c r="AH43" s="231"/>
      <c r="AI43" s="247"/>
    </row>
    <row r="44" spans="2:35">
      <c r="B44" s="233" t="s">
        <v>35</v>
      </c>
      <c r="C44" s="67">
        <v>0</v>
      </c>
      <c r="D44" s="68">
        <v>0</v>
      </c>
      <c r="E44" s="68">
        <v>0</v>
      </c>
      <c r="F44" s="68">
        <v>0</v>
      </c>
      <c r="G44" s="68">
        <v>0</v>
      </c>
      <c r="H44" s="68">
        <v>-1.55</v>
      </c>
      <c r="I44" s="68">
        <v>0</v>
      </c>
      <c r="J44" s="40">
        <v>0.21</v>
      </c>
      <c r="K44" s="40">
        <v>0.1</v>
      </c>
      <c r="L44" s="40">
        <v>0.41</v>
      </c>
      <c r="M44" s="40">
        <v>0.34</v>
      </c>
      <c r="N44" s="68">
        <v>0</v>
      </c>
      <c r="O44" s="68">
        <v>0</v>
      </c>
      <c r="P44" s="40">
        <v>-0.92</v>
      </c>
      <c r="Q44" s="179"/>
      <c r="R44" s="49"/>
      <c r="S44" s="67">
        <v>0</v>
      </c>
      <c r="T44" s="68">
        <v>0</v>
      </c>
      <c r="U44" s="68">
        <v>0</v>
      </c>
      <c r="V44" s="40">
        <v>-0.92</v>
      </c>
      <c r="W44" s="71">
        <v>0</v>
      </c>
      <c r="X44" s="72">
        <v>0</v>
      </c>
      <c r="Y44" s="180">
        <v>0.08</v>
      </c>
      <c r="Z44" s="73"/>
      <c r="AB44" s="67">
        <v>0</v>
      </c>
      <c r="AC44" s="68">
        <v>0</v>
      </c>
      <c r="AD44" s="68">
        <v>0</v>
      </c>
      <c r="AE44" s="186">
        <v>-0.43</v>
      </c>
      <c r="AF44" s="71">
        <v>0</v>
      </c>
      <c r="AG44" s="72">
        <v>0</v>
      </c>
      <c r="AH44" s="180">
        <v>0.08</v>
      </c>
      <c r="AI44" s="73"/>
    </row>
    <row r="45" spans="2:35">
      <c r="B45" s="233" t="s">
        <v>36</v>
      </c>
      <c r="C45" s="67">
        <v>-129.47</v>
      </c>
      <c r="D45" s="68">
        <v>-220.93</v>
      </c>
      <c r="E45" s="68">
        <v>-294.66000000000003</v>
      </c>
      <c r="F45" s="68">
        <v>-291.83</v>
      </c>
      <c r="G45" s="68">
        <v>-299.94</v>
      </c>
      <c r="H45" s="68">
        <v>-287.94</v>
      </c>
      <c r="I45" s="68">
        <v>-292.08</v>
      </c>
      <c r="J45" s="68">
        <v>-319.56</v>
      </c>
      <c r="K45" s="68">
        <v>-343.13</v>
      </c>
      <c r="L45" s="68">
        <v>-310.61</v>
      </c>
      <c r="M45" s="68">
        <v>-340.96</v>
      </c>
      <c r="N45" s="68">
        <v>-373.02</v>
      </c>
      <c r="O45" s="68">
        <v>-428.2</v>
      </c>
      <c r="P45" s="68">
        <v>-414.58</v>
      </c>
      <c r="Q45" s="179"/>
      <c r="R45" s="49"/>
      <c r="S45" s="67">
        <v>-94.63</v>
      </c>
      <c r="T45" s="68">
        <v>-194.54</v>
      </c>
      <c r="U45" s="68">
        <v>-301.45999999999998</v>
      </c>
      <c r="V45" s="179">
        <v>-414.58</v>
      </c>
      <c r="W45" s="71">
        <v>-107.28</v>
      </c>
      <c r="X45" s="72">
        <v>-216.51</v>
      </c>
      <c r="Y45" s="72">
        <v>-328.32</v>
      </c>
      <c r="Z45" s="313"/>
      <c r="AB45" s="67">
        <v>-94.63</v>
      </c>
      <c r="AC45" s="68">
        <v>-99.9</v>
      </c>
      <c r="AD45" s="68">
        <v>-106.92</v>
      </c>
      <c r="AE45" s="179">
        <v>-113.12</v>
      </c>
      <c r="AF45" s="71">
        <v>-107.28</v>
      </c>
      <c r="AG45" s="72">
        <v>-109.23</v>
      </c>
      <c r="AH45" s="72">
        <v>-111.8</v>
      </c>
      <c r="AI45" s="313"/>
    </row>
    <row r="46" spans="2:35">
      <c r="B46" s="317" t="s">
        <v>37</v>
      </c>
      <c r="C46" s="67">
        <v>0</v>
      </c>
      <c r="D46" s="68">
        <v>2.21</v>
      </c>
      <c r="E46" s="68">
        <v>13.08</v>
      </c>
      <c r="F46" s="68">
        <v>19.059999999999999</v>
      </c>
      <c r="G46" s="68">
        <v>18.13</v>
      </c>
      <c r="H46" s="68">
        <v>23.08</v>
      </c>
      <c r="I46" s="68">
        <v>23.09</v>
      </c>
      <c r="J46" s="68">
        <v>23.11</v>
      </c>
      <c r="K46" s="68">
        <v>23.11</v>
      </c>
      <c r="L46" s="68">
        <v>18.23</v>
      </c>
      <c r="M46" s="68">
        <v>18.23</v>
      </c>
      <c r="N46" s="68">
        <v>18.23</v>
      </c>
      <c r="O46" s="68">
        <v>18.23</v>
      </c>
      <c r="P46" s="68">
        <v>18.23</v>
      </c>
      <c r="Q46" s="179"/>
      <c r="R46" s="49"/>
      <c r="S46" s="67">
        <v>4.5599999999999996</v>
      </c>
      <c r="T46" s="68">
        <v>9.1199999999999992</v>
      </c>
      <c r="U46" s="68">
        <v>13.67</v>
      </c>
      <c r="V46" s="179">
        <v>18.23</v>
      </c>
      <c r="W46" s="71">
        <v>4.5599999999999996</v>
      </c>
      <c r="X46" s="72">
        <v>9.14</v>
      </c>
      <c r="Y46" s="72">
        <v>13.73</v>
      </c>
      <c r="Z46" s="313"/>
      <c r="AB46" s="67">
        <v>4.5599999999999996</v>
      </c>
      <c r="AC46" s="68">
        <v>4.5599999999999996</v>
      </c>
      <c r="AD46" s="68">
        <v>4.5599999999999996</v>
      </c>
      <c r="AE46" s="179">
        <v>4.5599999999999996</v>
      </c>
      <c r="AF46" s="71">
        <v>4.5599999999999996</v>
      </c>
      <c r="AG46" s="72">
        <v>4.58</v>
      </c>
      <c r="AH46" s="72">
        <v>4.59</v>
      </c>
      <c r="AI46" s="313"/>
    </row>
    <row r="47" spans="2:35">
      <c r="B47" s="199"/>
      <c r="C47" s="39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3"/>
      <c r="R47" s="38"/>
      <c r="S47" s="39"/>
      <c r="T47" s="38"/>
      <c r="U47" s="38"/>
      <c r="V47" s="33"/>
      <c r="W47" s="96"/>
      <c r="X47" s="97"/>
      <c r="Y47" s="97"/>
      <c r="Z47" s="47"/>
      <c r="AB47" s="39"/>
      <c r="AC47" s="38"/>
      <c r="AD47" s="38"/>
      <c r="AE47" s="33"/>
      <c r="AF47" s="96"/>
      <c r="AG47" s="97"/>
      <c r="AH47" s="97"/>
      <c r="AI47" s="47"/>
    </row>
    <row r="48" spans="2:35" ht="15">
      <c r="B48" s="242" t="s">
        <v>17</v>
      </c>
      <c r="C48" s="163">
        <v>74.98</v>
      </c>
      <c r="D48" s="162">
        <v>79.28</v>
      </c>
      <c r="E48" s="162">
        <v>100.67</v>
      </c>
      <c r="F48" s="162">
        <v>103.3</v>
      </c>
      <c r="G48" s="162">
        <v>126.32</v>
      </c>
      <c r="H48" s="162">
        <v>171.19</v>
      </c>
      <c r="I48" s="162">
        <v>208.4</v>
      </c>
      <c r="J48" s="162">
        <v>216.44</v>
      </c>
      <c r="K48" s="162">
        <v>235.2</v>
      </c>
      <c r="L48" s="162">
        <v>384.06</v>
      </c>
      <c r="M48" s="162">
        <v>426.95</v>
      </c>
      <c r="N48" s="162">
        <v>333.3</v>
      </c>
      <c r="O48" s="162">
        <v>503.76</v>
      </c>
      <c r="P48" s="162">
        <v>498.04</v>
      </c>
      <c r="Q48" s="181"/>
      <c r="R48" s="56"/>
      <c r="S48" s="163">
        <v>18.55</v>
      </c>
      <c r="T48" s="162">
        <v>216.71</v>
      </c>
      <c r="U48" s="162">
        <v>301.24</v>
      </c>
      <c r="V48" s="181">
        <v>498.04</v>
      </c>
      <c r="W48" s="183">
        <v>68.03</v>
      </c>
      <c r="X48" s="182">
        <v>185.68</v>
      </c>
      <c r="Y48" s="182">
        <v>182.76</v>
      </c>
      <c r="Z48" s="314"/>
      <c r="AB48" s="163">
        <v>18.55</v>
      </c>
      <c r="AC48" s="162">
        <v>198.16</v>
      </c>
      <c r="AD48" s="162">
        <v>84.53</v>
      </c>
      <c r="AE48" s="181">
        <v>196.8</v>
      </c>
      <c r="AF48" s="183">
        <v>68.03</v>
      </c>
      <c r="AG48" s="182">
        <v>117.64</v>
      </c>
      <c r="AH48" s="182">
        <v>-2.91</v>
      </c>
      <c r="AI48" s="47"/>
    </row>
    <row r="49" spans="2:35">
      <c r="B49" s="248"/>
      <c r="C49" s="109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10"/>
      <c r="S49" s="109"/>
      <c r="T49" s="103"/>
      <c r="U49" s="103"/>
      <c r="V49" s="110"/>
      <c r="W49" s="109"/>
      <c r="X49" s="103"/>
      <c r="Y49" s="103"/>
      <c r="Z49" s="249"/>
      <c r="AB49" s="100"/>
      <c r="AC49" s="101"/>
      <c r="AD49" s="101"/>
      <c r="AE49" s="102"/>
      <c r="AF49" s="109"/>
      <c r="AG49" s="101"/>
      <c r="AH49" s="101"/>
      <c r="AI49" s="216"/>
    </row>
    <row r="50" spans="2:35">
      <c r="J50" s="176"/>
      <c r="K50" s="176"/>
      <c r="L50" s="176"/>
      <c r="M50" s="176"/>
      <c r="N50" s="176"/>
      <c r="O50" s="176"/>
      <c r="P50" s="176"/>
      <c r="Q50" s="176"/>
      <c r="Z50" s="145"/>
      <c r="AI50" s="145"/>
    </row>
    <row r="51" spans="2:35" ht="15">
      <c r="B51" s="250" t="s">
        <v>85</v>
      </c>
      <c r="C51" s="251">
        <v>1.39</v>
      </c>
      <c r="D51" s="252">
        <v>1.44</v>
      </c>
      <c r="E51" s="252">
        <v>1.34</v>
      </c>
      <c r="F51" s="252">
        <v>1.29</v>
      </c>
      <c r="G51" s="252">
        <v>1.32</v>
      </c>
      <c r="H51" s="252">
        <v>1.38</v>
      </c>
      <c r="I51" s="252">
        <v>1.21</v>
      </c>
      <c r="J51" s="252">
        <v>1.0900000000000001</v>
      </c>
      <c r="K51" s="252">
        <v>1.05</v>
      </c>
      <c r="L51" s="252">
        <v>1.2</v>
      </c>
      <c r="M51" s="252">
        <v>1.1399999999999999</v>
      </c>
      <c r="N51" s="252">
        <v>1.1200000000000001</v>
      </c>
      <c r="O51" s="253">
        <v>1.23</v>
      </c>
      <c r="P51" s="253">
        <v>1.1299999999999999</v>
      </c>
      <c r="Q51" s="254"/>
      <c r="R51" s="255"/>
      <c r="S51" s="256">
        <v>1.17</v>
      </c>
      <c r="T51" s="252">
        <v>1.19</v>
      </c>
      <c r="U51" s="252">
        <v>1.1599999999999999</v>
      </c>
      <c r="V51" s="252">
        <v>1.1299999999999999</v>
      </c>
      <c r="W51" s="257">
        <v>1.1100000000000001</v>
      </c>
      <c r="X51" s="258">
        <v>1.04</v>
      </c>
      <c r="Y51" s="258">
        <v>0.97</v>
      </c>
      <c r="Z51" s="259"/>
      <c r="AB51" s="260">
        <v>1.17</v>
      </c>
      <c r="AC51" s="261">
        <v>1.19</v>
      </c>
      <c r="AD51" s="261">
        <v>1.1599999999999999</v>
      </c>
      <c r="AE51" s="261">
        <v>1.1299999999999999</v>
      </c>
      <c r="AF51" s="257">
        <v>1.1100000000000001</v>
      </c>
      <c r="AG51" s="258">
        <v>1.04</v>
      </c>
      <c r="AH51" s="258">
        <v>0.97</v>
      </c>
      <c r="AI51" s="259"/>
    </row>
    <row r="52" spans="2:35" ht="15">
      <c r="B52" s="250" t="s">
        <v>86</v>
      </c>
      <c r="C52" s="251">
        <v>1.48</v>
      </c>
      <c r="D52" s="252">
        <v>1.39</v>
      </c>
      <c r="E52" s="252">
        <v>1.33</v>
      </c>
      <c r="F52" s="252">
        <v>1.39</v>
      </c>
      <c r="G52" s="252">
        <v>1.28</v>
      </c>
      <c r="H52" s="252">
        <v>1.33</v>
      </c>
      <c r="I52" s="252">
        <v>1.33</v>
      </c>
      <c r="J52" s="252">
        <v>1.1100000000000001</v>
      </c>
      <c r="K52" s="252">
        <v>1.1100000000000001</v>
      </c>
      <c r="L52" s="252">
        <v>1.1299999999999999</v>
      </c>
      <c r="M52" s="252">
        <v>1.18</v>
      </c>
      <c r="N52" s="252">
        <v>1.1200000000000001</v>
      </c>
      <c r="O52" s="253">
        <v>1.1399999999999999</v>
      </c>
      <c r="P52" s="253">
        <v>1.18</v>
      </c>
      <c r="Q52" s="254"/>
      <c r="R52" s="255"/>
      <c r="S52" s="256">
        <v>1.2</v>
      </c>
      <c r="T52" s="252">
        <v>1.21</v>
      </c>
      <c r="U52" s="252">
        <v>1.2</v>
      </c>
      <c r="V52" s="252">
        <v>1.18</v>
      </c>
      <c r="W52" s="257">
        <v>1.1200000000000001</v>
      </c>
      <c r="X52" s="258">
        <v>1.0900000000000001</v>
      </c>
      <c r="Y52" s="258">
        <v>1.06</v>
      </c>
      <c r="Z52" s="259"/>
      <c r="AB52" s="260">
        <v>1.2</v>
      </c>
      <c r="AC52" s="261">
        <v>1.21</v>
      </c>
      <c r="AD52" s="261">
        <v>1.18</v>
      </c>
      <c r="AE52" s="261">
        <v>1.1399999999999999</v>
      </c>
      <c r="AF52" s="257">
        <v>1.1200000000000001</v>
      </c>
      <c r="AG52" s="258">
        <v>1.07</v>
      </c>
      <c r="AH52" s="258">
        <v>1.07</v>
      </c>
      <c r="AI52" s="259"/>
    </row>
    <row r="54" spans="2:35" ht="15">
      <c r="B54" s="349" t="s">
        <v>82</v>
      </c>
      <c r="C54" s="350">
        <v>2008</v>
      </c>
      <c r="D54" s="350">
        <v>2009</v>
      </c>
      <c r="E54" s="350">
        <v>2010</v>
      </c>
      <c r="F54" s="350">
        <v>2011</v>
      </c>
      <c r="G54" s="351">
        <v>2012</v>
      </c>
      <c r="H54" s="351">
        <v>2013</v>
      </c>
      <c r="I54" s="351">
        <v>2014</v>
      </c>
      <c r="J54" s="351">
        <v>2015</v>
      </c>
      <c r="K54" s="351">
        <v>2016</v>
      </c>
      <c r="L54" s="351">
        <v>2017</v>
      </c>
      <c r="M54" s="351">
        <v>2018</v>
      </c>
      <c r="N54" s="351">
        <v>2019</v>
      </c>
      <c r="O54" s="351">
        <v>2020</v>
      </c>
      <c r="P54" s="351">
        <v>2021</v>
      </c>
      <c r="Q54" s="351">
        <v>2022</v>
      </c>
      <c r="R54" s="1"/>
      <c r="S54" s="336" t="s">
        <v>0</v>
      </c>
      <c r="T54" s="337" t="s">
        <v>1</v>
      </c>
      <c r="U54" s="337" t="s">
        <v>2</v>
      </c>
      <c r="V54" s="338" t="s">
        <v>3</v>
      </c>
      <c r="W54" s="336" t="s">
        <v>4</v>
      </c>
      <c r="X54" s="337" t="s">
        <v>5</v>
      </c>
      <c r="Y54" s="337" t="s">
        <v>6</v>
      </c>
      <c r="Z54" s="338" t="s">
        <v>7</v>
      </c>
      <c r="AB54" s="336" t="s">
        <v>0</v>
      </c>
      <c r="AC54" s="337" t="s">
        <v>8</v>
      </c>
      <c r="AD54" s="337" t="s">
        <v>9</v>
      </c>
      <c r="AE54" s="339" t="s">
        <v>10</v>
      </c>
      <c r="AF54" s="336" t="s">
        <v>4</v>
      </c>
      <c r="AG54" s="337" t="s">
        <v>11</v>
      </c>
      <c r="AH54" s="337" t="s">
        <v>12</v>
      </c>
      <c r="AI54" s="354" t="s">
        <v>13</v>
      </c>
    </row>
    <row r="55" spans="2:35">
      <c r="B55" s="191"/>
      <c r="C55" s="148"/>
      <c r="Q55" s="37"/>
      <c r="S55" s="148"/>
      <c r="V55" s="37"/>
      <c r="W55" s="148"/>
      <c r="Z55" s="37"/>
      <c r="AB55" s="148"/>
      <c r="AE55" s="37"/>
      <c r="AF55" s="148"/>
      <c r="AI55" s="268"/>
    </row>
    <row r="56" spans="2:35">
      <c r="B56" s="295" t="s">
        <v>26</v>
      </c>
      <c r="C56" s="48">
        <v>131.81</v>
      </c>
      <c r="D56" s="49">
        <v>204.65</v>
      </c>
      <c r="E56" s="49">
        <v>276.49</v>
      </c>
      <c r="F56" s="49">
        <v>306.35000000000002</v>
      </c>
      <c r="G56" s="49">
        <v>355.5</v>
      </c>
      <c r="H56" s="49">
        <v>347.79</v>
      </c>
      <c r="I56" s="49">
        <v>382.03</v>
      </c>
      <c r="J56" s="49">
        <v>498.22</v>
      </c>
      <c r="K56" s="49">
        <v>507.64</v>
      </c>
      <c r="L56" s="49">
        <v>598.22</v>
      </c>
      <c r="M56" s="49">
        <v>577.84</v>
      </c>
      <c r="N56" s="49">
        <v>650.83000000000004</v>
      </c>
      <c r="O56" s="49">
        <v>669.39</v>
      </c>
      <c r="P56" s="49">
        <v>584.41999999999996</v>
      </c>
      <c r="Q56" s="50"/>
      <c r="R56" s="49"/>
      <c r="S56" s="51">
        <v>141.80000000000001</v>
      </c>
      <c r="T56" s="52">
        <v>297.51</v>
      </c>
      <c r="U56" s="52">
        <v>429.61</v>
      </c>
      <c r="V56" s="239">
        <v>584.41999999999996</v>
      </c>
      <c r="W56" s="64">
        <v>199.43</v>
      </c>
      <c r="X56" s="65">
        <v>413.66</v>
      </c>
      <c r="Y56" s="65">
        <v>545.45000000000005</v>
      </c>
      <c r="Z56" s="53"/>
      <c r="AB56" s="51">
        <v>141.80000000000001</v>
      </c>
      <c r="AC56" s="52">
        <v>155.71</v>
      </c>
      <c r="AD56" s="52">
        <v>132.1</v>
      </c>
      <c r="AE56" s="239">
        <v>154.81</v>
      </c>
      <c r="AF56" s="64">
        <v>199.43</v>
      </c>
      <c r="AG56" s="65">
        <v>214.23</v>
      </c>
      <c r="AH56" s="65">
        <v>131.79</v>
      </c>
      <c r="AI56" s="362"/>
    </row>
    <row r="57" spans="2:35">
      <c r="B57" s="295" t="s">
        <v>84</v>
      </c>
      <c r="C57" s="67">
        <v>61.24</v>
      </c>
      <c r="D57" s="68">
        <v>82.67</v>
      </c>
      <c r="E57" s="68">
        <v>107.01</v>
      </c>
      <c r="F57" s="68">
        <v>111.61</v>
      </c>
      <c r="G57" s="68">
        <v>127.35</v>
      </c>
      <c r="H57" s="68">
        <v>125.1</v>
      </c>
      <c r="I57" s="68">
        <v>123.58</v>
      </c>
      <c r="J57" s="68">
        <v>197.44</v>
      </c>
      <c r="K57" s="68">
        <v>197.54</v>
      </c>
      <c r="L57" s="68">
        <v>225.57</v>
      </c>
      <c r="M57" s="68">
        <v>185.17</v>
      </c>
      <c r="N57" s="68">
        <v>181.57</v>
      </c>
      <c r="O57" s="68">
        <v>201.78</v>
      </c>
      <c r="P57" s="68">
        <v>177.2</v>
      </c>
      <c r="Q57" s="179"/>
      <c r="R57" s="49"/>
      <c r="S57" s="67">
        <v>44.69</v>
      </c>
      <c r="T57" s="68">
        <v>86.52</v>
      </c>
      <c r="U57" s="68">
        <v>123.13</v>
      </c>
      <c r="V57" s="179">
        <v>177.2</v>
      </c>
      <c r="W57" s="64">
        <v>58.69</v>
      </c>
      <c r="X57" s="72">
        <v>123.75</v>
      </c>
      <c r="Y57" s="72">
        <v>173.89</v>
      </c>
      <c r="Z57" s="313"/>
      <c r="AB57" s="67">
        <v>44.69</v>
      </c>
      <c r="AC57" s="68">
        <v>41.83</v>
      </c>
      <c r="AD57" s="68">
        <v>36.61</v>
      </c>
      <c r="AE57" s="179">
        <v>54.08</v>
      </c>
      <c r="AF57" s="71">
        <v>58.69</v>
      </c>
      <c r="AG57" s="72">
        <v>65.06</v>
      </c>
      <c r="AH57" s="72">
        <v>50.14</v>
      </c>
      <c r="AI57" s="363"/>
    </row>
    <row r="58" spans="2:35" ht="15">
      <c r="B58" s="293" t="s">
        <v>14</v>
      </c>
      <c r="C58" s="163">
        <v>192.55</v>
      </c>
      <c r="D58" s="162">
        <v>286.12</v>
      </c>
      <c r="E58" s="162">
        <v>381.97</v>
      </c>
      <c r="F58" s="162">
        <v>414.5</v>
      </c>
      <c r="G58" s="162">
        <v>482.85</v>
      </c>
      <c r="H58" s="162">
        <v>472.89</v>
      </c>
      <c r="I58" s="162">
        <v>505.61</v>
      </c>
      <c r="J58" s="162">
        <v>695.66</v>
      </c>
      <c r="K58" s="162">
        <v>705.18</v>
      </c>
      <c r="L58" s="162">
        <v>823.79</v>
      </c>
      <c r="M58" s="162">
        <v>763.01</v>
      </c>
      <c r="N58" s="162">
        <v>832.4</v>
      </c>
      <c r="O58" s="162">
        <v>871.17</v>
      </c>
      <c r="P58" s="162">
        <v>761.62</v>
      </c>
      <c r="Q58" s="181"/>
      <c r="R58" s="56"/>
      <c r="S58" s="163">
        <v>186.5</v>
      </c>
      <c r="T58" s="162">
        <v>384.03</v>
      </c>
      <c r="U58" s="162">
        <v>552.74</v>
      </c>
      <c r="V58" s="181">
        <v>761.62</v>
      </c>
      <c r="W58" s="183">
        <v>258.12</v>
      </c>
      <c r="X58" s="182">
        <v>537.41</v>
      </c>
      <c r="Y58" s="182">
        <v>719.34</v>
      </c>
      <c r="Z58" s="314"/>
      <c r="AB58" s="163">
        <v>186.5</v>
      </c>
      <c r="AC58" s="162">
        <v>197.54</v>
      </c>
      <c r="AD58" s="162">
        <v>168.71</v>
      </c>
      <c r="AE58" s="181">
        <v>208.88</v>
      </c>
      <c r="AF58" s="183">
        <v>258.12</v>
      </c>
      <c r="AG58" s="182">
        <v>279.29000000000002</v>
      </c>
      <c r="AH58" s="182">
        <v>181.94</v>
      </c>
      <c r="AI58" s="364"/>
    </row>
    <row r="59" spans="2:35" ht="15">
      <c r="B59" s="244"/>
      <c r="C59" s="39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3"/>
      <c r="R59" s="38"/>
      <c r="S59" s="45"/>
      <c r="T59" s="46"/>
      <c r="U59" s="46"/>
      <c r="V59" s="243"/>
      <c r="W59" s="96"/>
      <c r="X59" s="97"/>
      <c r="Y59" s="97"/>
      <c r="Z59" s="47"/>
      <c r="AB59" s="45"/>
      <c r="AC59" s="46"/>
      <c r="AD59" s="46"/>
      <c r="AE59" s="243"/>
      <c r="AF59" s="96"/>
      <c r="AG59" s="97"/>
      <c r="AH59" s="97"/>
      <c r="AI59" s="365"/>
    </row>
    <row r="60" spans="2:35">
      <c r="B60" s="295" t="s">
        <v>28</v>
      </c>
      <c r="C60" s="48">
        <v>23.36</v>
      </c>
      <c r="D60" s="49">
        <v>32.65</v>
      </c>
      <c r="E60" s="49">
        <v>46.02</v>
      </c>
      <c r="F60" s="49">
        <v>17.71</v>
      </c>
      <c r="G60" s="49">
        <v>19.8</v>
      </c>
      <c r="H60" s="49">
        <v>30.03</v>
      </c>
      <c r="I60" s="49">
        <v>17.02</v>
      </c>
      <c r="J60" s="49">
        <v>19.62</v>
      </c>
      <c r="K60" s="49">
        <v>23.23</v>
      </c>
      <c r="L60" s="49">
        <v>22.11</v>
      </c>
      <c r="M60" s="49">
        <v>148.4</v>
      </c>
      <c r="N60" s="49">
        <v>50.35</v>
      </c>
      <c r="O60" s="49">
        <v>195.1</v>
      </c>
      <c r="P60" s="49">
        <v>270.22000000000003</v>
      </c>
      <c r="Q60" s="50"/>
      <c r="R60" s="49"/>
      <c r="S60" s="51">
        <v>9.18</v>
      </c>
      <c r="T60" s="52">
        <v>102.64</v>
      </c>
      <c r="U60" s="52">
        <v>168.3</v>
      </c>
      <c r="V60" s="239">
        <v>270.22000000000003</v>
      </c>
      <c r="W60" s="64">
        <v>13.33</v>
      </c>
      <c r="X60" s="65">
        <v>22.59</v>
      </c>
      <c r="Y60" s="65">
        <v>40.29</v>
      </c>
      <c r="Z60" s="53"/>
      <c r="AB60" s="67">
        <v>9.18</v>
      </c>
      <c r="AC60" s="68">
        <v>93.46</v>
      </c>
      <c r="AD60" s="68">
        <v>65.66</v>
      </c>
      <c r="AE60" s="179">
        <v>101.92</v>
      </c>
      <c r="AF60" s="96">
        <v>13.33</v>
      </c>
      <c r="AG60" s="65">
        <v>9.26</v>
      </c>
      <c r="AH60" s="65">
        <v>17.7</v>
      </c>
      <c r="AI60" s="362"/>
    </row>
    <row r="61" spans="2:35" ht="15">
      <c r="B61" s="295" t="s">
        <v>29</v>
      </c>
      <c r="C61" s="67">
        <v>-77.44</v>
      </c>
      <c r="D61" s="68">
        <v>-104.33</v>
      </c>
      <c r="E61" s="68">
        <v>-139.66</v>
      </c>
      <c r="F61" s="68">
        <v>-162.04</v>
      </c>
      <c r="G61" s="68">
        <v>-184.99</v>
      </c>
      <c r="H61" s="68">
        <v>-173.42</v>
      </c>
      <c r="I61" s="68">
        <v>-163.35</v>
      </c>
      <c r="J61" s="68">
        <v>-253.38</v>
      </c>
      <c r="K61" s="68">
        <v>-226.88</v>
      </c>
      <c r="L61" s="68">
        <v>-247.32</v>
      </c>
      <c r="M61" s="68">
        <v>-277</v>
      </c>
      <c r="N61" s="68">
        <v>-268.23</v>
      </c>
      <c r="O61" s="68">
        <v>-289.52999999999997</v>
      </c>
      <c r="P61" s="68">
        <v>-300.31</v>
      </c>
      <c r="Q61" s="179"/>
      <c r="R61" s="56"/>
      <c r="S61" s="67">
        <v>-101.81</v>
      </c>
      <c r="T61" s="68">
        <v>-173.56</v>
      </c>
      <c r="U61" s="68">
        <v>-237.69</v>
      </c>
      <c r="V61" s="179">
        <v>-300.31</v>
      </c>
      <c r="W61" s="71">
        <v>-125.78</v>
      </c>
      <c r="X61" s="72">
        <v>-221.29</v>
      </c>
      <c r="Y61" s="72">
        <v>-317.51</v>
      </c>
      <c r="Z61" s="313"/>
      <c r="AB61" s="67">
        <v>-101.81</v>
      </c>
      <c r="AC61" s="68">
        <v>-71.75</v>
      </c>
      <c r="AD61" s="68">
        <v>-64.13</v>
      </c>
      <c r="AE61" s="179">
        <v>-62.63</v>
      </c>
      <c r="AF61" s="71">
        <v>-125.78</v>
      </c>
      <c r="AG61" s="72">
        <v>-95.51</v>
      </c>
      <c r="AH61" s="72">
        <v>-96.22</v>
      </c>
      <c r="AI61" s="363"/>
    </row>
    <row r="62" spans="2:35">
      <c r="B62" s="298" t="s">
        <v>30</v>
      </c>
      <c r="C62" s="67">
        <v>-45.38</v>
      </c>
      <c r="D62" s="68">
        <v>-65.42</v>
      </c>
      <c r="E62" s="68">
        <v>-93.03</v>
      </c>
      <c r="F62" s="68">
        <v>-101.26</v>
      </c>
      <c r="G62" s="68">
        <v>-116.46</v>
      </c>
      <c r="H62" s="68">
        <v>-108.01</v>
      </c>
      <c r="I62" s="68">
        <v>-108.76</v>
      </c>
      <c r="J62" s="68">
        <v>-134.26</v>
      </c>
      <c r="K62" s="68">
        <v>-139.49</v>
      </c>
      <c r="L62" s="68">
        <v>-155.88</v>
      </c>
      <c r="M62" s="68">
        <v>-160.35</v>
      </c>
      <c r="N62" s="68">
        <v>-148.25</v>
      </c>
      <c r="O62" s="68">
        <v>-163.27000000000001</v>
      </c>
      <c r="P62" s="68">
        <v>-156.69999999999999</v>
      </c>
      <c r="Q62" s="179"/>
      <c r="R62" s="49"/>
      <c r="S62" s="67">
        <v>-39.83</v>
      </c>
      <c r="T62" s="68">
        <v>-76.599999999999994</v>
      </c>
      <c r="U62" s="68">
        <v>-114.58</v>
      </c>
      <c r="V62" s="179">
        <v>-156.69999999999999</v>
      </c>
      <c r="W62" s="71">
        <v>-42.5</v>
      </c>
      <c r="X62" s="72">
        <v>-89</v>
      </c>
      <c r="Y62" s="72">
        <v>-143.18</v>
      </c>
      <c r="Z62" s="313"/>
      <c r="AB62" s="67">
        <v>-39.83</v>
      </c>
      <c r="AC62" s="68">
        <v>-36.770000000000003</v>
      </c>
      <c r="AD62" s="68">
        <v>-37.979999999999997</v>
      </c>
      <c r="AE62" s="179">
        <v>-42.12</v>
      </c>
      <c r="AF62" s="71">
        <v>-42.5</v>
      </c>
      <c r="AG62" s="72">
        <v>-46.5</v>
      </c>
      <c r="AH62" s="72">
        <v>-54.18</v>
      </c>
      <c r="AI62" s="363"/>
    </row>
    <row r="63" spans="2:35">
      <c r="B63" s="298" t="s">
        <v>31</v>
      </c>
      <c r="C63" s="67">
        <v>-18.03</v>
      </c>
      <c r="D63" s="68">
        <v>-20.99</v>
      </c>
      <c r="E63" s="68">
        <v>-24.33</v>
      </c>
      <c r="F63" s="68">
        <v>-25.94</v>
      </c>
      <c r="G63" s="68">
        <v>-29.02</v>
      </c>
      <c r="H63" s="68">
        <v>-28.77</v>
      </c>
      <c r="I63" s="68">
        <v>-27.82</v>
      </c>
      <c r="J63" s="68">
        <v>-40.159999999999997</v>
      </c>
      <c r="K63" s="68">
        <v>-43.87</v>
      </c>
      <c r="L63" s="68">
        <v>-50.13</v>
      </c>
      <c r="M63" s="68">
        <v>-58.24</v>
      </c>
      <c r="N63" s="68">
        <v>-63.29</v>
      </c>
      <c r="O63" s="68">
        <v>-76.150000000000006</v>
      </c>
      <c r="P63" s="68">
        <v>-89.44</v>
      </c>
      <c r="Q63" s="179"/>
      <c r="R63" s="49"/>
      <c r="S63" s="67">
        <v>-19.38</v>
      </c>
      <c r="T63" s="68">
        <v>-40.94</v>
      </c>
      <c r="U63" s="68">
        <v>-65.239999999999995</v>
      </c>
      <c r="V63" s="179">
        <v>-89.44</v>
      </c>
      <c r="W63" s="71">
        <v>-26.38</v>
      </c>
      <c r="X63" s="72">
        <v>-54.98</v>
      </c>
      <c r="Y63" s="72">
        <v>-87.45</v>
      </c>
      <c r="Z63" s="313"/>
      <c r="AB63" s="67">
        <v>-19.38</v>
      </c>
      <c r="AC63" s="68">
        <v>-21.56</v>
      </c>
      <c r="AD63" s="68">
        <v>-24.3</v>
      </c>
      <c r="AE63" s="179">
        <v>-24.19</v>
      </c>
      <c r="AF63" s="71">
        <v>-26.38</v>
      </c>
      <c r="AG63" s="72">
        <v>-28.6</v>
      </c>
      <c r="AH63" s="72">
        <v>-32.46</v>
      </c>
      <c r="AI63" s="363"/>
    </row>
    <row r="64" spans="2:35">
      <c r="B64" s="298" t="s">
        <v>32</v>
      </c>
      <c r="C64" s="67">
        <v>-14.03</v>
      </c>
      <c r="D64" s="68">
        <v>-17.93</v>
      </c>
      <c r="E64" s="68">
        <v>-22.3</v>
      </c>
      <c r="F64" s="68">
        <v>-34.840000000000003</v>
      </c>
      <c r="G64" s="68">
        <v>-39.520000000000003</v>
      </c>
      <c r="H64" s="68">
        <v>-36.64</v>
      </c>
      <c r="I64" s="68">
        <v>-26.77</v>
      </c>
      <c r="J64" s="68">
        <v>-78.959999999999994</v>
      </c>
      <c r="K64" s="68">
        <v>-43.51</v>
      </c>
      <c r="L64" s="68">
        <v>-41.31</v>
      </c>
      <c r="M64" s="68">
        <v>-58.41</v>
      </c>
      <c r="N64" s="68">
        <v>-56.69</v>
      </c>
      <c r="O64" s="68">
        <v>-50.11</v>
      </c>
      <c r="P64" s="68">
        <v>-54.18</v>
      </c>
      <c r="Q64" s="179"/>
      <c r="R64" s="49"/>
      <c r="S64" s="67">
        <v>-42.6</v>
      </c>
      <c r="T64" s="68">
        <v>-56.02</v>
      </c>
      <c r="U64" s="68">
        <v>-57.86</v>
      </c>
      <c r="V64" s="179">
        <v>-54.18</v>
      </c>
      <c r="W64" s="71">
        <v>-56.9</v>
      </c>
      <c r="X64" s="72">
        <v>-77.31</v>
      </c>
      <c r="Y64" s="72">
        <v>-86.88</v>
      </c>
      <c r="Z64" s="313"/>
      <c r="AB64" s="67">
        <v>-42.6</v>
      </c>
      <c r="AC64" s="68">
        <v>-13.41</v>
      </c>
      <c r="AD64" s="68">
        <v>-1.85</v>
      </c>
      <c r="AE64" s="179">
        <v>3.68</v>
      </c>
      <c r="AF64" s="221">
        <v>-56.9</v>
      </c>
      <c r="AG64" s="72">
        <v>-20.420000000000002</v>
      </c>
      <c r="AH64" s="72">
        <v>-9.57</v>
      </c>
      <c r="AI64" s="363"/>
    </row>
    <row r="65" spans="2:35" ht="15">
      <c r="B65" s="299" t="s">
        <v>33</v>
      </c>
      <c r="C65" s="48">
        <v>0</v>
      </c>
      <c r="D65" s="49">
        <v>0</v>
      </c>
      <c r="E65" s="49">
        <v>0</v>
      </c>
      <c r="F65" s="49">
        <v>0</v>
      </c>
      <c r="G65" s="49">
        <v>0</v>
      </c>
      <c r="H65" s="49">
        <v>0</v>
      </c>
      <c r="I65" s="49">
        <v>0</v>
      </c>
      <c r="J65" s="49">
        <v>0</v>
      </c>
      <c r="K65" s="49">
        <v>0</v>
      </c>
      <c r="L65" s="49">
        <v>0</v>
      </c>
      <c r="M65" s="49">
        <v>0</v>
      </c>
      <c r="N65" s="49">
        <v>0</v>
      </c>
      <c r="O65" s="68">
        <v>-0.19</v>
      </c>
      <c r="P65" s="68">
        <v>15.15</v>
      </c>
      <c r="Q65" s="179"/>
      <c r="R65" s="56"/>
      <c r="S65" s="67">
        <v>-3.71</v>
      </c>
      <c r="T65" s="68">
        <v>-1.07</v>
      </c>
      <c r="U65" s="68">
        <v>1</v>
      </c>
      <c r="V65" s="179">
        <v>15.15</v>
      </c>
      <c r="W65" s="71">
        <v>6.56</v>
      </c>
      <c r="X65" s="72">
        <v>20.78</v>
      </c>
      <c r="Y65" s="72">
        <v>25.31</v>
      </c>
      <c r="Z65" s="73"/>
      <c r="AB65" s="67">
        <v>-3.71</v>
      </c>
      <c r="AC65" s="68">
        <v>2.64</v>
      </c>
      <c r="AD65" s="68">
        <v>2.06</v>
      </c>
      <c r="AE65" s="179">
        <v>14.15</v>
      </c>
      <c r="AF65" s="71">
        <v>6.56</v>
      </c>
      <c r="AG65" s="72">
        <v>14.22</v>
      </c>
      <c r="AH65" s="72">
        <v>4.53</v>
      </c>
      <c r="AI65" s="357"/>
    </row>
    <row r="66" spans="2:35">
      <c r="B66" s="315"/>
      <c r="C66" s="67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179"/>
      <c r="R66" s="49"/>
      <c r="S66" s="67"/>
      <c r="T66" s="68"/>
      <c r="U66" s="68"/>
      <c r="V66" s="179"/>
      <c r="W66" s="71"/>
      <c r="X66" s="72"/>
      <c r="Y66" s="72"/>
      <c r="Z66" s="313"/>
      <c r="AB66" s="67"/>
      <c r="AC66" s="68"/>
      <c r="AD66" s="68"/>
      <c r="AE66" s="179"/>
      <c r="AF66" s="71"/>
      <c r="AG66" s="72"/>
      <c r="AH66" s="72"/>
      <c r="AI66" s="363"/>
    </row>
    <row r="67" spans="2:35" ht="15">
      <c r="B67" s="302" t="s">
        <v>15</v>
      </c>
      <c r="C67" s="63">
        <v>138.47</v>
      </c>
      <c r="D67" s="56">
        <v>214.44</v>
      </c>
      <c r="E67" s="56">
        <v>288.33</v>
      </c>
      <c r="F67" s="56">
        <v>270.17</v>
      </c>
      <c r="G67" s="56">
        <v>317.66000000000003</v>
      </c>
      <c r="H67" s="56">
        <v>329.5</v>
      </c>
      <c r="I67" s="56">
        <v>359.28</v>
      </c>
      <c r="J67" s="56">
        <v>461.9</v>
      </c>
      <c r="K67" s="56">
        <v>501.53</v>
      </c>
      <c r="L67" s="56">
        <v>598.58000000000004</v>
      </c>
      <c r="M67" s="56">
        <v>634.41999999999996</v>
      </c>
      <c r="N67" s="56">
        <v>614.53</v>
      </c>
      <c r="O67" s="162">
        <v>776.55</v>
      </c>
      <c r="P67" s="162">
        <v>746.68</v>
      </c>
      <c r="Q67" s="181"/>
      <c r="R67" s="56"/>
      <c r="S67" s="163">
        <v>90.15</v>
      </c>
      <c r="T67" s="162">
        <v>312.05</v>
      </c>
      <c r="U67" s="162">
        <v>484.35</v>
      </c>
      <c r="V67" s="181">
        <v>746.68</v>
      </c>
      <c r="W67" s="183">
        <v>152.22999999999999</v>
      </c>
      <c r="X67" s="182">
        <v>359.48</v>
      </c>
      <c r="Y67" s="182">
        <v>467.44</v>
      </c>
      <c r="Z67" s="314"/>
      <c r="AB67" s="163">
        <v>90.15</v>
      </c>
      <c r="AC67" s="162">
        <v>221.89</v>
      </c>
      <c r="AD67" s="162">
        <v>172.3</v>
      </c>
      <c r="AE67" s="181">
        <v>262.33</v>
      </c>
      <c r="AF67" s="183">
        <v>152.22999999999999</v>
      </c>
      <c r="AG67" s="182">
        <v>207.25</v>
      </c>
      <c r="AH67" s="182">
        <v>107.96</v>
      </c>
      <c r="AI67" s="364"/>
    </row>
    <row r="68" spans="2:35">
      <c r="B68" s="267" t="s">
        <v>16</v>
      </c>
      <c r="C68" s="76">
        <v>0.72</v>
      </c>
      <c r="D68" s="77">
        <v>0.75</v>
      </c>
      <c r="E68" s="77">
        <v>0.75</v>
      </c>
      <c r="F68" s="77">
        <v>0.65</v>
      </c>
      <c r="G68" s="77">
        <v>0.66</v>
      </c>
      <c r="H68" s="77">
        <v>0.7</v>
      </c>
      <c r="I68" s="77">
        <v>0.71</v>
      </c>
      <c r="J68" s="77">
        <v>0.66</v>
      </c>
      <c r="K68" s="77">
        <v>0.71</v>
      </c>
      <c r="L68" s="77">
        <v>0.73</v>
      </c>
      <c r="M68" s="77">
        <v>0.83</v>
      </c>
      <c r="N68" s="77">
        <v>0.74</v>
      </c>
      <c r="O68" s="218">
        <v>0.89</v>
      </c>
      <c r="P68" s="218">
        <v>0.98</v>
      </c>
      <c r="Q68" s="219"/>
      <c r="R68" s="77"/>
      <c r="S68" s="88">
        <v>0.48</v>
      </c>
      <c r="T68" s="77">
        <v>0.81</v>
      </c>
      <c r="U68" s="77">
        <v>0.88</v>
      </c>
      <c r="V68" s="79">
        <v>0.98</v>
      </c>
      <c r="W68" s="80">
        <v>0.59</v>
      </c>
      <c r="X68" s="81">
        <v>0.67</v>
      </c>
      <c r="Y68" s="81">
        <v>0.65</v>
      </c>
      <c r="Z68" s="246"/>
      <c r="AB68" s="88">
        <v>0.48</v>
      </c>
      <c r="AC68" s="83">
        <v>1.1200000000000001</v>
      </c>
      <c r="AD68" s="83">
        <v>1.02</v>
      </c>
      <c r="AE68" s="89">
        <v>1.26</v>
      </c>
      <c r="AF68" s="80">
        <v>0.59</v>
      </c>
      <c r="AG68" s="87">
        <v>0.74</v>
      </c>
      <c r="AH68" s="87">
        <v>0.59</v>
      </c>
      <c r="AI68" s="366"/>
    </row>
    <row r="69" spans="2:35">
      <c r="B69" s="191"/>
      <c r="C69" s="195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262"/>
      <c r="P69" s="262"/>
      <c r="Q69" s="263"/>
      <c r="R69" s="36"/>
      <c r="S69" s="195"/>
      <c r="T69" s="36"/>
      <c r="U69" s="36"/>
      <c r="V69" s="227"/>
      <c r="W69" s="230"/>
      <c r="X69" s="231"/>
      <c r="Y69" s="231"/>
      <c r="Z69" s="247"/>
      <c r="AB69" s="264"/>
      <c r="AC69" s="262"/>
      <c r="AD69" s="262"/>
      <c r="AE69" s="263"/>
      <c r="AF69" s="230"/>
      <c r="AG69" s="265"/>
      <c r="AH69" s="265"/>
      <c r="AI69" s="367"/>
    </row>
    <row r="70" spans="2:35">
      <c r="B70" s="233" t="s">
        <v>35</v>
      </c>
      <c r="C70" s="67">
        <v>0</v>
      </c>
      <c r="D70" s="68">
        <v>0</v>
      </c>
      <c r="E70" s="68">
        <v>0</v>
      </c>
      <c r="F70" s="68">
        <v>0</v>
      </c>
      <c r="G70" s="68">
        <v>0</v>
      </c>
      <c r="H70" s="40">
        <v>-1.17</v>
      </c>
      <c r="I70" s="40">
        <v>0</v>
      </c>
      <c r="J70" s="40">
        <v>0.19</v>
      </c>
      <c r="K70" s="40">
        <v>0.09</v>
      </c>
      <c r="L70" s="40">
        <v>0.37</v>
      </c>
      <c r="M70" s="40">
        <v>0.28000000000000003</v>
      </c>
      <c r="N70" s="40">
        <v>0</v>
      </c>
      <c r="O70" s="40">
        <v>0</v>
      </c>
      <c r="P70" s="40">
        <v>-0.78</v>
      </c>
      <c r="Q70" s="186"/>
      <c r="R70" s="38"/>
      <c r="S70" s="43">
        <v>0</v>
      </c>
      <c r="T70" s="40">
        <v>-0.41</v>
      </c>
      <c r="U70" s="40">
        <v>-0.42</v>
      </c>
      <c r="V70" s="186">
        <v>-0.78</v>
      </c>
      <c r="W70" s="71">
        <v>0</v>
      </c>
      <c r="X70" s="72">
        <v>0</v>
      </c>
      <c r="Y70" s="180">
        <v>0.08</v>
      </c>
      <c r="Z70" s="313"/>
      <c r="AB70" s="67">
        <v>0</v>
      </c>
      <c r="AC70" s="40">
        <v>-0.41</v>
      </c>
      <c r="AD70" s="68">
        <v>0</v>
      </c>
      <c r="AE70" s="186">
        <v>-0.36</v>
      </c>
      <c r="AF70" s="71">
        <v>0</v>
      </c>
      <c r="AG70" s="72">
        <v>0</v>
      </c>
      <c r="AH70" s="180">
        <v>0.08</v>
      </c>
      <c r="AI70" s="363"/>
    </row>
    <row r="71" spans="2:35">
      <c r="B71" s="233" t="s">
        <v>36</v>
      </c>
      <c r="C71" s="67">
        <v>-87.69</v>
      </c>
      <c r="D71" s="68">
        <v>-158.97999999999999</v>
      </c>
      <c r="E71" s="68">
        <v>-222.26</v>
      </c>
      <c r="F71" s="68">
        <v>-209.65</v>
      </c>
      <c r="G71" s="68">
        <v>-233.46</v>
      </c>
      <c r="H71" s="68">
        <v>-216.81</v>
      </c>
      <c r="I71" s="68">
        <v>-219.82</v>
      </c>
      <c r="J71" s="68">
        <v>-287.91000000000003</v>
      </c>
      <c r="K71" s="68">
        <v>-310.01</v>
      </c>
      <c r="L71" s="68">
        <v>-275.02</v>
      </c>
      <c r="M71" s="68">
        <v>-288.69</v>
      </c>
      <c r="N71" s="68">
        <v>-333.18</v>
      </c>
      <c r="O71" s="68">
        <v>-374.92</v>
      </c>
      <c r="P71" s="68">
        <v>-350.52</v>
      </c>
      <c r="Q71" s="179"/>
      <c r="R71" s="49"/>
      <c r="S71" s="67">
        <v>-78.540000000000006</v>
      </c>
      <c r="T71" s="68">
        <v>-161.38999999999999</v>
      </c>
      <c r="U71" s="68">
        <v>-252.01</v>
      </c>
      <c r="V71" s="179">
        <v>-350.52</v>
      </c>
      <c r="W71" s="71">
        <v>-95.64</v>
      </c>
      <c r="X71" s="72">
        <v>-198.02</v>
      </c>
      <c r="Y71" s="72">
        <v>-308.62</v>
      </c>
      <c r="Z71" s="313"/>
      <c r="AB71" s="67">
        <v>-78.540000000000006</v>
      </c>
      <c r="AC71" s="68">
        <v>-82.85</v>
      </c>
      <c r="AD71" s="68">
        <v>-90.61</v>
      </c>
      <c r="AE71" s="179">
        <v>-98.51</v>
      </c>
      <c r="AF71" s="71">
        <v>-95.64</v>
      </c>
      <c r="AG71" s="72">
        <v>-102.38</v>
      </c>
      <c r="AH71" s="72">
        <v>-110.6</v>
      </c>
      <c r="AI71" s="363"/>
    </row>
    <row r="72" spans="2:35">
      <c r="B72" s="317" t="s">
        <v>37</v>
      </c>
      <c r="C72" s="67">
        <v>0</v>
      </c>
      <c r="D72" s="68">
        <v>1.59</v>
      </c>
      <c r="E72" s="68">
        <v>9.8699999999999992</v>
      </c>
      <c r="F72" s="68">
        <v>13.69</v>
      </c>
      <c r="G72" s="68">
        <v>14.11</v>
      </c>
      <c r="H72" s="68">
        <v>17.38</v>
      </c>
      <c r="I72" s="68">
        <v>17.38</v>
      </c>
      <c r="J72" s="68">
        <v>20.82</v>
      </c>
      <c r="K72" s="68">
        <v>20.88</v>
      </c>
      <c r="L72" s="68">
        <v>16.14</v>
      </c>
      <c r="M72" s="68">
        <v>15.44</v>
      </c>
      <c r="N72" s="68">
        <v>16.28</v>
      </c>
      <c r="O72" s="68">
        <v>15.96</v>
      </c>
      <c r="P72" s="68">
        <v>15.41</v>
      </c>
      <c r="Q72" s="179"/>
      <c r="R72" s="49"/>
      <c r="S72" s="67">
        <v>3.78</v>
      </c>
      <c r="T72" s="68">
        <v>7.56</v>
      </c>
      <c r="U72" s="68">
        <v>11.43</v>
      </c>
      <c r="V72" s="179">
        <v>15.41</v>
      </c>
      <c r="W72" s="71">
        <v>4.07</v>
      </c>
      <c r="X72" s="72">
        <v>8.36</v>
      </c>
      <c r="Y72" s="72">
        <v>12.9</v>
      </c>
      <c r="Z72" s="313"/>
      <c r="AB72" s="67">
        <v>3.78</v>
      </c>
      <c r="AC72" s="68">
        <v>3.78</v>
      </c>
      <c r="AD72" s="68">
        <v>3.87</v>
      </c>
      <c r="AE72" s="179">
        <v>3.98</v>
      </c>
      <c r="AF72" s="71">
        <v>4.07</v>
      </c>
      <c r="AG72" s="72">
        <v>4.29</v>
      </c>
      <c r="AH72" s="72">
        <v>4.54</v>
      </c>
      <c r="AI72" s="363"/>
    </row>
    <row r="73" spans="2:35">
      <c r="B73" s="301"/>
      <c r="C73" s="48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50"/>
      <c r="R73" s="49"/>
      <c r="S73" s="48"/>
      <c r="T73" s="49"/>
      <c r="U73" s="49"/>
      <c r="V73" s="50"/>
      <c r="W73" s="64"/>
      <c r="X73" s="65"/>
      <c r="Y73" s="65"/>
      <c r="Z73" s="53"/>
      <c r="AB73" s="48"/>
      <c r="AC73" s="49"/>
      <c r="AD73" s="49"/>
      <c r="AE73" s="50"/>
      <c r="AF73" s="64"/>
      <c r="AG73" s="65"/>
      <c r="AH73" s="65"/>
      <c r="AI73" s="362"/>
    </row>
    <row r="74" spans="2:35" ht="15">
      <c r="B74" s="236" t="s">
        <v>17</v>
      </c>
      <c r="C74" s="209">
        <v>50.78</v>
      </c>
      <c r="D74" s="210">
        <v>57.05</v>
      </c>
      <c r="E74" s="210">
        <v>75.94</v>
      </c>
      <c r="F74" s="210">
        <v>74.209999999999994</v>
      </c>
      <c r="G74" s="210">
        <v>98.32</v>
      </c>
      <c r="H74" s="210">
        <v>128.9</v>
      </c>
      <c r="I74" s="210">
        <v>156.84</v>
      </c>
      <c r="J74" s="210">
        <v>195</v>
      </c>
      <c r="K74" s="210">
        <v>212.49</v>
      </c>
      <c r="L74" s="210">
        <v>340.06</v>
      </c>
      <c r="M74" s="210">
        <v>361.44</v>
      </c>
      <c r="N74" s="210">
        <v>297.63</v>
      </c>
      <c r="O74" s="210">
        <v>417.6</v>
      </c>
      <c r="P74" s="210">
        <v>410.79</v>
      </c>
      <c r="Q74" s="289"/>
      <c r="R74" s="49"/>
      <c r="S74" s="209">
        <v>15.39</v>
      </c>
      <c r="T74" s="210">
        <v>157.80000000000001</v>
      </c>
      <c r="U74" s="210">
        <v>243.35</v>
      </c>
      <c r="V74" s="289">
        <v>410.79</v>
      </c>
      <c r="W74" s="318">
        <v>60.65</v>
      </c>
      <c r="X74" s="319">
        <v>169.82</v>
      </c>
      <c r="Y74" s="319">
        <v>171.8</v>
      </c>
      <c r="Z74" s="320"/>
      <c r="AB74" s="211">
        <v>15.39</v>
      </c>
      <c r="AC74" s="321">
        <v>142.41</v>
      </c>
      <c r="AD74" s="321">
        <v>85.55</v>
      </c>
      <c r="AE74" s="212">
        <v>167.44</v>
      </c>
      <c r="AF74" s="318">
        <v>60.65</v>
      </c>
      <c r="AG74" s="322">
        <v>109.16</v>
      </c>
      <c r="AH74" s="322">
        <v>1.98</v>
      </c>
      <c r="AI74" s="368"/>
    </row>
    <row r="75" spans="2:35">
      <c r="B75" s="240"/>
    </row>
    <row r="76" spans="2:35">
      <c r="B76" s="240"/>
    </row>
    <row r="77" spans="2:35" ht="15" thickBot="1">
      <c r="B77" s="240"/>
    </row>
    <row r="78" spans="2:35" ht="15.5" thickBot="1">
      <c r="B78" s="615" t="s">
        <v>100</v>
      </c>
      <c r="C78" s="616"/>
      <c r="D78" s="616"/>
      <c r="E78" s="616"/>
      <c r="F78" s="616"/>
      <c r="G78" s="616"/>
      <c r="H78" s="616"/>
      <c r="I78" s="616"/>
      <c r="J78" s="616"/>
      <c r="K78" s="616"/>
      <c r="L78" s="616"/>
      <c r="M78" s="616"/>
      <c r="N78" s="616"/>
      <c r="O78" s="616"/>
      <c r="P78" s="616"/>
      <c r="Q78" s="616"/>
      <c r="R78" s="616"/>
      <c r="S78" s="616"/>
      <c r="T78" s="616"/>
      <c r="U78" s="616"/>
      <c r="V78" s="616"/>
      <c r="W78" s="616"/>
      <c r="X78" s="616"/>
      <c r="Y78" s="616"/>
      <c r="Z78" s="616"/>
      <c r="AA78" s="616"/>
      <c r="AB78" s="616"/>
      <c r="AC78" s="616"/>
      <c r="AD78" s="616"/>
      <c r="AE78" s="616"/>
      <c r="AF78" s="616"/>
      <c r="AG78" s="616"/>
      <c r="AH78" s="616"/>
      <c r="AI78" s="617"/>
    </row>
    <row r="79" spans="2:35" ht="15">
      <c r="B79" s="392" t="s">
        <v>87</v>
      </c>
      <c r="C79" s="393">
        <v>2008</v>
      </c>
      <c r="D79" s="393">
        <v>2009</v>
      </c>
      <c r="E79" s="393">
        <v>2010</v>
      </c>
      <c r="F79" s="394">
        <v>2011</v>
      </c>
      <c r="G79" s="394">
        <v>2012</v>
      </c>
      <c r="H79" s="394">
        <v>2013</v>
      </c>
      <c r="I79" s="394">
        <v>2014</v>
      </c>
      <c r="J79" s="394">
        <v>2015</v>
      </c>
      <c r="K79" s="394">
        <v>2016</v>
      </c>
      <c r="L79" s="394">
        <v>2017</v>
      </c>
      <c r="M79" s="394">
        <v>2018</v>
      </c>
      <c r="N79" s="394">
        <v>2019</v>
      </c>
      <c r="O79" s="394">
        <v>2020</v>
      </c>
      <c r="P79" s="394">
        <v>2021</v>
      </c>
      <c r="Q79" s="394">
        <v>2022</v>
      </c>
      <c r="R79" s="1"/>
      <c r="S79" s="395" t="s">
        <v>0</v>
      </c>
      <c r="T79" s="342" t="s">
        <v>1</v>
      </c>
      <c r="U79" s="342" t="s">
        <v>2</v>
      </c>
      <c r="V79" s="396" t="s">
        <v>3</v>
      </c>
      <c r="W79" s="342" t="s">
        <v>4</v>
      </c>
      <c r="X79" s="342" t="s">
        <v>5</v>
      </c>
      <c r="Y79" s="342" t="s">
        <v>6</v>
      </c>
      <c r="Z79" s="396" t="s">
        <v>7</v>
      </c>
      <c r="AB79" s="395" t="s">
        <v>0</v>
      </c>
      <c r="AC79" s="342" t="s">
        <v>8</v>
      </c>
      <c r="AD79" s="342" t="s">
        <v>9</v>
      </c>
      <c r="AE79" s="396" t="s">
        <v>10</v>
      </c>
      <c r="AF79" s="342" t="s">
        <v>4</v>
      </c>
      <c r="AG79" s="342" t="s">
        <v>11</v>
      </c>
      <c r="AH79" s="342" t="s">
        <v>12</v>
      </c>
      <c r="AI79" s="396" t="s">
        <v>13</v>
      </c>
    </row>
    <row r="80" spans="2:35">
      <c r="B80" s="269"/>
      <c r="C80" s="270"/>
      <c r="D80" s="271"/>
      <c r="E80" s="271"/>
      <c r="F80" s="271"/>
      <c r="G80" s="271"/>
      <c r="H80" s="271"/>
      <c r="I80" s="271"/>
      <c r="J80" s="271"/>
      <c r="K80" s="271"/>
      <c r="L80" s="271"/>
      <c r="M80" s="271"/>
      <c r="N80" s="271"/>
      <c r="O80" s="145"/>
      <c r="P80" s="145"/>
      <c r="Q80" s="272"/>
      <c r="R80" s="145"/>
      <c r="S80" s="270"/>
      <c r="T80" s="271"/>
      <c r="U80" s="271"/>
      <c r="V80" s="273"/>
      <c r="W80" s="148"/>
      <c r="Z80" s="37"/>
      <c r="AB80" s="270"/>
      <c r="AC80" s="271"/>
      <c r="AD80" s="271"/>
      <c r="AE80" s="273"/>
      <c r="AF80" s="148"/>
      <c r="AI80" s="355"/>
    </row>
    <row r="81" spans="2:35" ht="15">
      <c r="B81" s="293" t="s">
        <v>14</v>
      </c>
      <c r="C81" s="156"/>
      <c r="D81" s="155">
        <v>6.14</v>
      </c>
      <c r="E81" s="155">
        <v>7.53</v>
      </c>
      <c r="F81" s="155">
        <v>45.28</v>
      </c>
      <c r="G81" s="155">
        <v>62.09</v>
      </c>
      <c r="H81" s="155">
        <v>69.66</v>
      </c>
      <c r="I81" s="155">
        <v>78.47</v>
      </c>
      <c r="J81" s="155">
        <v>79.069999999999993</v>
      </c>
      <c r="K81" s="155">
        <v>132.63</v>
      </c>
      <c r="L81" s="155">
        <v>226.41</v>
      </c>
      <c r="M81" s="155">
        <v>215.22</v>
      </c>
      <c r="N81" s="155">
        <v>327.39</v>
      </c>
      <c r="O81" s="155">
        <v>214.93</v>
      </c>
      <c r="P81" s="155">
        <v>431.02</v>
      </c>
      <c r="Q81" s="294"/>
      <c r="R81" s="59"/>
      <c r="S81" s="156">
        <v>47.15</v>
      </c>
      <c r="T81" s="155">
        <v>107.6</v>
      </c>
      <c r="U81" s="155">
        <v>259.55</v>
      </c>
      <c r="V81" s="294">
        <v>431.02</v>
      </c>
      <c r="W81" s="183">
        <v>102.27</v>
      </c>
      <c r="X81" s="182">
        <v>208.93</v>
      </c>
      <c r="Y81" s="182">
        <v>352.47</v>
      </c>
      <c r="Z81" s="214"/>
      <c r="AB81" s="156">
        <v>47.15</v>
      </c>
      <c r="AC81" s="155">
        <v>60.45</v>
      </c>
      <c r="AD81" s="155">
        <v>151.94999999999999</v>
      </c>
      <c r="AE81" s="294">
        <v>171.47</v>
      </c>
      <c r="AF81" s="183">
        <v>102.27</v>
      </c>
      <c r="AG81" s="182">
        <v>106.66</v>
      </c>
      <c r="AH81" s="182">
        <v>143.54</v>
      </c>
      <c r="AI81" s="356"/>
    </row>
    <row r="82" spans="2:35" ht="15">
      <c r="B82" s="244"/>
      <c r="C82" s="45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243"/>
      <c r="R82" s="46"/>
      <c r="S82" s="45"/>
      <c r="T82" s="46"/>
      <c r="U82" s="46"/>
      <c r="V82" s="243"/>
      <c r="W82" s="96"/>
      <c r="X82" s="97"/>
      <c r="Y82" s="97"/>
      <c r="Z82" s="98"/>
      <c r="AB82" s="45"/>
      <c r="AC82" s="46"/>
      <c r="AD82" s="46"/>
      <c r="AE82" s="243"/>
      <c r="AF82" s="96"/>
      <c r="AG82" s="97"/>
      <c r="AH82" s="97"/>
      <c r="AI82" s="353"/>
    </row>
    <row r="83" spans="2:35" ht="16">
      <c r="B83" s="295" t="s">
        <v>28</v>
      </c>
      <c r="C83" s="296"/>
      <c r="D83" s="70">
        <v>0</v>
      </c>
      <c r="E83" s="70">
        <v>0</v>
      </c>
      <c r="F83" s="70">
        <v>0</v>
      </c>
      <c r="G83" s="70">
        <v>0</v>
      </c>
      <c r="H83" s="70">
        <v>0</v>
      </c>
      <c r="I83" s="305">
        <v>0.04</v>
      </c>
      <c r="J83" s="70">
        <v>2.2999999999999998</v>
      </c>
      <c r="K83" s="70">
        <v>5.92</v>
      </c>
      <c r="L83" s="70">
        <v>23.57</v>
      </c>
      <c r="M83" s="70">
        <v>7.76</v>
      </c>
      <c r="N83" s="70">
        <v>382.07</v>
      </c>
      <c r="O83" s="70">
        <v>19.64</v>
      </c>
      <c r="P83" s="70">
        <v>4.26</v>
      </c>
      <c r="Q83" s="74"/>
      <c r="R83" s="52"/>
      <c r="S83" s="297">
        <v>0</v>
      </c>
      <c r="T83" s="70">
        <v>3.37</v>
      </c>
      <c r="U83" s="70">
        <v>3.35</v>
      </c>
      <c r="V83" s="74">
        <v>4.26</v>
      </c>
      <c r="W83" s="221">
        <v>0.45</v>
      </c>
      <c r="X83" s="180">
        <v>0.47</v>
      </c>
      <c r="Y83" s="72">
        <v>46.75</v>
      </c>
      <c r="Z83" s="73"/>
      <c r="AB83" s="297">
        <v>0</v>
      </c>
      <c r="AC83" s="70">
        <v>3.37</v>
      </c>
      <c r="AD83" s="305">
        <v>-0.02</v>
      </c>
      <c r="AE83" s="99">
        <v>0.91</v>
      </c>
      <c r="AF83" s="221">
        <v>0.45</v>
      </c>
      <c r="AG83" s="180">
        <v>0.02</v>
      </c>
      <c r="AH83" s="72">
        <v>46.27</v>
      </c>
      <c r="AI83" s="357"/>
    </row>
    <row r="84" spans="2:35">
      <c r="B84" s="295" t="s">
        <v>29</v>
      </c>
      <c r="C84" s="69"/>
      <c r="D84" s="70">
        <v>-2.7</v>
      </c>
      <c r="E84" s="70">
        <v>-8.56</v>
      </c>
      <c r="F84" s="70">
        <v>-14.8</v>
      </c>
      <c r="G84" s="70">
        <v>-20.56</v>
      </c>
      <c r="H84" s="70">
        <v>-28.22</v>
      </c>
      <c r="I84" s="70">
        <v>-30.79</v>
      </c>
      <c r="J84" s="70">
        <v>-35.880000000000003</v>
      </c>
      <c r="K84" s="70">
        <v>-41.83</v>
      </c>
      <c r="L84" s="70">
        <v>-47.02</v>
      </c>
      <c r="M84" s="70">
        <v>-82.83</v>
      </c>
      <c r="N84" s="70">
        <v>-103.76</v>
      </c>
      <c r="O84" s="70">
        <v>-83.13</v>
      </c>
      <c r="P84" s="70">
        <v>-124.52</v>
      </c>
      <c r="Q84" s="74"/>
      <c r="R84" s="52"/>
      <c r="S84" s="69">
        <v>-22.57</v>
      </c>
      <c r="T84" s="70">
        <v>-47.91</v>
      </c>
      <c r="U84" s="70">
        <v>-82.03</v>
      </c>
      <c r="V84" s="74">
        <v>-124.52</v>
      </c>
      <c r="W84" s="290">
        <v>-39.61</v>
      </c>
      <c r="X84" s="215">
        <v>-86.94</v>
      </c>
      <c r="Y84" s="215">
        <v>-137.07</v>
      </c>
      <c r="Z84" s="73"/>
      <c r="AB84" s="69">
        <v>-22.57</v>
      </c>
      <c r="AC84" s="70">
        <v>-25.34</v>
      </c>
      <c r="AD84" s="70">
        <v>-34.119999999999997</v>
      </c>
      <c r="AE84" s="74">
        <v>-42.49</v>
      </c>
      <c r="AF84" s="290">
        <v>-39.61</v>
      </c>
      <c r="AG84" s="215">
        <v>-47.33</v>
      </c>
      <c r="AH84" s="215">
        <v>-50.13</v>
      </c>
      <c r="AI84" s="357"/>
    </row>
    <row r="85" spans="2:35">
      <c r="B85" s="298" t="s">
        <v>30</v>
      </c>
      <c r="C85" s="69"/>
      <c r="D85" s="70">
        <v>-1.1499999999999999</v>
      </c>
      <c r="E85" s="70">
        <v>-4.5</v>
      </c>
      <c r="F85" s="70">
        <v>-11.36</v>
      </c>
      <c r="G85" s="70">
        <v>-15.5</v>
      </c>
      <c r="H85" s="70">
        <v>-22.45</v>
      </c>
      <c r="I85" s="70">
        <v>-19.100000000000001</v>
      </c>
      <c r="J85" s="70">
        <v>-20.52</v>
      </c>
      <c r="K85" s="70">
        <v>-28.26</v>
      </c>
      <c r="L85" s="70">
        <v>-33.11</v>
      </c>
      <c r="M85" s="70">
        <v>-55.72</v>
      </c>
      <c r="N85" s="70">
        <v>-67.72</v>
      </c>
      <c r="O85" s="70">
        <v>-55.12</v>
      </c>
      <c r="P85" s="70">
        <v>-82.1</v>
      </c>
      <c r="Q85" s="74"/>
      <c r="R85" s="52"/>
      <c r="S85" s="69">
        <v>-14.64</v>
      </c>
      <c r="T85" s="70">
        <v>-36.4</v>
      </c>
      <c r="U85" s="70">
        <v>-62.33</v>
      </c>
      <c r="V85" s="74">
        <v>-82.1</v>
      </c>
      <c r="W85" s="71">
        <v>-29.67</v>
      </c>
      <c r="X85" s="72">
        <v>-59.73</v>
      </c>
      <c r="Y85" s="72">
        <v>-92.44</v>
      </c>
      <c r="Z85" s="73"/>
      <c r="AB85" s="69">
        <v>-14.64</v>
      </c>
      <c r="AC85" s="70">
        <v>-21.76</v>
      </c>
      <c r="AD85" s="70">
        <v>-25.93</v>
      </c>
      <c r="AE85" s="74">
        <v>-19.77</v>
      </c>
      <c r="AF85" s="71">
        <v>-29.67</v>
      </c>
      <c r="AG85" s="72">
        <v>-30.06</v>
      </c>
      <c r="AH85" s="72">
        <v>-32.71</v>
      </c>
      <c r="AI85" s="357"/>
    </row>
    <row r="86" spans="2:35">
      <c r="B86" s="298" t="s">
        <v>31</v>
      </c>
      <c r="C86" s="69"/>
      <c r="D86" s="70">
        <v>-0.67</v>
      </c>
      <c r="E86" s="70">
        <v>-2.15</v>
      </c>
      <c r="F86" s="70">
        <v>-3.16</v>
      </c>
      <c r="G86" s="70">
        <v>-3.05</v>
      </c>
      <c r="H86" s="70">
        <v>-3.27</v>
      </c>
      <c r="I86" s="70">
        <v>-4.16</v>
      </c>
      <c r="J86" s="70">
        <v>-5.8</v>
      </c>
      <c r="K86" s="70">
        <v>-8.02</v>
      </c>
      <c r="L86" s="70">
        <v>-7.71</v>
      </c>
      <c r="M86" s="70">
        <v>-7.43</v>
      </c>
      <c r="N86" s="70">
        <v>-11.84</v>
      </c>
      <c r="O86" s="70">
        <v>-8.82</v>
      </c>
      <c r="P86" s="70">
        <v>-15.29</v>
      </c>
      <c r="Q86" s="74"/>
      <c r="R86" s="52"/>
      <c r="S86" s="69">
        <v>-4.07</v>
      </c>
      <c r="T86" s="70">
        <v>-8.52</v>
      </c>
      <c r="U86" s="70">
        <v>-11.77</v>
      </c>
      <c r="V86" s="74">
        <v>-15.29</v>
      </c>
      <c r="W86" s="71">
        <v>-6.86</v>
      </c>
      <c r="X86" s="72">
        <v>-13.03</v>
      </c>
      <c r="Y86" s="72">
        <v>-19.440000000000001</v>
      </c>
      <c r="Z86" s="73"/>
      <c r="AB86" s="69">
        <v>-4.07</v>
      </c>
      <c r="AC86" s="70">
        <v>-4.45</v>
      </c>
      <c r="AD86" s="70">
        <v>-3.25</v>
      </c>
      <c r="AE86" s="74">
        <v>-3.51</v>
      </c>
      <c r="AF86" s="71">
        <v>-6.86</v>
      </c>
      <c r="AG86" s="72">
        <v>-6.17</v>
      </c>
      <c r="AH86" s="72">
        <v>-6.41</v>
      </c>
      <c r="AI86" s="357"/>
    </row>
    <row r="87" spans="2:35">
      <c r="B87" s="298" t="s">
        <v>32</v>
      </c>
      <c r="C87" s="69"/>
      <c r="D87" s="70">
        <v>-0.87</v>
      </c>
      <c r="E87" s="70">
        <v>-1.91</v>
      </c>
      <c r="F87" s="70">
        <v>-0.28000000000000003</v>
      </c>
      <c r="G87" s="70">
        <v>-2.02</v>
      </c>
      <c r="H87" s="70">
        <v>-2.4900000000000002</v>
      </c>
      <c r="I87" s="70">
        <v>-7.53</v>
      </c>
      <c r="J87" s="70">
        <v>-9.56</v>
      </c>
      <c r="K87" s="70">
        <v>-5.55</v>
      </c>
      <c r="L87" s="70">
        <v>-6.2</v>
      </c>
      <c r="M87" s="70">
        <v>-19.68</v>
      </c>
      <c r="N87" s="70">
        <v>-24.2</v>
      </c>
      <c r="O87" s="70">
        <v>-19.18</v>
      </c>
      <c r="P87" s="70">
        <v>-27.13</v>
      </c>
      <c r="Q87" s="74"/>
      <c r="R87" s="52"/>
      <c r="S87" s="69">
        <v>-3.86</v>
      </c>
      <c r="T87" s="70">
        <v>-2.98</v>
      </c>
      <c r="U87" s="70">
        <v>-7.92</v>
      </c>
      <c r="V87" s="74">
        <v>-27.13</v>
      </c>
      <c r="W87" s="71">
        <v>-3.08</v>
      </c>
      <c r="X87" s="72">
        <v>-14.19</v>
      </c>
      <c r="Y87" s="72">
        <v>-25.19</v>
      </c>
      <c r="Z87" s="73"/>
      <c r="AB87" s="69">
        <v>-3.86</v>
      </c>
      <c r="AC87" s="42">
        <v>0.88</v>
      </c>
      <c r="AD87" s="70">
        <v>-4.9400000000000004</v>
      </c>
      <c r="AE87" s="74">
        <v>-19.2</v>
      </c>
      <c r="AF87" s="71">
        <v>-3.08</v>
      </c>
      <c r="AG87" s="72">
        <v>-11.11</v>
      </c>
      <c r="AH87" s="72">
        <v>-11</v>
      </c>
      <c r="AI87" s="357"/>
    </row>
    <row r="88" spans="2:35" ht="15">
      <c r="B88" s="299" t="s">
        <v>33</v>
      </c>
      <c r="C88" s="51"/>
      <c r="D88" s="52">
        <v>0</v>
      </c>
      <c r="E88" s="52">
        <v>0</v>
      </c>
      <c r="F88" s="52">
        <v>0</v>
      </c>
      <c r="G88" s="52">
        <v>0</v>
      </c>
      <c r="H88" s="52">
        <v>0</v>
      </c>
      <c r="I88" s="52">
        <v>0</v>
      </c>
      <c r="J88" s="52">
        <v>0</v>
      </c>
      <c r="K88" s="52">
        <v>0</v>
      </c>
      <c r="L88" s="52">
        <v>0</v>
      </c>
      <c r="M88" s="52">
        <v>0</v>
      </c>
      <c r="N88" s="52">
        <v>0</v>
      </c>
      <c r="O88" s="70">
        <v>0</v>
      </c>
      <c r="P88" s="70">
        <v>0</v>
      </c>
      <c r="Q88" s="74"/>
      <c r="R88" s="59"/>
      <c r="S88" s="69">
        <v>0</v>
      </c>
      <c r="T88" s="70">
        <v>0</v>
      </c>
      <c r="U88" s="70">
        <v>0</v>
      </c>
      <c r="V88" s="74">
        <v>0</v>
      </c>
      <c r="W88" s="71">
        <v>0</v>
      </c>
      <c r="X88" s="72">
        <v>0</v>
      </c>
      <c r="Y88" s="72">
        <v>0</v>
      </c>
      <c r="Z88" s="73"/>
      <c r="AB88" s="69">
        <v>0</v>
      </c>
      <c r="AC88" s="70">
        <v>0</v>
      </c>
      <c r="AD88" s="70">
        <v>0</v>
      </c>
      <c r="AE88" s="74">
        <v>0</v>
      </c>
      <c r="AF88" s="71">
        <v>0</v>
      </c>
      <c r="AG88" s="72">
        <v>0</v>
      </c>
      <c r="AH88" s="72">
        <v>0</v>
      </c>
      <c r="AI88" s="357"/>
    </row>
    <row r="89" spans="2:35">
      <c r="B89" s="274"/>
      <c r="C89" s="45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243"/>
      <c r="R89" s="46"/>
      <c r="S89" s="45"/>
      <c r="T89" s="46"/>
      <c r="U89" s="46"/>
      <c r="V89" s="243"/>
      <c r="W89" s="230"/>
      <c r="X89" s="231"/>
      <c r="Y89" s="231"/>
      <c r="Z89" s="232"/>
      <c r="AB89" s="45"/>
      <c r="AC89" s="46"/>
      <c r="AD89" s="46"/>
      <c r="AE89" s="243"/>
      <c r="AF89" s="230"/>
      <c r="AG89" s="231"/>
      <c r="AH89" s="231"/>
      <c r="AI89" s="359"/>
    </row>
    <row r="90" spans="2:35" ht="15">
      <c r="B90" s="293" t="s">
        <v>15</v>
      </c>
      <c r="C90" s="58"/>
      <c r="D90" s="155">
        <v>3.44</v>
      </c>
      <c r="E90" s="155">
        <v>-1.03</v>
      </c>
      <c r="F90" s="155">
        <v>30.48</v>
      </c>
      <c r="G90" s="155">
        <v>41.53</v>
      </c>
      <c r="H90" s="155">
        <v>41.44</v>
      </c>
      <c r="I90" s="155">
        <v>47.72</v>
      </c>
      <c r="J90" s="155">
        <v>45.49</v>
      </c>
      <c r="K90" s="155">
        <v>96.71</v>
      </c>
      <c r="L90" s="155">
        <v>202.96</v>
      </c>
      <c r="M90" s="155">
        <v>140.16</v>
      </c>
      <c r="N90" s="155">
        <v>605.69000000000005</v>
      </c>
      <c r="O90" s="155">
        <v>151.43</v>
      </c>
      <c r="P90" s="155">
        <v>310.76</v>
      </c>
      <c r="Q90" s="294"/>
      <c r="R90" s="59"/>
      <c r="S90" s="156">
        <v>24.58</v>
      </c>
      <c r="T90" s="155">
        <v>63.06</v>
      </c>
      <c r="U90" s="155">
        <v>180.87</v>
      </c>
      <c r="V90" s="294">
        <v>310.76</v>
      </c>
      <c r="W90" s="183">
        <v>63.11</v>
      </c>
      <c r="X90" s="182">
        <v>122.46</v>
      </c>
      <c r="Y90" s="182">
        <v>262.14999999999998</v>
      </c>
      <c r="Z90" s="214"/>
      <c r="AB90" s="156">
        <v>24.58</v>
      </c>
      <c r="AC90" s="155">
        <v>38.49</v>
      </c>
      <c r="AD90" s="155">
        <v>117.8</v>
      </c>
      <c r="AE90" s="294">
        <v>129.88999999999999</v>
      </c>
      <c r="AF90" s="183">
        <v>63.11</v>
      </c>
      <c r="AG90" s="182">
        <v>59.35</v>
      </c>
      <c r="AH90" s="182">
        <v>139.69</v>
      </c>
      <c r="AI90" s="356"/>
    </row>
    <row r="91" spans="2:35">
      <c r="B91" s="309" t="s">
        <v>16</v>
      </c>
      <c r="C91" s="310"/>
      <c r="D91" s="91">
        <v>0.56000000000000005</v>
      </c>
      <c r="E91" s="90" t="s">
        <v>90</v>
      </c>
      <c r="F91" s="91">
        <v>0.67</v>
      </c>
      <c r="G91" s="91">
        <v>0.67</v>
      </c>
      <c r="H91" s="91">
        <v>0.59</v>
      </c>
      <c r="I91" s="91">
        <v>0.61</v>
      </c>
      <c r="J91" s="91">
        <v>0.57999999999999996</v>
      </c>
      <c r="K91" s="91">
        <v>0.73</v>
      </c>
      <c r="L91" s="91">
        <v>0.9</v>
      </c>
      <c r="M91" s="91">
        <v>0.65</v>
      </c>
      <c r="N91" s="91">
        <v>1.85</v>
      </c>
      <c r="O91" s="91">
        <v>0.7</v>
      </c>
      <c r="P91" s="91">
        <v>0.77</v>
      </c>
      <c r="Q91" s="311"/>
      <c r="R91" s="91"/>
      <c r="S91" s="92">
        <v>0.52</v>
      </c>
      <c r="T91" s="91">
        <v>0.59</v>
      </c>
      <c r="U91" s="91">
        <v>0.7</v>
      </c>
      <c r="V91" s="312">
        <v>0.77</v>
      </c>
      <c r="W91" s="93">
        <v>0.62</v>
      </c>
      <c r="X91" s="94">
        <v>0.59</v>
      </c>
      <c r="Y91" s="94">
        <v>0.74</v>
      </c>
      <c r="Z91" s="291"/>
      <c r="AB91" s="92">
        <v>0.52</v>
      </c>
      <c r="AC91" s="91">
        <v>0.64</v>
      </c>
      <c r="AD91" s="91">
        <v>0.78</v>
      </c>
      <c r="AE91" s="312">
        <v>0.76</v>
      </c>
      <c r="AF91" s="93">
        <v>0.62</v>
      </c>
      <c r="AG91" s="94">
        <v>0.56000000000000005</v>
      </c>
      <c r="AH91" s="94">
        <v>0.97</v>
      </c>
      <c r="AI91" s="361"/>
    </row>
    <row r="92" spans="2:35">
      <c r="B92" s="275"/>
      <c r="C92" s="34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276"/>
      <c r="R92" s="35"/>
      <c r="S92" s="34"/>
      <c r="T92" s="35"/>
      <c r="U92" s="35"/>
      <c r="V92" s="276"/>
      <c r="W92" s="277"/>
      <c r="X92" s="265"/>
      <c r="Y92" s="265"/>
      <c r="Z92" s="278"/>
      <c r="AB92" s="34"/>
      <c r="AC92" s="35"/>
      <c r="AD92" s="35"/>
      <c r="AE92" s="276"/>
      <c r="AF92" s="277"/>
      <c r="AG92" s="265"/>
      <c r="AH92" s="265"/>
      <c r="AI92" s="369"/>
    </row>
    <row r="93" spans="2:35">
      <c r="B93" s="303" t="s">
        <v>35</v>
      </c>
      <c r="C93" s="304"/>
      <c r="D93" s="305">
        <v>0</v>
      </c>
      <c r="E93" s="305">
        <v>0</v>
      </c>
      <c r="F93" s="305">
        <v>0</v>
      </c>
      <c r="G93" s="305">
        <v>0</v>
      </c>
      <c r="H93" s="305">
        <v>-7.0000000000000007E-2</v>
      </c>
      <c r="I93" s="305">
        <v>0</v>
      </c>
      <c r="J93" s="305">
        <v>0</v>
      </c>
      <c r="K93" s="305">
        <v>0</v>
      </c>
      <c r="L93" s="305">
        <v>-0.03</v>
      </c>
      <c r="M93" s="42">
        <v>0</v>
      </c>
      <c r="N93" s="305">
        <v>-0.03</v>
      </c>
      <c r="O93" s="305">
        <v>-7.0000000000000007E-2</v>
      </c>
      <c r="P93" s="305">
        <v>0.1</v>
      </c>
      <c r="Q93" s="306"/>
      <c r="R93" s="307"/>
      <c r="S93" s="41">
        <v>0.1</v>
      </c>
      <c r="T93" s="42">
        <v>0.1</v>
      </c>
      <c r="U93" s="42">
        <v>0.1</v>
      </c>
      <c r="V93" s="99">
        <v>0.1</v>
      </c>
      <c r="W93" s="279">
        <v>0</v>
      </c>
      <c r="X93" s="292">
        <v>0</v>
      </c>
      <c r="Y93" s="292">
        <v>0</v>
      </c>
      <c r="Z93" s="308"/>
      <c r="AB93" s="304">
        <v>0.1</v>
      </c>
      <c r="AC93" s="305">
        <v>0</v>
      </c>
      <c r="AD93" s="305">
        <v>0</v>
      </c>
      <c r="AE93" s="306">
        <v>0</v>
      </c>
      <c r="AF93" s="279">
        <v>0</v>
      </c>
      <c r="AG93" s="292">
        <v>0</v>
      </c>
      <c r="AH93" s="292">
        <v>0</v>
      </c>
      <c r="AI93" s="370"/>
    </row>
    <row r="94" spans="2:35">
      <c r="B94" s="295" t="s">
        <v>36</v>
      </c>
      <c r="C94" s="69"/>
      <c r="D94" s="70">
        <v>-2.13</v>
      </c>
      <c r="E94" s="70">
        <v>-3.13</v>
      </c>
      <c r="F94" s="70">
        <v>-10.62</v>
      </c>
      <c r="G94" s="70">
        <v>-15.86</v>
      </c>
      <c r="H94" s="70">
        <v>-18.399999999999999</v>
      </c>
      <c r="I94" s="70">
        <v>-18.53</v>
      </c>
      <c r="J94" s="70">
        <v>-18.86</v>
      </c>
      <c r="K94" s="70">
        <v>-31</v>
      </c>
      <c r="L94" s="70">
        <v>-37.15</v>
      </c>
      <c r="M94" s="70">
        <v>-58.31</v>
      </c>
      <c r="N94" s="70">
        <v>-69.3</v>
      </c>
      <c r="O94" s="70">
        <v>-52.02</v>
      </c>
      <c r="P94" s="70">
        <v>-70.41</v>
      </c>
      <c r="Q94" s="74"/>
      <c r="R94" s="52"/>
      <c r="S94" s="69">
        <v>-18.489999999999998</v>
      </c>
      <c r="T94" s="70">
        <v>-32.68</v>
      </c>
      <c r="U94" s="70">
        <v>-50.89</v>
      </c>
      <c r="V94" s="74">
        <v>-70.41</v>
      </c>
      <c r="W94" s="71">
        <v>-28.4</v>
      </c>
      <c r="X94" s="72">
        <v>-57.22</v>
      </c>
      <c r="Y94" s="72">
        <v>-79.760000000000005</v>
      </c>
      <c r="Z94" s="73"/>
      <c r="AB94" s="69">
        <v>-18.489999999999998</v>
      </c>
      <c r="AC94" s="70">
        <v>-14.19</v>
      </c>
      <c r="AD94" s="70">
        <v>-18.21</v>
      </c>
      <c r="AE94" s="74">
        <v>-19.52</v>
      </c>
      <c r="AF94" s="71">
        <v>-28.4</v>
      </c>
      <c r="AG94" s="72">
        <v>-28.82</v>
      </c>
      <c r="AH94" s="72">
        <v>-22.53</v>
      </c>
      <c r="AI94" s="357"/>
    </row>
    <row r="95" spans="2:35">
      <c r="B95" s="295" t="s">
        <v>37</v>
      </c>
      <c r="C95" s="69"/>
      <c r="D95" s="70">
        <v>0</v>
      </c>
      <c r="E95" s="70">
        <v>0</v>
      </c>
      <c r="F95" s="70">
        <v>0</v>
      </c>
      <c r="G95" s="70">
        <v>0</v>
      </c>
      <c r="H95" s="70">
        <v>0</v>
      </c>
      <c r="I95" s="42">
        <v>0.09</v>
      </c>
      <c r="J95" s="42">
        <v>0.1</v>
      </c>
      <c r="K95" s="42">
        <v>0.18</v>
      </c>
      <c r="L95" s="42">
        <v>0.21</v>
      </c>
      <c r="M95" s="42">
        <v>0.26</v>
      </c>
      <c r="N95" s="42">
        <v>0.39</v>
      </c>
      <c r="O95" s="70">
        <v>0</v>
      </c>
      <c r="P95" s="70">
        <v>0</v>
      </c>
      <c r="Q95" s="74"/>
      <c r="R95" s="52"/>
      <c r="S95" s="69">
        <v>0</v>
      </c>
      <c r="T95" s="70">
        <v>0</v>
      </c>
      <c r="U95" s="70">
        <v>0</v>
      </c>
      <c r="V95" s="74">
        <v>0</v>
      </c>
      <c r="W95" s="71">
        <v>0</v>
      </c>
      <c r="X95" s="72">
        <v>0</v>
      </c>
      <c r="Y95" s="72">
        <v>0</v>
      </c>
      <c r="Z95" s="73"/>
      <c r="AB95" s="69">
        <v>0</v>
      </c>
      <c r="AC95" s="70">
        <v>0</v>
      </c>
      <c r="AD95" s="70">
        <v>0</v>
      </c>
      <c r="AE95" s="74">
        <v>0</v>
      </c>
      <c r="AF95" s="71">
        <v>0</v>
      </c>
      <c r="AG95" s="72">
        <v>0</v>
      </c>
      <c r="AH95" s="72">
        <v>0</v>
      </c>
      <c r="AI95" s="357"/>
    </row>
    <row r="96" spans="2:35">
      <c r="B96" s="274"/>
      <c r="C96" s="45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243"/>
      <c r="R96" s="46"/>
      <c r="S96" s="45"/>
      <c r="T96" s="46"/>
      <c r="U96" s="46"/>
      <c r="V96" s="243"/>
      <c r="W96" s="96"/>
      <c r="X96" s="97"/>
      <c r="Y96" s="97"/>
      <c r="Z96" s="98"/>
      <c r="AB96" s="45"/>
      <c r="AC96" s="46"/>
      <c r="AD96" s="46"/>
      <c r="AE96" s="243"/>
      <c r="AF96" s="96"/>
      <c r="AG96" s="97"/>
      <c r="AH96" s="97"/>
      <c r="AI96" s="353"/>
    </row>
    <row r="97" spans="2:35" ht="15">
      <c r="B97" s="300" t="s">
        <v>17</v>
      </c>
      <c r="C97" s="156"/>
      <c r="D97" s="155">
        <v>1.31</v>
      </c>
      <c r="E97" s="155">
        <v>-4.16</v>
      </c>
      <c r="F97" s="155">
        <v>19.86</v>
      </c>
      <c r="G97" s="155">
        <v>25.67</v>
      </c>
      <c r="H97" s="155">
        <v>22.97</v>
      </c>
      <c r="I97" s="155">
        <v>29.28</v>
      </c>
      <c r="J97" s="155">
        <v>26.73</v>
      </c>
      <c r="K97" s="155">
        <v>65.89</v>
      </c>
      <c r="L97" s="155">
        <v>166</v>
      </c>
      <c r="M97" s="155">
        <v>82.11</v>
      </c>
      <c r="N97" s="155">
        <v>536.74</v>
      </c>
      <c r="O97" s="155">
        <v>99.34</v>
      </c>
      <c r="P97" s="155">
        <v>240.45</v>
      </c>
      <c r="Q97" s="294"/>
      <c r="R97" s="59"/>
      <c r="S97" s="156">
        <v>6.19</v>
      </c>
      <c r="T97" s="155">
        <v>30.49</v>
      </c>
      <c r="U97" s="155">
        <v>130.08000000000001</v>
      </c>
      <c r="V97" s="294">
        <v>240.45</v>
      </c>
      <c r="W97" s="183">
        <v>34.700000000000003</v>
      </c>
      <c r="X97" s="182">
        <v>65.23</v>
      </c>
      <c r="Y97" s="182">
        <v>182.39</v>
      </c>
      <c r="Z97" s="214"/>
      <c r="AB97" s="156">
        <v>6.19</v>
      </c>
      <c r="AC97" s="155">
        <v>24.3</v>
      </c>
      <c r="AD97" s="155">
        <v>99.59</v>
      </c>
      <c r="AE97" s="294">
        <v>110.37</v>
      </c>
      <c r="AF97" s="183">
        <v>34.700000000000003</v>
      </c>
      <c r="AG97" s="182">
        <v>30.53</v>
      </c>
      <c r="AH97" s="182">
        <v>117.16</v>
      </c>
      <c r="AI97" s="356"/>
    </row>
    <row r="98" spans="2:35">
      <c r="B98" s="280"/>
      <c r="C98" s="281"/>
      <c r="D98" s="282"/>
      <c r="E98" s="282"/>
      <c r="F98" s="282"/>
      <c r="G98" s="282"/>
      <c r="H98" s="282"/>
      <c r="I98" s="282"/>
      <c r="J98" s="282"/>
      <c r="K98" s="282"/>
      <c r="L98" s="282"/>
      <c r="M98" s="282"/>
      <c r="N98" s="282"/>
      <c r="O98" s="282"/>
      <c r="P98" s="282"/>
      <c r="Q98" s="249"/>
      <c r="R98" s="145"/>
      <c r="S98" s="281"/>
      <c r="T98" s="282"/>
      <c r="U98" s="282"/>
      <c r="V98" s="249"/>
      <c r="W98" s="109"/>
      <c r="X98" s="103"/>
      <c r="Y98" s="103"/>
      <c r="Z98" s="110"/>
      <c r="AB98" s="281"/>
      <c r="AC98" s="282"/>
      <c r="AD98" s="282"/>
      <c r="AE98" s="249"/>
      <c r="AF98" s="103"/>
      <c r="AG98" s="103"/>
      <c r="AH98" s="103"/>
      <c r="AI98" s="283"/>
    </row>
    <row r="99" spans="2:35">
      <c r="J99" s="176"/>
      <c r="K99" s="176"/>
      <c r="L99" s="176"/>
      <c r="M99" s="176"/>
      <c r="N99" s="176"/>
      <c r="O99" s="176"/>
      <c r="P99" s="176"/>
      <c r="Q99" s="176"/>
    </row>
    <row r="100" spans="2:35" ht="15">
      <c r="B100" s="250" t="s">
        <v>88</v>
      </c>
      <c r="C100" s="251"/>
      <c r="D100" s="252">
        <v>2.5099999999999998</v>
      </c>
      <c r="E100" s="252">
        <v>2.42</v>
      </c>
      <c r="F100" s="252">
        <v>2.42</v>
      </c>
      <c r="G100" s="252">
        <v>2.7</v>
      </c>
      <c r="H100" s="252">
        <v>3.26</v>
      </c>
      <c r="I100" s="252">
        <v>3.22</v>
      </c>
      <c r="J100" s="252">
        <v>4.3099999999999996</v>
      </c>
      <c r="K100" s="252">
        <v>3.43</v>
      </c>
      <c r="L100" s="252">
        <v>3.97</v>
      </c>
      <c r="M100" s="252">
        <v>4.4400000000000004</v>
      </c>
      <c r="N100" s="252">
        <v>4.5199999999999996</v>
      </c>
      <c r="O100" s="252">
        <v>6.37</v>
      </c>
      <c r="P100" s="252">
        <v>6.31</v>
      </c>
      <c r="Q100" s="254"/>
      <c r="R100" s="255"/>
      <c r="S100" s="256">
        <v>6.74</v>
      </c>
      <c r="T100" s="252">
        <v>5.9</v>
      </c>
      <c r="U100" s="252">
        <v>6.26</v>
      </c>
      <c r="V100" s="252">
        <v>6.31</v>
      </c>
      <c r="W100" s="257">
        <v>5.3</v>
      </c>
      <c r="X100" s="258">
        <v>5.42</v>
      </c>
      <c r="Y100" s="258">
        <v>5.26</v>
      </c>
      <c r="Z100" s="259"/>
      <c r="AB100" s="284">
        <v>6.74</v>
      </c>
      <c r="AC100" s="285">
        <v>5.9</v>
      </c>
      <c r="AD100" s="285">
        <v>6.26</v>
      </c>
      <c r="AE100" s="285">
        <v>6.31</v>
      </c>
      <c r="AF100" s="257">
        <v>5.3</v>
      </c>
      <c r="AG100" s="258">
        <v>5.42</v>
      </c>
      <c r="AH100" s="258">
        <v>5.26</v>
      </c>
      <c r="AI100" s="259"/>
    </row>
    <row r="101" spans="2:35" ht="15">
      <c r="B101" s="250" t="s">
        <v>89</v>
      </c>
      <c r="C101" s="251"/>
      <c r="D101" s="252">
        <v>2.78</v>
      </c>
      <c r="E101" s="252">
        <v>2.33</v>
      </c>
      <c r="F101" s="252">
        <v>2.33</v>
      </c>
      <c r="G101" s="252">
        <v>2.5099999999999998</v>
      </c>
      <c r="H101" s="252">
        <v>2.87</v>
      </c>
      <c r="I101" s="252">
        <v>3.12</v>
      </c>
      <c r="J101" s="252">
        <v>3.7</v>
      </c>
      <c r="K101" s="252">
        <v>3.86</v>
      </c>
      <c r="L101" s="252">
        <v>3.6</v>
      </c>
      <c r="M101" s="252">
        <v>4.3099999999999996</v>
      </c>
      <c r="N101" s="252">
        <v>4.41</v>
      </c>
      <c r="O101" s="252">
        <v>5.89</v>
      </c>
      <c r="P101" s="252">
        <v>6.38</v>
      </c>
      <c r="Q101" s="254"/>
      <c r="R101" s="255"/>
      <c r="S101" s="256">
        <v>6.6</v>
      </c>
      <c r="T101" s="252">
        <v>6.49</v>
      </c>
      <c r="U101" s="252">
        <v>6.38</v>
      </c>
      <c r="V101" s="252">
        <v>6.38</v>
      </c>
      <c r="W101" s="257">
        <v>5.87</v>
      </c>
      <c r="X101" s="258">
        <v>5.56</v>
      </c>
      <c r="Y101" s="258">
        <v>5.46</v>
      </c>
      <c r="Z101" s="259"/>
      <c r="AB101" s="284">
        <v>6.6</v>
      </c>
      <c r="AC101" s="285">
        <v>6.38</v>
      </c>
      <c r="AD101" s="285">
        <v>6.15</v>
      </c>
      <c r="AE101" s="285">
        <v>6.38</v>
      </c>
      <c r="AF101" s="257">
        <v>5.87</v>
      </c>
      <c r="AG101" s="258">
        <v>5.25</v>
      </c>
      <c r="AH101" s="258">
        <v>5.25</v>
      </c>
      <c r="AI101" s="259"/>
    </row>
    <row r="103" spans="2:35" ht="15">
      <c r="B103" s="349" t="s">
        <v>82</v>
      </c>
      <c r="C103" s="350">
        <v>2008</v>
      </c>
      <c r="D103" s="350">
        <v>2009</v>
      </c>
      <c r="E103" s="350">
        <v>2010</v>
      </c>
      <c r="F103" s="351">
        <v>2011</v>
      </c>
      <c r="G103" s="351">
        <v>2012</v>
      </c>
      <c r="H103" s="351">
        <v>2013</v>
      </c>
      <c r="I103" s="351">
        <v>2014</v>
      </c>
      <c r="J103" s="351">
        <v>2015</v>
      </c>
      <c r="K103" s="351">
        <v>2016</v>
      </c>
      <c r="L103" s="351">
        <v>2017</v>
      </c>
      <c r="M103" s="351">
        <v>2018</v>
      </c>
      <c r="N103" s="351">
        <v>2019</v>
      </c>
      <c r="O103" s="351">
        <v>2020</v>
      </c>
      <c r="P103" s="351">
        <v>2021</v>
      </c>
      <c r="Q103" s="351">
        <v>2022</v>
      </c>
      <c r="R103" s="1"/>
      <c r="S103" s="336" t="s">
        <v>0</v>
      </c>
      <c r="T103" s="337" t="s">
        <v>1</v>
      </c>
      <c r="U103" s="337" t="s">
        <v>2</v>
      </c>
      <c r="V103" s="338" t="s">
        <v>3</v>
      </c>
      <c r="W103" s="337" t="s">
        <v>4</v>
      </c>
      <c r="X103" s="337" t="s">
        <v>5</v>
      </c>
      <c r="Y103" s="337" t="s">
        <v>6</v>
      </c>
      <c r="Z103" s="338" t="s">
        <v>7</v>
      </c>
      <c r="AB103" s="336" t="s">
        <v>0</v>
      </c>
      <c r="AC103" s="337" t="s">
        <v>8</v>
      </c>
      <c r="AD103" s="337" t="s">
        <v>9</v>
      </c>
      <c r="AE103" s="338" t="s">
        <v>10</v>
      </c>
      <c r="AF103" s="337" t="s">
        <v>4</v>
      </c>
      <c r="AG103" s="337" t="s">
        <v>11</v>
      </c>
      <c r="AH103" s="337" t="s">
        <v>12</v>
      </c>
      <c r="AI103" s="338" t="s">
        <v>13</v>
      </c>
    </row>
    <row r="104" spans="2:35">
      <c r="B104" s="191"/>
      <c r="C104" s="148"/>
      <c r="Q104" s="37"/>
      <c r="S104" s="148"/>
      <c r="V104" s="37"/>
      <c r="W104" s="148"/>
      <c r="Z104" s="37"/>
      <c r="AB104" s="148"/>
      <c r="AE104" s="37"/>
      <c r="AF104" s="148"/>
      <c r="AI104" s="355"/>
    </row>
    <row r="105" spans="2:35" ht="15">
      <c r="B105" s="293" t="s">
        <v>14</v>
      </c>
      <c r="C105" s="163"/>
      <c r="D105" s="162">
        <v>2.21</v>
      </c>
      <c r="E105" s="162">
        <v>3.23</v>
      </c>
      <c r="F105" s="162">
        <v>19.46</v>
      </c>
      <c r="G105" s="162">
        <v>24.75</v>
      </c>
      <c r="H105" s="162">
        <v>24.29</v>
      </c>
      <c r="I105" s="162">
        <v>25.14</v>
      </c>
      <c r="J105" s="162">
        <v>21.38</v>
      </c>
      <c r="K105" s="162">
        <v>34.380000000000003</v>
      </c>
      <c r="L105" s="162">
        <v>62.81</v>
      </c>
      <c r="M105" s="162">
        <v>49.97</v>
      </c>
      <c r="N105" s="162">
        <v>74.180000000000007</v>
      </c>
      <c r="O105" s="162">
        <v>36.5</v>
      </c>
      <c r="P105" s="162">
        <v>67.58</v>
      </c>
      <c r="Q105" s="181"/>
      <c r="R105" s="56"/>
      <c r="S105" s="163">
        <v>7.14</v>
      </c>
      <c r="T105" s="162">
        <v>16.579999999999998</v>
      </c>
      <c r="U105" s="162">
        <v>40.71</v>
      </c>
      <c r="V105" s="181">
        <v>67.58</v>
      </c>
      <c r="W105" s="183">
        <v>17.420000000000002</v>
      </c>
      <c r="X105" s="182">
        <v>37.6</v>
      </c>
      <c r="Y105" s="182">
        <v>64.52</v>
      </c>
      <c r="Z105" s="214"/>
      <c r="AB105" s="163">
        <v>7.14</v>
      </c>
      <c r="AC105" s="162">
        <v>9.43</v>
      </c>
      <c r="AD105" s="162">
        <v>24.13</v>
      </c>
      <c r="AE105" s="181">
        <v>26.88</v>
      </c>
      <c r="AF105" s="183">
        <v>17.420000000000002</v>
      </c>
      <c r="AG105" s="182">
        <v>20.18</v>
      </c>
      <c r="AH105" s="182">
        <v>26.92</v>
      </c>
      <c r="AI105" s="356"/>
    </row>
    <row r="106" spans="2:35" ht="15">
      <c r="B106" s="293"/>
      <c r="C106" s="48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50"/>
      <c r="R106" s="49"/>
      <c r="S106" s="51"/>
      <c r="T106" s="52"/>
      <c r="U106" s="52"/>
      <c r="V106" s="239"/>
      <c r="W106" s="64"/>
      <c r="X106" s="65"/>
      <c r="Y106" s="65"/>
      <c r="Z106" s="66"/>
      <c r="AB106" s="51"/>
      <c r="AC106" s="52"/>
      <c r="AD106" s="52"/>
      <c r="AE106" s="239"/>
      <c r="AF106" s="64"/>
      <c r="AG106" s="65"/>
      <c r="AH106" s="65"/>
      <c r="AI106" s="131"/>
    </row>
    <row r="107" spans="2:35">
      <c r="B107" s="295" t="s">
        <v>28</v>
      </c>
      <c r="C107" s="67"/>
      <c r="D107" s="68">
        <v>0</v>
      </c>
      <c r="E107" s="68">
        <v>0</v>
      </c>
      <c r="F107" s="68">
        <v>0</v>
      </c>
      <c r="G107" s="68">
        <v>0</v>
      </c>
      <c r="H107" s="68">
        <v>0</v>
      </c>
      <c r="I107" s="286">
        <v>0.01</v>
      </c>
      <c r="J107" s="40">
        <v>0.62</v>
      </c>
      <c r="K107" s="68">
        <v>1.53</v>
      </c>
      <c r="L107" s="68">
        <v>6.54</v>
      </c>
      <c r="M107" s="68">
        <v>1.8</v>
      </c>
      <c r="N107" s="68">
        <v>88.26</v>
      </c>
      <c r="O107" s="68">
        <v>3.33</v>
      </c>
      <c r="P107" s="68">
        <v>0.67</v>
      </c>
      <c r="Q107" s="179"/>
      <c r="R107" s="49"/>
      <c r="S107" s="67">
        <v>0</v>
      </c>
      <c r="T107" s="40">
        <v>0.52</v>
      </c>
      <c r="U107" s="40">
        <v>0.52</v>
      </c>
      <c r="V107" s="186">
        <v>0.67</v>
      </c>
      <c r="W107" s="279">
        <v>0.08</v>
      </c>
      <c r="X107" s="292">
        <v>0.09</v>
      </c>
      <c r="Y107" s="72">
        <v>8.56</v>
      </c>
      <c r="Z107" s="73"/>
      <c r="AB107" s="67">
        <v>0</v>
      </c>
      <c r="AC107" s="40">
        <v>0.52</v>
      </c>
      <c r="AD107" s="286">
        <v>0.01</v>
      </c>
      <c r="AE107" s="186">
        <v>0.14000000000000001</v>
      </c>
      <c r="AF107" s="279">
        <v>0.08</v>
      </c>
      <c r="AG107" s="292">
        <v>0.01</v>
      </c>
      <c r="AH107" s="72">
        <v>8.4700000000000006</v>
      </c>
      <c r="AI107" s="357"/>
    </row>
    <row r="108" spans="2:35" ht="15">
      <c r="B108" s="295" t="s">
        <v>29</v>
      </c>
      <c r="C108" s="163"/>
      <c r="D108" s="68">
        <v>-0.98</v>
      </c>
      <c r="E108" s="68">
        <v>-3.67</v>
      </c>
      <c r="F108" s="68">
        <v>-6.36</v>
      </c>
      <c r="G108" s="68">
        <v>-8.1999999999999993</v>
      </c>
      <c r="H108" s="68">
        <v>-9.84</v>
      </c>
      <c r="I108" s="68">
        <v>-9.86</v>
      </c>
      <c r="J108" s="68">
        <v>-9.6999999999999993</v>
      </c>
      <c r="K108" s="68">
        <v>-10.84</v>
      </c>
      <c r="L108" s="68">
        <v>-13.04</v>
      </c>
      <c r="M108" s="68">
        <v>-19.23</v>
      </c>
      <c r="N108" s="68">
        <v>-23.51</v>
      </c>
      <c r="O108" s="68">
        <v>-13.84</v>
      </c>
      <c r="P108" s="68">
        <v>-19.52</v>
      </c>
      <c r="Q108" s="179"/>
      <c r="R108" s="49"/>
      <c r="S108" s="67">
        <v>-3.42</v>
      </c>
      <c r="T108" s="68">
        <v>-7.38</v>
      </c>
      <c r="U108" s="68">
        <v>-12.86</v>
      </c>
      <c r="V108" s="179">
        <v>-19.52</v>
      </c>
      <c r="W108" s="290">
        <v>-6.75</v>
      </c>
      <c r="X108" s="215">
        <v>-15.65</v>
      </c>
      <c r="Y108" s="215">
        <v>-25.09</v>
      </c>
      <c r="Z108" s="73"/>
      <c r="AB108" s="67">
        <v>-3.42</v>
      </c>
      <c r="AC108" s="68">
        <v>-3.96</v>
      </c>
      <c r="AD108" s="68">
        <v>-5.48</v>
      </c>
      <c r="AE108" s="179">
        <v>-6.66</v>
      </c>
      <c r="AF108" s="290">
        <v>-6.75</v>
      </c>
      <c r="AG108" s="215">
        <v>-8.9</v>
      </c>
      <c r="AH108" s="215">
        <v>-9.44</v>
      </c>
      <c r="AI108" s="357"/>
    </row>
    <row r="109" spans="2:35">
      <c r="B109" s="298" t="s">
        <v>30</v>
      </c>
      <c r="C109" s="67"/>
      <c r="D109" s="68">
        <v>-0.43</v>
      </c>
      <c r="E109" s="68">
        <v>-1.93</v>
      </c>
      <c r="F109" s="68">
        <v>-4.88</v>
      </c>
      <c r="G109" s="68">
        <v>-6.18</v>
      </c>
      <c r="H109" s="68">
        <v>-7.83</v>
      </c>
      <c r="I109" s="68">
        <v>-6.12</v>
      </c>
      <c r="J109" s="68">
        <v>-5.55</v>
      </c>
      <c r="K109" s="68">
        <v>-7.33</v>
      </c>
      <c r="L109" s="68">
        <v>-9.19</v>
      </c>
      <c r="M109" s="68">
        <v>-12.94</v>
      </c>
      <c r="N109" s="68">
        <v>-15.34</v>
      </c>
      <c r="O109" s="68">
        <v>-9.08</v>
      </c>
      <c r="P109" s="68">
        <v>-12.87</v>
      </c>
      <c r="Q109" s="179"/>
      <c r="R109" s="49"/>
      <c r="S109" s="67">
        <v>-2.2200000000000002</v>
      </c>
      <c r="T109" s="68">
        <v>-5.61</v>
      </c>
      <c r="U109" s="68">
        <v>-9.7799999999999994</v>
      </c>
      <c r="V109" s="179">
        <v>-12.87</v>
      </c>
      <c r="W109" s="71">
        <v>-5.0599999999999996</v>
      </c>
      <c r="X109" s="72">
        <v>-10.75</v>
      </c>
      <c r="Y109" s="72">
        <v>-16.920000000000002</v>
      </c>
      <c r="Z109" s="73"/>
      <c r="AB109" s="67">
        <v>-2.2200000000000002</v>
      </c>
      <c r="AC109" s="68">
        <v>-3.39</v>
      </c>
      <c r="AD109" s="68">
        <v>-4.17</v>
      </c>
      <c r="AE109" s="179">
        <v>-3.1</v>
      </c>
      <c r="AF109" s="71">
        <v>-5.0599999999999996</v>
      </c>
      <c r="AG109" s="72">
        <v>-5.69</v>
      </c>
      <c r="AH109" s="72">
        <v>-6.17</v>
      </c>
      <c r="AI109" s="357"/>
    </row>
    <row r="110" spans="2:35">
      <c r="B110" s="298" t="s">
        <v>31</v>
      </c>
      <c r="C110" s="67"/>
      <c r="D110" s="68">
        <v>-0.23</v>
      </c>
      <c r="E110" s="68">
        <v>-0.92</v>
      </c>
      <c r="F110" s="68">
        <v>-1.36</v>
      </c>
      <c r="G110" s="68">
        <v>-1.22</v>
      </c>
      <c r="H110" s="68">
        <v>-1.1399999999999999</v>
      </c>
      <c r="I110" s="68">
        <v>-1.33</v>
      </c>
      <c r="J110" s="68">
        <v>-1.57</v>
      </c>
      <c r="K110" s="68">
        <v>-2.08</v>
      </c>
      <c r="L110" s="68">
        <v>-2.14</v>
      </c>
      <c r="M110" s="68">
        <v>-1.73</v>
      </c>
      <c r="N110" s="68">
        <v>-2.68</v>
      </c>
      <c r="O110" s="68">
        <v>-1.5</v>
      </c>
      <c r="P110" s="68">
        <v>-2.4</v>
      </c>
      <c r="Q110" s="179"/>
      <c r="R110" s="49"/>
      <c r="S110" s="43">
        <v>-0.62</v>
      </c>
      <c r="T110" s="68">
        <v>-1.31</v>
      </c>
      <c r="U110" s="68">
        <v>-1.85</v>
      </c>
      <c r="V110" s="179">
        <v>-2.4</v>
      </c>
      <c r="W110" s="71">
        <v>-1.17</v>
      </c>
      <c r="X110" s="72">
        <v>-2.34</v>
      </c>
      <c r="Y110" s="72">
        <v>-3.56</v>
      </c>
      <c r="Z110" s="73"/>
      <c r="AB110" s="43">
        <v>-0.62</v>
      </c>
      <c r="AC110" s="40">
        <v>-0.7</v>
      </c>
      <c r="AD110" s="40">
        <v>-0.53</v>
      </c>
      <c r="AE110" s="186">
        <v>-0.55000000000000004</v>
      </c>
      <c r="AF110" s="221">
        <v>-1.17</v>
      </c>
      <c r="AG110" s="180">
        <v>-1.18</v>
      </c>
      <c r="AH110" s="180">
        <v>-1.21</v>
      </c>
      <c r="AI110" s="357"/>
    </row>
    <row r="111" spans="2:35">
      <c r="B111" s="298" t="s">
        <v>32</v>
      </c>
      <c r="C111" s="67"/>
      <c r="D111" s="68">
        <v>-0.32</v>
      </c>
      <c r="E111" s="68">
        <v>-0.82</v>
      </c>
      <c r="F111" s="68">
        <v>-0.12</v>
      </c>
      <c r="G111" s="68">
        <v>-0.8</v>
      </c>
      <c r="H111" s="68">
        <v>-0.87</v>
      </c>
      <c r="I111" s="68">
        <v>-2.41</v>
      </c>
      <c r="J111" s="68">
        <v>-2.59</v>
      </c>
      <c r="K111" s="68">
        <v>-1.44</v>
      </c>
      <c r="L111" s="68">
        <v>-1.72</v>
      </c>
      <c r="M111" s="68">
        <v>-4.57</v>
      </c>
      <c r="N111" s="68">
        <v>-5.48</v>
      </c>
      <c r="O111" s="68">
        <v>-3.26</v>
      </c>
      <c r="P111" s="68">
        <v>-4.25</v>
      </c>
      <c r="Q111" s="179"/>
      <c r="R111" s="49"/>
      <c r="S111" s="43">
        <v>-0.57999999999999996</v>
      </c>
      <c r="T111" s="40">
        <v>-0.46</v>
      </c>
      <c r="U111" s="68">
        <v>-1.24</v>
      </c>
      <c r="V111" s="179">
        <v>-4.25</v>
      </c>
      <c r="W111" s="221">
        <v>-0.53</v>
      </c>
      <c r="X111" s="72">
        <v>-2.5499999999999998</v>
      </c>
      <c r="Y111" s="72">
        <v>-4.6100000000000003</v>
      </c>
      <c r="Z111" s="73"/>
      <c r="AB111" s="43">
        <v>-0.57999999999999996</v>
      </c>
      <c r="AC111" s="40">
        <v>0.13</v>
      </c>
      <c r="AD111" s="40">
        <v>-0.78</v>
      </c>
      <c r="AE111" s="179">
        <v>-3.01</v>
      </c>
      <c r="AF111" s="221">
        <v>-0.53</v>
      </c>
      <c r="AG111" s="180">
        <v>-2.0299999999999998</v>
      </c>
      <c r="AH111" s="180">
        <v>-2.06</v>
      </c>
      <c r="AI111" s="357"/>
    </row>
    <row r="112" spans="2:35" ht="15">
      <c r="B112" s="299" t="s">
        <v>33</v>
      </c>
      <c r="C112" s="48"/>
      <c r="D112" s="49">
        <v>0</v>
      </c>
      <c r="E112" s="49">
        <v>0</v>
      </c>
      <c r="F112" s="49">
        <v>0</v>
      </c>
      <c r="G112" s="49">
        <v>0</v>
      </c>
      <c r="H112" s="49">
        <v>0</v>
      </c>
      <c r="I112" s="49">
        <v>0</v>
      </c>
      <c r="J112" s="49">
        <v>0</v>
      </c>
      <c r="K112" s="49">
        <v>0</v>
      </c>
      <c r="L112" s="49">
        <v>0</v>
      </c>
      <c r="M112" s="49">
        <v>0</v>
      </c>
      <c r="N112" s="49">
        <v>0</v>
      </c>
      <c r="O112" s="68">
        <v>0</v>
      </c>
      <c r="P112" s="68">
        <v>0</v>
      </c>
      <c r="Q112" s="179"/>
      <c r="R112" s="56"/>
      <c r="S112" s="67">
        <v>0</v>
      </c>
      <c r="T112" s="68">
        <v>0</v>
      </c>
      <c r="U112" s="68">
        <v>0</v>
      </c>
      <c r="V112" s="179">
        <v>0</v>
      </c>
      <c r="W112" s="71">
        <v>0</v>
      </c>
      <c r="X112" s="72">
        <v>0</v>
      </c>
      <c r="Y112" s="72">
        <v>0</v>
      </c>
      <c r="Z112" s="73"/>
      <c r="AB112" s="67">
        <v>0</v>
      </c>
      <c r="AC112" s="68">
        <v>0</v>
      </c>
      <c r="AD112" s="68">
        <v>0</v>
      </c>
      <c r="AE112" s="179">
        <v>0</v>
      </c>
      <c r="AF112" s="279">
        <v>0</v>
      </c>
      <c r="AG112" s="72">
        <v>0</v>
      </c>
      <c r="AH112" s="72">
        <v>0</v>
      </c>
      <c r="AI112" s="357"/>
    </row>
    <row r="113" spans="2:35">
      <c r="B113" s="301"/>
      <c r="C113" s="48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50"/>
      <c r="R113" s="49"/>
      <c r="S113" s="67"/>
      <c r="T113" s="49"/>
      <c r="U113" s="49"/>
      <c r="V113" s="50"/>
      <c r="W113" s="64"/>
      <c r="X113" s="65"/>
      <c r="Y113" s="65"/>
      <c r="Z113" s="66"/>
      <c r="AB113" s="67"/>
      <c r="AC113" s="49"/>
      <c r="AD113" s="49"/>
      <c r="AE113" s="50"/>
      <c r="AF113" s="64"/>
      <c r="AG113" s="65"/>
      <c r="AH113" s="65"/>
      <c r="AI113" s="131"/>
    </row>
    <row r="114" spans="2:35" ht="15">
      <c r="B114" s="302" t="s">
        <v>15</v>
      </c>
      <c r="C114" s="63"/>
      <c r="D114" s="56">
        <v>1.23</v>
      </c>
      <c r="E114" s="162">
        <v>-0.44</v>
      </c>
      <c r="F114" s="56">
        <v>13.1</v>
      </c>
      <c r="G114" s="56">
        <v>16.559999999999999</v>
      </c>
      <c r="H114" s="56">
        <v>14.45</v>
      </c>
      <c r="I114" s="56">
        <v>15.29</v>
      </c>
      <c r="J114" s="56">
        <v>12.3</v>
      </c>
      <c r="K114" s="56">
        <v>25.07</v>
      </c>
      <c r="L114" s="56">
        <v>56.3</v>
      </c>
      <c r="M114" s="56">
        <v>32.54</v>
      </c>
      <c r="N114" s="56">
        <v>138.93</v>
      </c>
      <c r="O114" s="162">
        <v>25.99</v>
      </c>
      <c r="P114" s="162">
        <v>48.72</v>
      </c>
      <c r="Q114" s="181"/>
      <c r="R114" s="56"/>
      <c r="S114" s="163">
        <v>3.72</v>
      </c>
      <c r="T114" s="162">
        <v>9.7200000000000006</v>
      </c>
      <c r="U114" s="162">
        <v>28.37</v>
      </c>
      <c r="V114" s="181">
        <v>48.72</v>
      </c>
      <c r="W114" s="183">
        <v>10.75</v>
      </c>
      <c r="X114" s="182">
        <v>22.04</v>
      </c>
      <c r="Y114" s="182">
        <v>47.99</v>
      </c>
      <c r="Z114" s="214"/>
      <c r="AB114" s="163">
        <v>3.72</v>
      </c>
      <c r="AC114" s="162">
        <v>5.99</v>
      </c>
      <c r="AD114" s="162">
        <v>18.649999999999999</v>
      </c>
      <c r="AE114" s="181">
        <v>20.36</v>
      </c>
      <c r="AF114" s="183">
        <v>10.75</v>
      </c>
      <c r="AG114" s="182">
        <v>11.29</v>
      </c>
      <c r="AH114" s="182">
        <v>25.95</v>
      </c>
      <c r="AI114" s="356"/>
    </row>
    <row r="115" spans="2:35">
      <c r="B115" s="267" t="s">
        <v>16</v>
      </c>
      <c r="C115" s="76"/>
      <c r="D115" s="77">
        <v>0.56000000000000005</v>
      </c>
      <c r="E115" s="84" t="s">
        <v>90</v>
      </c>
      <c r="F115" s="77">
        <v>0.67</v>
      </c>
      <c r="G115" s="77">
        <v>0.67</v>
      </c>
      <c r="H115" s="77">
        <v>0.59</v>
      </c>
      <c r="I115" s="77">
        <v>0.61</v>
      </c>
      <c r="J115" s="77">
        <v>0.57999999999999996</v>
      </c>
      <c r="K115" s="77">
        <v>0.73</v>
      </c>
      <c r="L115" s="77">
        <v>0.9</v>
      </c>
      <c r="M115" s="77">
        <v>0.65</v>
      </c>
      <c r="N115" s="77">
        <v>1.87</v>
      </c>
      <c r="O115" s="78">
        <v>0.71</v>
      </c>
      <c r="P115" s="78">
        <v>0.72</v>
      </c>
      <c r="Q115" s="79"/>
      <c r="R115" s="77"/>
      <c r="S115" s="88">
        <v>0.52</v>
      </c>
      <c r="T115" s="77">
        <v>0.59</v>
      </c>
      <c r="U115" s="77">
        <v>0.7</v>
      </c>
      <c r="V115" s="85">
        <v>0.72</v>
      </c>
      <c r="W115" s="86">
        <v>0.62</v>
      </c>
      <c r="X115" s="87">
        <v>0.59</v>
      </c>
      <c r="Y115" s="87">
        <v>0.74</v>
      </c>
      <c r="Z115" s="82"/>
      <c r="AB115" s="88">
        <v>0.52</v>
      </c>
      <c r="AC115" s="77">
        <v>0.64</v>
      </c>
      <c r="AD115" s="77">
        <v>0.77</v>
      </c>
      <c r="AE115" s="85">
        <v>0.76</v>
      </c>
      <c r="AF115" s="86">
        <v>0.62</v>
      </c>
      <c r="AG115" s="87">
        <v>0.56000000000000005</v>
      </c>
      <c r="AH115" s="87">
        <v>0.96</v>
      </c>
      <c r="AI115" s="358"/>
    </row>
    <row r="116" spans="2:35">
      <c r="B116" s="191"/>
      <c r="C116" s="264"/>
      <c r="D116" s="262"/>
      <c r="E116" s="262"/>
      <c r="F116" s="262"/>
      <c r="G116" s="262"/>
      <c r="H116" s="262"/>
      <c r="I116" s="262"/>
      <c r="J116" s="262"/>
      <c r="K116" s="262"/>
      <c r="L116" s="262"/>
      <c r="M116" s="262"/>
      <c r="N116" s="262"/>
      <c r="O116" s="36"/>
      <c r="P116" s="36"/>
      <c r="Q116" s="227"/>
      <c r="R116" s="36"/>
      <c r="S116" s="264"/>
      <c r="T116" s="262"/>
      <c r="U116" s="262"/>
      <c r="V116" s="263"/>
      <c r="W116" s="277"/>
      <c r="X116" s="265"/>
      <c r="Y116" s="265"/>
      <c r="Z116" s="278"/>
      <c r="AB116" s="264"/>
      <c r="AC116" s="262"/>
      <c r="AD116" s="262"/>
      <c r="AE116" s="263"/>
      <c r="AF116" s="277"/>
      <c r="AG116" s="265"/>
      <c r="AH116" s="265"/>
      <c r="AI116" s="369"/>
    </row>
    <row r="117" spans="2:35">
      <c r="B117" s="233" t="s">
        <v>35</v>
      </c>
      <c r="C117" s="67"/>
      <c r="D117" s="68">
        <v>0</v>
      </c>
      <c r="E117" s="68">
        <v>0</v>
      </c>
      <c r="F117" s="68">
        <v>0</v>
      </c>
      <c r="G117" s="68">
        <v>0</v>
      </c>
      <c r="H117" s="68">
        <v>-0.03</v>
      </c>
      <c r="I117" s="68">
        <v>0</v>
      </c>
      <c r="J117" s="68">
        <v>0</v>
      </c>
      <c r="K117" s="68">
        <v>0</v>
      </c>
      <c r="L117" s="286">
        <v>-0.01</v>
      </c>
      <c r="M117" s="286">
        <v>0</v>
      </c>
      <c r="N117" s="286">
        <v>-0.01</v>
      </c>
      <c r="O117" s="255">
        <v>-0.01</v>
      </c>
      <c r="P117" s="255">
        <v>0.02</v>
      </c>
      <c r="Q117" s="50"/>
      <c r="R117" s="49"/>
      <c r="S117" s="287">
        <v>0.02</v>
      </c>
      <c r="T117" s="286">
        <v>0.02</v>
      </c>
      <c r="U117" s="286">
        <v>0.02</v>
      </c>
      <c r="V117" s="288">
        <v>0.02</v>
      </c>
      <c r="W117" s="71">
        <v>0</v>
      </c>
      <c r="X117" s="72">
        <v>0</v>
      </c>
      <c r="Y117" s="72">
        <v>0</v>
      </c>
      <c r="Z117" s="66"/>
      <c r="AB117" s="287">
        <v>0.02</v>
      </c>
      <c r="AC117" s="68">
        <v>0</v>
      </c>
      <c r="AD117" s="68">
        <v>0</v>
      </c>
      <c r="AE117" s="179">
        <v>0</v>
      </c>
      <c r="AF117" s="71">
        <v>0</v>
      </c>
      <c r="AG117" s="72">
        <v>0</v>
      </c>
      <c r="AH117" s="72">
        <v>0</v>
      </c>
      <c r="AI117" s="131"/>
    </row>
    <row r="118" spans="2:35">
      <c r="B118" s="233" t="s">
        <v>36</v>
      </c>
      <c r="C118" s="67"/>
      <c r="D118" s="68">
        <v>-0.76</v>
      </c>
      <c r="E118" s="68">
        <v>-1.34</v>
      </c>
      <c r="F118" s="68">
        <v>-4.5599999999999996</v>
      </c>
      <c r="G118" s="68">
        <v>-6.32</v>
      </c>
      <c r="H118" s="68">
        <v>-6.42</v>
      </c>
      <c r="I118" s="68">
        <v>-5.94</v>
      </c>
      <c r="J118" s="68">
        <v>-5.0999999999999996</v>
      </c>
      <c r="K118" s="68">
        <v>-8.0399999999999991</v>
      </c>
      <c r="L118" s="68">
        <v>-10.31</v>
      </c>
      <c r="M118" s="68">
        <v>-13.54</v>
      </c>
      <c r="N118" s="68">
        <v>-15.79</v>
      </c>
      <c r="O118" s="68">
        <v>-8.83</v>
      </c>
      <c r="P118" s="68">
        <v>-11.04</v>
      </c>
      <c r="Q118" s="179"/>
      <c r="R118" s="49"/>
      <c r="S118" s="67">
        <v>-2.8</v>
      </c>
      <c r="T118" s="68">
        <v>-5.03</v>
      </c>
      <c r="U118" s="68">
        <v>-7.98</v>
      </c>
      <c r="V118" s="179">
        <v>-11.04</v>
      </c>
      <c r="W118" s="71">
        <v>-4.84</v>
      </c>
      <c r="X118" s="72">
        <v>-10.3</v>
      </c>
      <c r="Y118" s="72">
        <v>-14.6</v>
      </c>
      <c r="Z118" s="73"/>
      <c r="AB118" s="67">
        <v>-2.8</v>
      </c>
      <c r="AC118" s="68">
        <v>-2.23</v>
      </c>
      <c r="AD118" s="68">
        <v>-2.95</v>
      </c>
      <c r="AE118" s="179">
        <v>-3.06</v>
      </c>
      <c r="AF118" s="71">
        <v>-4.84</v>
      </c>
      <c r="AG118" s="72">
        <v>-5.46</v>
      </c>
      <c r="AH118" s="72">
        <v>-4.3</v>
      </c>
      <c r="AI118" s="357"/>
    </row>
    <row r="119" spans="2:35">
      <c r="B119" s="233" t="s">
        <v>37</v>
      </c>
      <c r="C119" s="67"/>
      <c r="D119" s="68">
        <v>0</v>
      </c>
      <c r="E119" s="68">
        <v>0</v>
      </c>
      <c r="F119" s="68">
        <v>0</v>
      </c>
      <c r="G119" s="68">
        <v>0</v>
      </c>
      <c r="H119" s="68">
        <v>0</v>
      </c>
      <c r="I119" s="286">
        <v>0.03</v>
      </c>
      <c r="J119" s="286">
        <v>0.03</v>
      </c>
      <c r="K119" s="286">
        <v>0.05</v>
      </c>
      <c r="L119" s="286">
        <v>0.06</v>
      </c>
      <c r="M119" s="286">
        <v>0.06</v>
      </c>
      <c r="N119" s="286">
        <v>0.09</v>
      </c>
      <c r="O119" s="68">
        <v>0</v>
      </c>
      <c r="P119" s="68">
        <v>0</v>
      </c>
      <c r="Q119" s="179"/>
      <c r="R119" s="49"/>
      <c r="S119" s="67">
        <v>0</v>
      </c>
      <c r="T119" s="68">
        <v>0</v>
      </c>
      <c r="U119" s="68">
        <v>0</v>
      </c>
      <c r="V119" s="179">
        <v>0</v>
      </c>
      <c r="W119" s="71">
        <v>0</v>
      </c>
      <c r="X119" s="72">
        <v>0</v>
      </c>
      <c r="Y119" s="72">
        <v>0</v>
      </c>
      <c r="Z119" s="73"/>
      <c r="AB119" s="67">
        <v>0</v>
      </c>
      <c r="AC119" s="68">
        <v>0</v>
      </c>
      <c r="AD119" s="68">
        <v>0</v>
      </c>
      <c r="AE119" s="179">
        <v>0</v>
      </c>
      <c r="AF119" s="71">
        <v>0</v>
      </c>
      <c r="AG119" s="72">
        <v>0</v>
      </c>
      <c r="AH119" s="72">
        <v>0</v>
      </c>
      <c r="AI119" s="357"/>
    </row>
    <row r="120" spans="2:35">
      <c r="B120" s="301"/>
      <c r="C120" s="48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50"/>
      <c r="R120" s="49"/>
      <c r="S120" s="48"/>
      <c r="T120" s="49"/>
      <c r="U120" s="49"/>
      <c r="V120" s="50"/>
      <c r="W120" s="64"/>
      <c r="X120" s="65"/>
      <c r="Y120" s="65"/>
      <c r="Z120" s="66"/>
      <c r="AB120" s="48"/>
      <c r="AC120" s="49"/>
      <c r="AD120" s="49"/>
      <c r="AE120" s="50"/>
      <c r="AF120" s="64"/>
      <c r="AG120" s="65"/>
      <c r="AH120" s="65"/>
      <c r="AI120" s="131"/>
    </row>
    <row r="121" spans="2:35" ht="15">
      <c r="B121" s="242" t="s">
        <v>17</v>
      </c>
      <c r="C121" s="163"/>
      <c r="D121" s="162">
        <v>0.46</v>
      </c>
      <c r="E121" s="162">
        <v>-1.78</v>
      </c>
      <c r="F121" s="162">
        <v>8.5399999999999991</v>
      </c>
      <c r="G121" s="162">
        <v>10.23</v>
      </c>
      <c r="H121" s="162">
        <v>8.01</v>
      </c>
      <c r="I121" s="162">
        <v>9.3800000000000008</v>
      </c>
      <c r="J121" s="162">
        <v>7.23</v>
      </c>
      <c r="K121" s="162">
        <v>17.079999999999998</v>
      </c>
      <c r="L121" s="162">
        <v>46.05</v>
      </c>
      <c r="M121" s="162">
        <v>19.059999999999999</v>
      </c>
      <c r="N121" s="162">
        <v>123.22</v>
      </c>
      <c r="O121" s="162">
        <v>17.149999999999999</v>
      </c>
      <c r="P121" s="162">
        <v>37.700000000000003</v>
      </c>
      <c r="Q121" s="181"/>
      <c r="R121" s="56"/>
      <c r="S121" s="220">
        <v>0.94</v>
      </c>
      <c r="T121" s="162">
        <v>4.7</v>
      </c>
      <c r="U121" s="162">
        <v>20.399999999999999</v>
      </c>
      <c r="V121" s="181">
        <v>37.700000000000003</v>
      </c>
      <c r="W121" s="183">
        <v>5.91</v>
      </c>
      <c r="X121" s="182">
        <v>11.74</v>
      </c>
      <c r="Y121" s="182">
        <v>33.39</v>
      </c>
      <c r="Z121" s="214"/>
      <c r="AB121" s="220">
        <v>0.94</v>
      </c>
      <c r="AC121" s="162">
        <v>3.76</v>
      </c>
      <c r="AD121" s="162">
        <v>15.7</v>
      </c>
      <c r="AE121" s="181">
        <v>17.3</v>
      </c>
      <c r="AF121" s="183">
        <v>5.91</v>
      </c>
      <c r="AG121" s="182">
        <v>5.83</v>
      </c>
      <c r="AH121" s="182">
        <v>21.65</v>
      </c>
      <c r="AI121" s="356"/>
    </row>
    <row r="122" spans="2:35">
      <c r="B122" s="240"/>
    </row>
    <row r="123" spans="2:35">
      <c r="B123" s="240"/>
    </row>
    <row r="124" spans="2:35">
      <c r="B124" s="240"/>
    </row>
    <row r="125" spans="2:35" ht="15" thickBot="1">
      <c r="B125" s="240"/>
    </row>
    <row r="126" spans="2:35" ht="15.5" thickBot="1">
      <c r="B126" s="615" t="s">
        <v>24</v>
      </c>
      <c r="C126" s="616"/>
      <c r="D126" s="616"/>
      <c r="E126" s="616"/>
      <c r="F126" s="616"/>
      <c r="G126" s="616"/>
      <c r="H126" s="616"/>
      <c r="I126" s="616"/>
      <c r="J126" s="616"/>
      <c r="K126" s="616"/>
      <c r="L126" s="616"/>
      <c r="M126" s="616"/>
      <c r="N126" s="616"/>
      <c r="O126" s="616"/>
      <c r="P126" s="616"/>
      <c r="Q126" s="616"/>
      <c r="R126" s="616"/>
      <c r="S126" s="616"/>
      <c r="T126" s="616"/>
      <c r="U126" s="616"/>
      <c r="V126" s="616"/>
      <c r="W126" s="616"/>
      <c r="X126" s="616"/>
      <c r="Y126" s="616"/>
      <c r="Z126" s="616"/>
      <c r="AA126" s="616"/>
      <c r="AB126" s="616"/>
      <c r="AC126" s="616"/>
      <c r="AD126" s="616"/>
      <c r="AE126" s="616"/>
      <c r="AF126" s="616"/>
      <c r="AG126" s="616"/>
      <c r="AH126" s="616"/>
      <c r="AI126" s="617"/>
    </row>
    <row r="127" spans="2:35" ht="15">
      <c r="B127" s="392" t="s">
        <v>82</v>
      </c>
      <c r="C127" s="393">
        <v>2008</v>
      </c>
      <c r="D127" s="393">
        <v>2009</v>
      </c>
      <c r="E127" s="393">
        <v>2010</v>
      </c>
      <c r="F127" s="394">
        <v>2011</v>
      </c>
      <c r="G127" s="394">
        <v>2012</v>
      </c>
      <c r="H127" s="394">
        <v>2013</v>
      </c>
      <c r="I127" s="394">
        <v>2014</v>
      </c>
      <c r="J127" s="394">
        <v>2015</v>
      </c>
      <c r="K127" s="394">
        <v>2016</v>
      </c>
      <c r="L127" s="394">
        <v>2017</v>
      </c>
      <c r="M127" s="394">
        <v>2018</v>
      </c>
      <c r="N127" s="394">
        <v>2019</v>
      </c>
      <c r="O127" s="394">
        <v>2020</v>
      </c>
      <c r="P127" s="394">
        <v>2021</v>
      </c>
      <c r="Q127" s="394">
        <v>2022</v>
      </c>
      <c r="R127" s="1"/>
      <c r="S127" s="395" t="s">
        <v>0</v>
      </c>
      <c r="T127" s="342" t="s">
        <v>1</v>
      </c>
      <c r="U127" s="342" t="s">
        <v>2</v>
      </c>
      <c r="V127" s="396" t="s">
        <v>3</v>
      </c>
      <c r="W127" s="342" t="s">
        <v>4</v>
      </c>
      <c r="X127" s="342" t="s">
        <v>5</v>
      </c>
      <c r="Y127" s="342" t="s">
        <v>6</v>
      </c>
      <c r="Z127" s="396" t="s">
        <v>7</v>
      </c>
      <c r="AB127" s="395" t="s">
        <v>0</v>
      </c>
      <c r="AC127" s="342" t="s">
        <v>8</v>
      </c>
      <c r="AD127" s="342" t="s">
        <v>9</v>
      </c>
      <c r="AE127" s="396" t="s">
        <v>10</v>
      </c>
      <c r="AF127" s="342" t="s">
        <v>4</v>
      </c>
      <c r="AG127" s="342" t="s">
        <v>11</v>
      </c>
      <c r="AH127" s="342" t="s">
        <v>12</v>
      </c>
      <c r="AI127" s="396" t="s">
        <v>13</v>
      </c>
    </row>
    <row r="128" spans="2:35">
      <c r="B128" s="191"/>
      <c r="C128" s="148"/>
      <c r="Q128" s="37"/>
      <c r="S128" s="48"/>
      <c r="T128" s="49"/>
      <c r="U128" s="49"/>
      <c r="V128" s="50"/>
      <c r="W128" s="48"/>
      <c r="X128" s="49"/>
      <c r="Y128" s="49"/>
      <c r="Z128" s="50"/>
      <c r="AB128" s="48"/>
      <c r="AC128" s="49"/>
      <c r="AD128" s="49"/>
      <c r="AE128" s="50"/>
      <c r="AF128" s="48"/>
      <c r="AG128" s="49"/>
      <c r="AH128" s="49"/>
      <c r="AI128" s="371"/>
    </row>
    <row r="129" spans="2:35" ht="16">
      <c r="B129" s="244" t="s">
        <v>14</v>
      </c>
      <c r="C129" s="16"/>
      <c r="D129" s="198"/>
      <c r="E129" s="198"/>
      <c r="F129" s="198"/>
      <c r="G129" s="198"/>
      <c r="H129" s="198"/>
      <c r="I129" s="198"/>
      <c r="J129" s="198"/>
      <c r="K129" s="198"/>
      <c r="L129" s="198"/>
      <c r="M129" s="198"/>
      <c r="N129" s="198"/>
      <c r="O129" s="198"/>
      <c r="P129" s="198">
        <v>0</v>
      </c>
      <c r="Q129" s="208"/>
      <c r="R129" s="44"/>
      <c r="S129" s="220">
        <v>0</v>
      </c>
      <c r="T129" s="198">
        <v>0</v>
      </c>
      <c r="U129" s="198">
        <v>0</v>
      </c>
      <c r="V129" s="208">
        <v>0</v>
      </c>
      <c r="W129" s="183">
        <v>7.1</v>
      </c>
      <c r="X129" s="182">
        <v>31.69</v>
      </c>
      <c r="Y129" s="182">
        <v>56.64</v>
      </c>
      <c r="Z129" s="214"/>
      <c r="AB129" s="220">
        <v>0</v>
      </c>
      <c r="AC129" s="198">
        <v>0</v>
      </c>
      <c r="AD129" s="198">
        <v>0</v>
      </c>
      <c r="AE129" s="208">
        <v>0</v>
      </c>
      <c r="AF129" s="183">
        <v>7.1</v>
      </c>
      <c r="AG129" s="182">
        <v>24.6</v>
      </c>
      <c r="AH129" s="182">
        <v>24.95</v>
      </c>
      <c r="AI129" s="356"/>
    </row>
    <row r="130" spans="2:35" ht="15">
      <c r="B130" s="244"/>
      <c r="C130" s="39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3"/>
      <c r="R130" s="38"/>
      <c r="S130" s="39"/>
      <c r="T130" s="38"/>
      <c r="U130" s="38"/>
      <c r="V130" s="33"/>
      <c r="W130" s="64"/>
      <c r="X130" s="65"/>
      <c r="Y130" s="65"/>
      <c r="Z130" s="66"/>
      <c r="AB130" s="45"/>
      <c r="AC130" s="46"/>
      <c r="AD130" s="46"/>
      <c r="AE130" s="243"/>
      <c r="AF130" s="64"/>
      <c r="AG130" s="65"/>
      <c r="AH130" s="65"/>
      <c r="AI130" s="131"/>
    </row>
    <row r="131" spans="2:35">
      <c r="B131" s="15" t="s">
        <v>28</v>
      </c>
      <c r="C131" s="43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>
        <v>0</v>
      </c>
      <c r="Q131" s="186"/>
      <c r="R131" s="38"/>
      <c r="S131" s="43">
        <v>0</v>
      </c>
      <c r="T131" s="40">
        <v>0</v>
      </c>
      <c r="U131" s="40">
        <v>0</v>
      </c>
      <c r="V131" s="186">
        <v>0</v>
      </c>
      <c r="W131" s="279">
        <v>0.02</v>
      </c>
      <c r="X131" s="72">
        <v>1.1100000000000001</v>
      </c>
      <c r="Y131" s="72">
        <v>1.49</v>
      </c>
      <c r="Z131" s="73"/>
      <c r="AB131" s="43">
        <v>0</v>
      </c>
      <c r="AC131" s="40">
        <v>0</v>
      </c>
      <c r="AD131" s="40">
        <v>0</v>
      </c>
      <c r="AE131" s="186">
        <v>0</v>
      </c>
      <c r="AF131" s="279">
        <v>0.02</v>
      </c>
      <c r="AG131" s="72">
        <v>1.08</v>
      </c>
      <c r="AH131" s="72">
        <v>0.39</v>
      </c>
      <c r="AI131" s="357"/>
    </row>
    <row r="132" spans="2:35" ht="15">
      <c r="B132" s="15" t="s">
        <v>29</v>
      </c>
      <c r="C132" s="22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>
        <v>0</v>
      </c>
      <c r="Q132" s="186"/>
      <c r="R132" s="38"/>
      <c r="S132" s="43">
        <v>0</v>
      </c>
      <c r="T132" s="40">
        <v>0</v>
      </c>
      <c r="U132" s="40">
        <v>0</v>
      </c>
      <c r="V132" s="186">
        <v>0</v>
      </c>
      <c r="W132" s="290">
        <v>-3.63</v>
      </c>
      <c r="X132" s="215">
        <v>-14.46</v>
      </c>
      <c r="Y132" s="215">
        <v>-29.42</v>
      </c>
      <c r="Z132" s="73"/>
      <c r="AB132" s="43">
        <v>0</v>
      </c>
      <c r="AC132" s="40">
        <v>0</v>
      </c>
      <c r="AD132" s="40">
        <v>0</v>
      </c>
      <c r="AE132" s="186">
        <v>0</v>
      </c>
      <c r="AF132" s="290">
        <v>-3.63</v>
      </c>
      <c r="AG132" s="215">
        <v>-10.83</v>
      </c>
      <c r="AH132" s="215">
        <v>-14.96</v>
      </c>
      <c r="AI132" s="357"/>
    </row>
    <row r="133" spans="2:35">
      <c r="B133" s="266" t="s">
        <v>30</v>
      </c>
      <c r="C133" s="43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>
        <v>0</v>
      </c>
      <c r="Q133" s="186"/>
      <c r="R133" s="38"/>
      <c r="S133" s="43">
        <v>0</v>
      </c>
      <c r="T133" s="40">
        <v>0</v>
      </c>
      <c r="U133" s="40">
        <v>0</v>
      </c>
      <c r="V133" s="186">
        <v>0</v>
      </c>
      <c r="W133" s="71">
        <v>-1.84</v>
      </c>
      <c r="X133" s="72">
        <v>-7.22</v>
      </c>
      <c r="Y133" s="72">
        <v>-15.28</v>
      </c>
      <c r="Z133" s="73"/>
      <c r="AB133" s="43">
        <v>0</v>
      </c>
      <c r="AC133" s="40">
        <v>0</v>
      </c>
      <c r="AD133" s="40">
        <v>0</v>
      </c>
      <c r="AE133" s="186">
        <v>0</v>
      </c>
      <c r="AF133" s="71">
        <v>-1.84</v>
      </c>
      <c r="AG133" s="72">
        <v>-5.38</v>
      </c>
      <c r="AH133" s="72">
        <v>-8.06</v>
      </c>
      <c r="AI133" s="357"/>
    </row>
    <row r="134" spans="2:35">
      <c r="B134" s="266" t="s">
        <v>31</v>
      </c>
      <c r="C134" s="43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>
        <v>0</v>
      </c>
      <c r="Q134" s="186"/>
      <c r="R134" s="38"/>
      <c r="S134" s="43">
        <v>0</v>
      </c>
      <c r="T134" s="40">
        <v>0</v>
      </c>
      <c r="U134" s="40">
        <v>0</v>
      </c>
      <c r="V134" s="186">
        <v>0</v>
      </c>
      <c r="W134" s="71">
        <v>-1.93</v>
      </c>
      <c r="X134" s="72">
        <v>-6.88</v>
      </c>
      <c r="Y134" s="72">
        <v>-14</v>
      </c>
      <c r="Z134" s="73"/>
      <c r="AB134" s="43">
        <v>0</v>
      </c>
      <c r="AC134" s="40">
        <v>0</v>
      </c>
      <c r="AD134" s="40">
        <v>0</v>
      </c>
      <c r="AE134" s="186">
        <v>0</v>
      </c>
      <c r="AF134" s="71">
        <v>-1.93</v>
      </c>
      <c r="AG134" s="72">
        <v>-4.9400000000000004</v>
      </c>
      <c r="AH134" s="72">
        <v>-7.12</v>
      </c>
      <c r="AI134" s="357"/>
    </row>
    <row r="135" spans="2:35">
      <c r="B135" s="266" t="s">
        <v>32</v>
      </c>
      <c r="C135" s="43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>
        <v>0</v>
      </c>
      <c r="Q135" s="186"/>
      <c r="R135" s="38"/>
      <c r="S135" s="43">
        <v>0</v>
      </c>
      <c r="T135" s="40">
        <v>0</v>
      </c>
      <c r="U135" s="40">
        <v>0</v>
      </c>
      <c r="V135" s="186">
        <v>0</v>
      </c>
      <c r="W135" s="221">
        <v>0.15</v>
      </c>
      <c r="X135" s="180">
        <v>-0.36</v>
      </c>
      <c r="Y135" s="180">
        <v>-0.14000000000000001</v>
      </c>
      <c r="Z135" s="73"/>
      <c r="AB135" s="43">
        <v>0</v>
      </c>
      <c r="AC135" s="40">
        <v>0</v>
      </c>
      <c r="AD135" s="40">
        <v>0</v>
      </c>
      <c r="AE135" s="186">
        <v>0</v>
      </c>
      <c r="AF135" s="221">
        <v>0.15</v>
      </c>
      <c r="AG135" s="180">
        <v>-0.51</v>
      </c>
      <c r="AH135" s="180">
        <v>0.23</v>
      </c>
      <c r="AI135" s="357"/>
    </row>
    <row r="136" spans="2:35" ht="15">
      <c r="B136" s="8" t="s">
        <v>33</v>
      </c>
      <c r="C136" s="39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40"/>
      <c r="P136" s="40">
        <v>0</v>
      </c>
      <c r="Q136" s="186"/>
      <c r="R136" s="44"/>
      <c r="S136" s="43">
        <v>0</v>
      </c>
      <c r="T136" s="40">
        <v>0</v>
      </c>
      <c r="U136" s="40">
        <v>0</v>
      </c>
      <c r="V136" s="186">
        <v>0</v>
      </c>
      <c r="W136" s="221">
        <v>-0.17</v>
      </c>
      <c r="X136" s="180">
        <v>0.21</v>
      </c>
      <c r="Y136" s="180">
        <v>0.32</v>
      </c>
      <c r="Z136" s="73"/>
      <c r="AB136" s="43">
        <v>0</v>
      </c>
      <c r="AC136" s="40">
        <v>0</v>
      </c>
      <c r="AD136" s="40">
        <v>0</v>
      </c>
      <c r="AE136" s="186">
        <v>0</v>
      </c>
      <c r="AF136" s="221">
        <v>-0.17</v>
      </c>
      <c r="AG136" s="180">
        <v>0.39</v>
      </c>
      <c r="AH136" s="180">
        <v>0.11</v>
      </c>
      <c r="AI136" s="357"/>
    </row>
    <row r="137" spans="2:35">
      <c r="B137" s="199"/>
      <c r="C137" s="39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3"/>
      <c r="R137" s="38"/>
      <c r="S137" s="43"/>
      <c r="T137" s="38"/>
      <c r="U137" s="38"/>
      <c r="V137" s="33"/>
      <c r="W137" s="64"/>
      <c r="X137" s="65"/>
      <c r="Y137" s="65"/>
      <c r="Z137" s="66"/>
      <c r="AB137" s="43"/>
      <c r="AC137" s="38"/>
      <c r="AD137" s="38"/>
      <c r="AE137" s="33"/>
      <c r="AF137" s="64"/>
      <c r="AG137" s="65"/>
      <c r="AH137" s="65"/>
      <c r="AI137" s="131"/>
    </row>
    <row r="138" spans="2:35" ht="15">
      <c r="B138" s="245" t="s">
        <v>15</v>
      </c>
      <c r="C138" s="95"/>
      <c r="D138" s="44"/>
      <c r="E138" s="198"/>
      <c r="F138" s="44"/>
      <c r="G138" s="44"/>
      <c r="H138" s="44"/>
      <c r="I138" s="44"/>
      <c r="J138" s="44"/>
      <c r="K138" s="44"/>
      <c r="L138" s="44"/>
      <c r="M138" s="44"/>
      <c r="N138" s="44"/>
      <c r="O138" s="198"/>
      <c r="P138" s="198">
        <v>0</v>
      </c>
      <c r="Q138" s="208"/>
      <c r="R138" s="44"/>
      <c r="S138" s="220">
        <v>0</v>
      </c>
      <c r="T138" s="198">
        <v>0</v>
      </c>
      <c r="U138" s="198">
        <v>0</v>
      </c>
      <c r="V138" s="208">
        <v>0</v>
      </c>
      <c r="W138" s="183">
        <v>3.32</v>
      </c>
      <c r="X138" s="182">
        <v>18.55</v>
      </c>
      <c r="Y138" s="182">
        <v>29.04</v>
      </c>
      <c r="Z138" s="214"/>
      <c r="AB138" s="220">
        <v>0</v>
      </c>
      <c r="AC138" s="198">
        <v>0</v>
      </c>
      <c r="AD138" s="198">
        <v>0</v>
      </c>
      <c r="AE138" s="208">
        <v>0</v>
      </c>
      <c r="AF138" s="183">
        <v>3.32</v>
      </c>
      <c r="AG138" s="182">
        <v>15.23</v>
      </c>
      <c r="AH138" s="182">
        <v>10.49</v>
      </c>
      <c r="AI138" s="356"/>
    </row>
    <row r="139" spans="2:35">
      <c r="B139" s="267" t="s">
        <v>16</v>
      </c>
      <c r="C139" s="76"/>
      <c r="D139" s="77"/>
      <c r="E139" s="84"/>
      <c r="F139" s="77"/>
      <c r="G139" s="77"/>
      <c r="H139" s="77"/>
      <c r="I139" s="77"/>
      <c r="J139" s="77"/>
      <c r="K139" s="77"/>
      <c r="L139" s="77"/>
      <c r="M139" s="77"/>
      <c r="N139" s="77"/>
      <c r="O139" s="78"/>
      <c r="P139" s="78">
        <v>0</v>
      </c>
      <c r="Q139" s="79"/>
      <c r="R139" s="77"/>
      <c r="S139" s="88">
        <v>0</v>
      </c>
      <c r="T139" s="78">
        <v>0</v>
      </c>
      <c r="U139" s="78">
        <v>0</v>
      </c>
      <c r="V139" s="89">
        <v>0</v>
      </c>
      <c r="W139" s="86">
        <v>0.47</v>
      </c>
      <c r="X139" s="87">
        <v>0.59</v>
      </c>
      <c r="Y139" s="87">
        <v>0.51</v>
      </c>
      <c r="Z139" s="82"/>
      <c r="AB139" s="88">
        <v>0</v>
      </c>
      <c r="AC139" s="77">
        <v>0</v>
      </c>
      <c r="AD139" s="77">
        <v>0</v>
      </c>
      <c r="AE139" s="85">
        <v>0</v>
      </c>
      <c r="AF139" s="86">
        <v>0.47</v>
      </c>
      <c r="AG139" s="87">
        <v>0.62</v>
      </c>
      <c r="AH139" s="87">
        <v>0.42</v>
      </c>
      <c r="AI139" s="358"/>
    </row>
    <row r="140" spans="2:35">
      <c r="B140" s="199"/>
      <c r="C140" s="43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38"/>
      <c r="P140" s="38"/>
      <c r="Q140" s="33"/>
      <c r="R140" s="38"/>
      <c r="S140" s="43"/>
      <c r="T140" s="40"/>
      <c r="U140" s="40"/>
      <c r="V140" s="186"/>
      <c r="W140" s="71"/>
      <c r="X140" s="72"/>
      <c r="Y140" s="72"/>
      <c r="Z140" s="66"/>
      <c r="AB140" s="43"/>
      <c r="AC140" s="40"/>
      <c r="AD140" s="40"/>
      <c r="AE140" s="186"/>
      <c r="AF140" s="71"/>
      <c r="AG140" s="72"/>
      <c r="AH140" s="72"/>
      <c r="AI140" s="131"/>
    </row>
    <row r="141" spans="2:35">
      <c r="B141" s="213" t="s">
        <v>35</v>
      </c>
      <c r="C141" s="43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38"/>
      <c r="P141" s="38">
        <v>0</v>
      </c>
      <c r="Q141" s="33"/>
      <c r="R141" s="38"/>
      <c r="S141" s="43">
        <v>0</v>
      </c>
      <c r="T141" s="40">
        <v>0</v>
      </c>
      <c r="U141" s="40">
        <v>0</v>
      </c>
      <c r="V141" s="186">
        <v>0</v>
      </c>
      <c r="W141" s="71">
        <v>0</v>
      </c>
      <c r="X141" s="72">
        <v>0</v>
      </c>
      <c r="Y141" s="72">
        <v>0</v>
      </c>
      <c r="Z141" s="66"/>
      <c r="AB141" s="43">
        <v>0</v>
      </c>
      <c r="AC141" s="40">
        <v>0</v>
      </c>
      <c r="AD141" s="40">
        <v>0</v>
      </c>
      <c r="AE141" s="186">
        <v>0</v>
      </c>
      <c r="AF141" s="71">
        <v>0</v>
      </c>
      <c r="AG141" s="72">
        <v>0</v>
      </c>
      <c r="AH141" s="72">
        <v>0</v>
      </c>
      <c r="AI141" s="131"/>
    </row>
    <row r="142" spans="2:35">
      <c r="B142" s="213" t="s">
        <v>36</v>
      </c>
      <c r="C142" s="43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>
        <v>0</v>
      </c>
      <c r="Q142" s="186"/>
      <c r="R142" s="38"/>
      <c r="S142" s="43">
        <v>0</v>
      </c>
      <c r="T142" s="40">
        <v>0</v>
      </c>
      <c r="U142" s="40">
        <v>0</v>
      </c>
      <c r="V142" s="186">
        <v>0</v>
      </c>
      <c r="W142" s="71">
        <v>-1.49</v>
      </c>
      <c r="X142" s="72">
        <v>-5.93</v>
      </c>
      <c r="Y142" s="72">
        <v>-11.29</v>
      </c>
      <c r="Z142" s="73"/>
      <c r="AB142" s="43">
        <v>0</v>
      </c>
      <c r="AC142" s="40">
        <v>0</v>
      </c>
      <c r="AD142" s="40">
        <v>0</v>
      </c>
      <c r="AE142" s="186">
        <v>0</v>
      </c>
      <c r="AF142" s="71">
        <v>-1.49</v>
      </c>
      <c r="AG142" s="72">
        <v>-4.43</v>
      </c>
      <c r="AH142" s="72">
        <v>-5.37</v>
      </c>
      <c r="AI142" s="357"/>
    </row>
    <row r="143" spans="2:35">
      <c r="B143" s="213" t="s">
        <v>37</v>
      </c>
      <c r="C143" s="43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>
        <v>0</v>
      </c>
      <c r="Q143" s="186"/>
      <c r="R143" s="38"/>
      <c r="S143" s="43">
        <v>0</v>
      </c>
      <c r="T143" s="40">
        <v>0</v>
      </c>
      <c r="U143" s="40">
        <v>0</v>
      </c>
      <c r="V143" s="186">
        <v>0</v>
      </c>
      <c r="W143" s="221">
        <v>0.6</v>
      </c>
      <c r="X143" s="72">
        <v>0</v>
      </c>
      <c r="Y143" s="72">
        <v>0</v>
      </c>
      <c r="Z143" s="73"/>
      <c r="AB143" s="43">
        <v>0</v>
      </c>
      <c r="AC143" s="40">
        <v>0</v>
      </c>
      <c r="AD143" s="40">
        <v>0</v>
      </c>
      <c r="AE143" s="186">
        <v>0</v>
      </c>
      <c r="AF143" s="221">
        <v>0.6</v>
      </c>
      <c r="AG143" s="180">
        <v>-0.6</v>
      </c>
      <c r="AH143" s="180">
        <v>0</v>
      </c>
      <c r="AI143" s="357"/>
    </row>
    <row r="144" spans="2:35">
      <c r="B144" s="199"/>
      <c r="C144" s="39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3"/>
      <c r="R144" s="38"/>
      <c r="S144" s="39"/>
      <c r="T144" s="38"/>
      <c r="U144" s="38"/>
      <c r="V144" s="33"/>
      <c r="W144" s="64"/>
      <c r="X144" s="65"/>
      <c r="Y144" s="65"/>
      <c r="Z144" s="66"/>
      <c r="AB144" s="39"/>
      <c r="AC144" s="38"/>
      <c r="AD144" s="38"/>
      <c r="AE144" s="33"/>
      <c r="AF144" s="64"/>
      <c r="AG144" s="65"/>
      <c r="AH144" s="65"/>
      <c r="AI144" s="131"/>
    </row>
    <row r="145" spans="2:35" ht="15">
      <c r="B145" s="196" t="s">
        <v>17</v>
      </c>
      <c r="C145" s="220"/>
      <c r="D145" s="198"/>
      <c r="E145" s="198"/>
      <c r="F145" s="198"/>
      <c r="G145" s="198"/>
      <c r="H145" s="198"/>
      <c r="I145" s="198"/>
      <c r="J145" s="198"/>
      <c r="K145" s="198"/>
      <c r="L145" s="198"/>
      <c r="M145" s="198"/>
      <c r="N145" s="198"/>
      <c r="O145" s="198"/>
      <c r="P145" s="198">
        <v>0</v>
      </c>
      <c r="Q145" s="208"/>
      <c r="R145" s="44"/>
      <c r="S145" s="220">
        <v>0</v>
      </c>
      <c r="T145" s="198">
        <v>0</v>
      </c>
      <c r="U145" s="198">
        <v>0</v>
      </c>
      <c r="V145" s="208">
        <v>0</v>
      </c>
      <c r="W145" s="183">
        <v>2.42</v>
      </c>
      <c r="X145" s="182">
        <v>12.62</v>
      </c>
      <c r="Y145" s="182">
        <v>17.75</v>
      </c>
      <c r="Z145" s="214"/>
      <c r="AB145" s="220">
        <v>0</v>
      </c>
      <c r="AC145" s="198">
        <v>0</v>
      </c>
      <c r="AD145" s="198">
        <v>0</v>
      </c>
      <c r="AE145" s="208">
        <v>0</v>
      </c>
      <c r="AF145" s="183">
        <v>2.42</v>
      </c>
      <c r="AG145" s="182">
        <v>10.210000000000001</v>
      </c>
      <c r="AH145" s="182">
        <v>5.13</v>
      </c>
      <c r="AI145" s="356"/>
    </row>
    <row r="146" spans="2:35">
      <c r="B146" s="240"/>
      <c r="AB146" s="109"/>
      <c r="AC146" s="103"/>
      <c r="AD146" s="103"/>
      <c r="AE146" s="110"/>
      <c r="AF146" s="103"/>
      <c r="AG146" s="103"/>
      <c r="AH146" s="103"/>
      <c r="AI146" s="283"/>
    </row>
    <row r="147" spans="2:35">
      <c r="B147" s="240"/>
    </row>
    <row r="148" spans="2:35">
      <c r="B148" s="240"/>
    </row>
    <row r="149" spans="2:35">
      <c r="B149" s="240"/>
    </row>
    <row r="150" spans="2:35">
      <c r="B150" s="240"/>
    </row>
    <row r="151" spans="2:35">
      <c r="B151" s="240"/>
    </row>
    <row r="152" spans="2:35">
      <c r="B152" s="240"/>
    </row>
    <row r="153" spans="2:35">
      <c r="B153" s="240"/>
    </row>
    <row r="154" spans="2:35">
      <c r="B154" s="240"/>
    </row>
    <row r="155" spans="2:35">
      <c r="B155" s="240"/>
    </row>
    <row r="156" spans="2:35">
      <c r="B156" s="240"/>
    </row>
    <row r="157" spans="2:35">
      <c r="B157" s="240"/>
    </row>
    <row r="158" spans="2:35">
      <c r="B158" s="240"/>
    </row>
    <row r="159" spans="2:35">
      <c r="B159" s="240"/>
    </row>
    <row r="160" spans="2:35">
      <c r="B160" s="240"/>
    </row>
    <row r="161" spans="2:35">
      <c r="B161" s="240"/>
    </row>
    <row r="162" spans="2:35">
      <c r="B162" s="240"/>
    </row>
    <row r="163" spans="2:35">
      <c r="B163" s="240"/>
    </row>
    <row r="164" spans="2:35">
      <c r="B164" s="240"/>
    </row>
    <row r="165" spans="2:35" ht="13.5" customHeight="1">
      <c r="C165" s="352"/>
      <c r="D165" s="352"/>
      <c r="E165" s="352"/>
      <c r="F165" s="352"/>
      <c r="G165" s="352"/>
      <c r="H165" s="352"/>
      <c r="I165" s="352"/>
      <c r="J165" s="352"/>
      <c r="K165" s="352"/>
      <c r="L165" s="352"/>
      <c r="M165" s="352"/>
      <c r="N165" s="352"/>
      <c r="O165" s="352"/>
      <c r="P165" s="352"/>
      <c r="Q165" s="352"/>
      <c r="R165" s="352"/>
      <c r="S165" s="352"/>
      <c r="T165" s="352"/>
      <c r="U165" s="352"/>
      <c r="V165" s="352"/>
      <c r="W165" s="352"/>
      <c r="X165" s="352"/>
      <c r="Y165" s="352"/>
      <c r="Z165" s="352"/>
      <c r="AA165" s="352"/>
      <c r="AB165" s="352"/>
      <c r="AC165" s="352"/>
      <c r="AD165" s="352"/>
      <c r="AE165" s="352"/>
      <c r="AF165" s="352"/>
      <c r="AG165" s="352"/>
      <c r="AH165" s="352"/>
      <c r="AI165" s="352"/>
    </row>
    <row r="166" spans="2:35" ht="13.5" customHeight="1">
      <c r="B166" s="240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2"/>
      <c r="N166" s="352"/>
      <c r="O166" s="352"/>
      <c r="P166" s="352"/>
      <c r="Q166" s="352"/>
      <c r="R166" s="352"/>
      <c r="S166" s="352"/>
      <c r="T166" s="352"/>
      <c r="U166" s="352"/>
      <c r="V166" s="352"/>
      <c r="W166" s="352"/>
      <c r="X166" s="352"/>
      <c r="Y166" s="352"/>
      <c r="Z166" s="352"/>
      <c r="AA166" s="352"/>
      <c r="AB166" s="352"/>
      <c r="AC166" s="352"/>
      <c r="AD166" s="352"/>
      <c r="AE166" s="352"/>
      <c r="AF166" s="352"/>
      <c r="AG166" s="352"/>
      <c r="AH166" s="352"/>
      <c r="AI166" s="352"/>
    </row>
    <row r="167" spans="2:35" ht="13.5" customHeight="1">
      <c r="B167" s="240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2"/>
      <c r="N167" s="352"/>
      <c r="O167" s="352"/>
      <c r="P167" s="352"/>
      <c r="Q167" s="352"/>
      <c r="R167" s="352"/>
      <c r="S167" s="352"/>
      <c r="T167" s="352"/>
      <c r="U167" s="352"/>
      <c r="V167" s="352"/>
      <c r="W167" s="352"/>
      <c r="X167" s="352"/>
      <c r="Y167" s="352"/>
      <c r="Z167" s="352"/>
      <c r="AA167" s="352"/>
      <c r="AB167" s="352"/>
      <c r="AC167" s="352"/>
      <c r="AD167" s="352"/>
      <c r="AE167" s="352"/>
      <c r="AF167" s="352"/>
      <c r="AG167" s="352"/>
      <c r="AH167" s="352"/>
      <c r="AI167" s="352"/>
    </row>
    <row r="168" spans="2:35" ht="13.5" customHeight="1">
      <c r="B168" s="240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52"/>
      <c r="Z168" s="352"/>
      <c r="AA168" s="352"/>
      <c r="AB168" s="352"/>
      <c r="AC168" s="352"/>
      <c r="AD168" s="352"/>
      <c r="AE168" s="352"/>
      <c r="AF168" s="352"/>
      <c r="AG168" s="352"/>
      <c r="AH168" s="352"/>
      <c r="AI168" s="352"/>
    </row>
    <row r="169" spans="2:35" ht="13.5" customHeight="1">
      <c r="B169" s="240"/>
      <c r="C169" s="352"/>
      <c r="D169" s="352"/>
      <c r="E169" s="352"/>
      <c r="F169" s="352"/>
      <c r="G169" s="352"/>
      <c r="H169" s="352"/>
      <c r="I169" s="352"/>
      <c r="J169" s="352"/>
      <c r="K169" s="352"/>
      <c r="L169" s="352"/>
      <c r="M169" s="352"/>
      <c r="N169" s="352"/>
      <c r="O169" s="352"/>
      <c r="P169" s="352"/>
      <c r="Q169" s="352"/>
      <c r="R169" s="352"/>
      <c r="S169" s="352"/>
      <c r="T169" s="352"/>
      <c r="U169" s="352"/>
      <c r="V169" s="352"/>
      <c r="W169" s="352"/>
      <c r="X169" s="352"/>
      <c r="Y169" s="352"/>
      <c r="Z169" s="352"/>
      <c r="AA169" s="352"/>
      <c r="AB169" s="352"/>
      <c r="AC169" s="352"/>
      <c r="AD169" s="352"/>
      <c r="AE169" s="352"/>
      <c r="AF169" s="352"/>
      <c r="AG169" s="352"/>
      <c r="AH169" s="352"/>
      <c r="AI169" s="352"/>
    </row>
    <row r="170" spans="2:35" ht="13.5" customHeight="1">
      <c r="B170" s="240"/>
      <c r="C170" s="352"/>
      <c r="D170" s="352"/>
      <c r="E170" s="352"/>
      <c r="F170" s="352"/>
      <c r="G170" s="352"/>
      <c r="H170" s="352"/>
      <c r="I170" s="352"/>
      <c r="J170" s="352"/>
      <c r="K170" s="352"/>
      <c r="L170" s="352"/>
      <c r="M170" s="352"/>
      <c r="N170" s="352"/>
      <c r="O170" s="352"/>
      <c r="P170" s="352"/>
      <c r="Q170" s="352"/>
      <c r="R170" s="352"/>
      <c r="S170" s="352"/>
      <c r="T170" s="352"/>
      <c r="U170" s="352"/>
      <c r="V170" s="352"/>
      <c r="W170" s="352"/>
      <c r="X170" s="352"/>
      <c r="Y170" s="352"/>
      <c r="Z170" s="352"/>
      <c r="AA170" s="352"/>
      <c r="AB170" s="352"/>
      <c r="AC170" s="352"/>
      <c r="AD170" s="352"/>
      <c r="AE170" s="352"/>
      <c r="AF170" s="352"/>
      <c r="AG170" s="352"/>
      <c r="AH170" s="352"/>
      <c r="AI170" s="352"/>
    </row>
    <row r="171" spans="2:35" ht="13.5" customHeight="1">
      <c r="B171" s="240"/>
      <c r="C171" s="352"/>
      <c r="D171" s="352"/>
      <c r="E171" s="352"/>
      <c r="F171" s="352"/>
      <c r="G171" s="352"/>
      <c r="H171" s="352"/>
      <c r="I171" s="352"/>
      <c r="J171" s="352"/>
      <c r="K171" s="352"/>
      <c r="L171" s="352"/>
      <c r="M171" s="352"/>
      <c r="N171" s="352"/>
      <c r="O171" s="352"/>
      <c r="P171" s="352"/>
      <c r="Q171" s="352"/>
      <c r="R171" s="352"/>
      <c r="S171" s="352"/>
      <c r="T171" s="352"/>
      <c r="U171" s="352"/>
      <c r="V171" s="352"/>
      <c r="W171" s="352"/>
      <c r="X171" s="352"/>
      <c r="Y171" s="352"/>
      <c r="Z171" s="352"/>
      <c r="AA171" s="352"/>
      <c r="AB171" s="352"/>
      <c r="AC171" s="352"/>
      <c r="AD171" s="352"/>
      <c r="AE171" s="352"/>
      <c r="AF171" s="352"/>
      <c r="AG171" s="352"/>
      <c r="AH171" s="352"/>
      <c r="AI171" s="352"/>
    </row>
    <row r="172" spans="2:35" ht="13.5" customHeight="1">
      <c r="B172" s="240"/>
      <c r="C172" s="352"/>
      <c r="D172" s="352"/>
      <c r="E172" s="352"/>
      <c r="F172" s="352"/>
      <c r="G172" s="352"/>
      <c r="H172" s="352"/>
      <c r="I172" s="352"/>
      <c r="J172" s="352"/>
      <c r="K172" s="352"/>
      <c r="L172" s="352"/>
      <c r="M172" s="352"/>
      <c r="N172" s="352"/>
      <c r="O172" s="352"/>
      <c r="P172" s="352"/>
      <c r="Q172" s="352"/>
      <c r="R172" s="352"/>
      <c r="S172" s="352"/>
      <c r="T172" s="352"/>
      <c r="U172" s="352"/>
      <c r="V172" s="352"/>
      <c r="W172" s="352"/>
      <c r="X172" s="352"/>
      <c r="Y172" s="352"/>
      <c r="Z172" s="352"/>
      <c r="AA172" s="352"/>
      <c r="AB172" s="352"/>
      <c r="AC172" s="352"/>
      <c r="AD172" s="352"/>
      <c r="AE172" s="352"/>
      <c r="AF172" s="352"/>
      <c r="AG172" s="352"/>
      <c r="AH172" s="352"/>
      <c r="AI172" s="352"/>
    </row>
    <row r="173" spans="2:35" ht="13.5" customHeight="1">
      <c r="B173" s="240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2"/>
      <c r="N173" s="352"/>
      <c r="O173" s="352"/>
      <c r="P173" s="352"/>
      <c r="Q173" s="352"/>
      <c r="R173" s="352"/>
      <c r="S173" s="352"/>
      <c r="T173" s="352"/>
      <c r="U173" s="352"/>
      <c r="V173" s="352"/>
      <c r="W173" s="352"/>
      <c r="X173" s="352"/>
      <c r="Y173" s="352"/>
      <c r="Z173" s="352"/>
      <c r="AA173" s="352"/>
      <c r="AB173" s="352"/>
      <c r="AC173" s="352"/>
      <c r="AD173" s="352"/>
      <c r="AE173" s="352"/>
      <c r="AF173" s="352"/>
      <c r="AG173" s="352"/>
      <c r="AH173" s="352"/>
      <c r="AI173" s="352"/>
    </row>
    <row r="174" spans="2:35" ht="13.5" customHeight="1">
      <c r="B174" s="240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2"/>
      <c r="N174" s="352"/>
      <c r="O174" s="352"/>
      <c r="P174" s="352"/>
      <c r="Q174" s="352"/>
      <c r="R174" s="352"/>
      <c r="S174" s="352"/>
      <c r="T174" s="352"/>
      <c r="U174" s="352"/>
      <c r="V174" s="352"/>
      <c r="W174" s="352"/>
      <c r="X174" s="352"/>
      <c r="Y174" s="352"/>
      <c r="Z174" s="352"/>
      <c r="AA174" s="352"/>
      <c r="AB174" s="352"/>
      <c r="AC174" s="352"/>
      <c r="AD174" s="352"/>
      <c r="AE174" s="352"/>
      <c r="AF174" s="352"/>
      <c r="AG174" s="352"/>
      <c r="AH174" s="352"/>
      <c r="AI174" s="352"/>
    </row>
    <row r="175" spans="2:35" ht="13.5" customHeight="1">
      <c r="B175" s="240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52"/>
      <c r="Z175" s="352"/>
      <c r="AA175" s="352"/>
      <c r="AB175" s="352"/>
      <c r="AC175" s="352"/>
      <c r="AD175" s="352"/>
      <c r="AE175" s="352"/>
      <c r="AF175" s="352"/>
      <c r="AG175" s="352"/>
      <c r="AH175" s="352"/>
      <c r="AI175" s="352"/>
    </row>
    <row r="176" spans="2:35" ht="13.5" customHeight="1">
      <c r="B176" s="240"/>
      <c r="C176" s="352"/>
      <c r="D176" s="352"/>
      <c r="E176" s="352"/>
      <c r="F176" s="352"/>
      <c r="G176" s="352"/>
      <c r="H176" s="352"/>
      <c r="I176" s="352"/>
      <c r="J176" s="352"/>
      <c r="K176" s="352"/>
      <c r="L176" s="352"/>
      <c r="M176" s="352"/>
      <c r="N176" s="352"/>
      <c r="O176" s="352"/>
      <c r="P176" s="352"/>
      <c r="Q176" s="352"/>
      <c r="R176" s="352"/>
      <c r="S176" s="352"/>
      <c r="T176" s="352"/>
      <c r="U176" s="352"/>
      <c r="V176" s="352"/>
      <c r="W176" s="352"/>
      <c r="X176" s="352"/>
      <c r="Y176" s="352"/>
      <c r="Z176" s="352"/>
      <c r="AA176" s="352"/>
      <c r="AB176" s="352"/>
      <c r="AC176" s="352"/>
      <c r="AD176" s="352"/>
      <c r="AE176" s="352"/>
      <c r="AF176" s="352"/>
      <c r="AG176" s="352"/>
      <c r="AH176" s="352"/>
      <c r="AI176" s="352"/>
    </row>
    <row r="177" spans="2:35" ht="13.5" customHeight="1">
      <c r="B177" s="240"/>
      <c r="C177" s="352"/>
      <c r="D177" s="352"/>
      <c r="E177" s="352"/>
      <c r="F177" s="352"/>
      <c r="G177" s="352"/>
      <c r="H177" s="352"/>
      <c r="I177" s="352"/>
      <c r="J177" s="352"/>
      <c r="K177" s="352"/>
      <c r="L177" s="352"/>
      <c r="M177" s="352"/>
      <c r="N177" s="352"/>
      <c r="O177" s="352"/>
      <c r="P177" s="352"/>
      <c r="Q177" s="352"/>
      <c r="R177" s="352"/>
      <c r="S177" s="352"/>
      <c r="T177" s="352"/>
      <c r="U177" s="352"/>
      <c r="V177" s="352"/>
      <c r="W177" s="352"/>
      <c r="X177" s="352"/>
      <c r="Y177" s="352"/>
      <c r="Z177" s="352"/>
      <c r="AA177" s="352"/>
      <c r="AB177" s="352"/>
      <c r="AC177" s="352"/>
      <c r="AD177" s="352"/>
      <c r="AE177" s="352"/>
      <c r="AF177" s="352"/>
      <c r="AG177" s="352"/>
      <c r="AH177" s="352"/>
      <c r="AI177" s="352"/>
    </row>
    <row r="178" spans="2:35" ht="13.5" customHeight="1">
      <c r="B178" s="240"/>
      <c r="C178" s="352"/>
      <c r="D178" s="352"/>
      <c r="E178" s="352"/>
      <c r="F178" s="352"/>
      <c r="G178" s="352"/>
      <c r="H178" s="352"/>
      <c r="I178" s="352"/>
      <c r="J178" s="352"/>
      <c r="K178" s="352"/>
      <c r="L178" s="352"/>
      <c r="M178" s="352"/>
      <c r="N178" s="352"/>
      <c r="O178" s="352"/>
      <c r="P178" s="352"/>
      <c r="Q178" s="352"/>
      <c r="R178" s="352"/>
      <c r="S178" s="352"/>
      <c r="T178" s="352"/>
      <c r="U178" s="352"/>
      <c r="V178" s="352"/>
      <c r="W178" s="352"/>
      <c r="X178" s="352"/>
      <c r="Y178" s="352"/>
      <c r="Z178" s="352"/>
      <c r="AA178" s="352"/>
      <c r="AB178" s="352"/>
      <c r="AC178" s="352"/>
      <c r="AD178" s="352"/>
      <c r="AE178" s="352"/>
      <c r="AF178" s="352"/>
      <c r="AG178" s="352"/>
      <c r="AH178" s="352"/>
      <c r="AI178" s="352"/>
    </row>
    <row r="179" spans="2:35">
      <c r="B179" s="352"/>
      <c r="C179" s="352"/>
      <c r="D179" s="352"/>
      <c r="E179" s="352"/>
      <c r="F179" s="352"/>
      <c r="G179" s="352"/>
      <c r="H179" s="352"/>
      <c r="I179" s="352"/>
      <c r="J179" s="352"/>
      <c r="K179" s="352"/>
      <c r="L179" s="352"/>
      <c r="M179" s="352"/>
      <c r="N179" s="352"/>
      <c r="O179" s="352"/>
      <c r="P179" s="352"/>
      <c r="Q179" s="352"/>
      <c r="R179" s="352"/>
      <c r="S179" s="352"/>
      <c r="T179" s="352"/>
      <c r="U179" s="352"/>
      <c r="V179" s="352"/>
      <c r="W179" s="352"/>
      <c r="X179" s="352"/>
      <c r="Y179" s="352"/>
      <c r="Z179" s="352"/>
      <c r="AA179" s="352"/>
      <c r="AB179" s="352"/>
      <c r="AC179" s="352"/>
      <c r="AD179" s="352"/>
      <c r="AE179" s="352"/>
      <c r="AF179" s="352"/>
      <c r="AG179" s="352"/>
      <c r="AH179" s="352"/>
      <c r="AI179" s="352"/>
    </row>
    <row r="181" spans="2:35"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5"/>
      <c r="Z181" s="115"/>
      <c r="AA181" s="115"/>
      <c r="AB181" s="115"/>
      <c r="AC181" s="115"/>
      <c r="AD181" s="115"/>
      <c r="AE181" s="115"/>
      <c r="AF181" s="115"/>
      <c r="AG181" s="115"/>
      <c r="AH181" s="115"/>
      <c r="AI181" s="115"/>
    </row>
    <row r="182" spans="2:35"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  <c r="O182" s="115"/>
      <c r="P182" s="115"/>
      <c r="Q182" s="115"/>
      <c r="R182" s="115"/>
      <c r="S182" s="115"/>
      <c r="T182" s="115"/>
      <c r="U182" s="115"/>
      <c r="V182" s="115"/>
      <c r="W182" s="115"/>
      <c r="X182" s="115"/>
      <c r="Y182" s="115"/>
      <c r="Z182" s="115"/>
      <c r="AA182" s="115"/>
      <c r="AB182" s="115"/>
      <c r="AC182" s="115"/>
      <c r="AD182" s="115"/>
      <c r="AE182" s="115"/>
      <c r="AF182" s="115"/>
      <c r="AG182" s="115"/>
      <c r="AH182" s="115"/>
      <c r="AI182" s="115"/>
    </row>
    <row r="183" spans="2:35"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  <c r="Z183" s="115"/>
      <c r="AA183" s="115"/>
      <c r="AB183" s="115"/>
      <c r="AC183" s="115"/>
      <c r="AD183" s="115"/>
      <c r="AE183" s="115"/>
      <c r="AF183" s="115"/>
      <c r="AG183" s="115"/>
      <c r="AH183" s="115"/>
      <c r="AI183" s="115"/>
    </row>
  </sheetData>
  <mergeCells count="4">
    <mergeCell ref="B3:AI3"/>
    <mergeCell ref="B27:AI27"/>
    <mergeCell ref="B78:AI78"/>
    <mergeCell ref="B126:AI126"/>
  </mergeCells>
  <pageMargins left="0.59055118110236227" right="0.59055118110236227" top="0.78740157480314965" bottom="0" header="0.39370078740157483" footer="0.39370078740157483"/>
  <pageSetup paperSize="9" scale="21" orientation="landscape" r:id="rId1"/>
  <headerFooter>
    <oddHeader>&amp;C&amp;"Calibri,Regular"&amp;16&amp;A</oddHeader>
  </headerFooter>
  <customProperties>
    <customPr name="EpmWorksheetKeyString_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6A606-7D00-4DF4-87C3-FD7183CC6561}">
  <sheetPr>
    <tabColor theme="8"/>
    <pageSetUpPr fitToPage="1"/>
  </sheetPr>
  <dimension ref="B1:AH73"/>
  <sheetViews>
    <sheetView showGridLines="0" view="pageBreakPreview" zoomScale="40" zoomScaleNormal="70" zoomScaleSheetLayoutView="40" zoomScalePageLayoutView="40" workbookViewId="0">
      <selection activeCell="AA10" sqref="AA10:AE10"/>
    </sheetView>
  </sheetViews>
  <sheetFormatPr defaultColWidth="9.1796875" defaultRowHeight="16.5" customHeight="1" outlineLevelCol="1"/>
  <cols>
    <col min="1" max="1" width="3.1796875" style="25" customWidth="1"/>
    <col min="2" max="2" width="58.54296875" style="25" customWidth="1"/>
    <col min="3" max="17" width="10.54296875" style="25" customWidth="1"/>
    <col min="18" max="18" width="10.54296875" style="25" hidden="1" customWidth="1"/>
    <col min="19" max="19" width="3.1796875" style="25" hidden="1" customWidth="1"/>
    <col min="20" max="26" width="10.54296875" style="25" hidden="1" customWidth="1" outlineLevel="1"/>
    <col min="27" max="27" width="10.54296875" style="25" customWidth="1" collapsed="1"/>
    <col min="28" max="28" width="12.26953125" style="25" customWidth="1"/>
    <col min="29" max="31" width="10.54296875" style="25" customWidth="1"/>
    <col min="32" max="16384" width="9.1796875" style="25"/>
  </cols>
  <sheetData>
    <row r="1" spans="2:34" ht="15.75" customHeight="1"/>
    <row r="2" spans="2:34" s="1" customFormat="1" ht="16.5" customHeight="1">
      <c r="B2" s="340" t="s">
        <v>25</v>
      </c>
      <c r="C2" s="336">
        <v>2008</v>
      </c>
      <c r="D2" s="336">
        <v>2009</v>
      </c>
      <c r="E2" s="336">
        <v>2010</v>
      </c>
      <c r="F2" s="336">
        <v>2011</v>
      </c>
      <c r="G2" s="336">
        <v>2012</v>
      </c>
      <c r="H2" s="336">
        <v>2013</v>
      </c>
      <c r="I2" s="337">
        <v>2014</v>
      </c>
      <c r="J2" s="337">
        <v>2015</v>
      </c>
      <c r="K2" s="337">
        <v>2016</v>
      </c>
      <c r="L2" s="337">
        <v>2017</v>
      </c>
      <c r="M2" s="337">
        <v>2018</v>
      </c>
      <c r="N2" s="337">
        <v>2019</v>
      </c>
      <c r="O2" s="337">
        <v>2020</v>
      </c>
      <c r="P2" s="337">
        <v>2021</v>
      </c>
      <c r="Q2" s="451" t="s">
        <v>112</v>
      </c>
      <c r="R2" s="450"/>
      <c r="T2" s="336" t="s">
        <v>0</v>
      </c>
      <c r="U2" s="337" t="s">
        <v>1</v>
      </c>
      <c r="V2" s="337" t="s">
        <v>2</v>
      </c>
      <c r="W2" s="337" t="s">
        <v>3</v>
      </c>
      <c r="X2" s="336" t="s">
        <v>4</v>
      </c>
      <c r="Y2" s="337" t="s">
        <v>5</v>
      </c>
      <c r="Z2" s="337" t="s">
        <v>6</v>
      </c>
      <c r="AA2" s="337">
        <v>2022</v>
      </c>
      <c r="AB2" s="337">
        <v>2023</v>
      </c>
      <c r="AC2" s="337">
        <v>2024</v>
      </c>
      <c r="AD2" s="337">
        <v>2025</v>
      </c>
      <c r="AE2" s="337">
        <v>2026</v>
      </c>
    </row>
    <row r="3" spans="2:34" ht="16.5" customHeight="1">
      <c r="B3" s="104"/>
      <c r="C3" s="26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T3" s="105"/>
      <c r="U3" s="106"/>
      <c r="V3" s="106"/>
      <c r="W3" s="107"/>
      <c r="X3" s="106"/>
      <c r="Y3" s="106"/>
      <c r="Z3" s="106"/>
      <c r="AA3" s="107"/>
      <c r="AC3" s="26"/>
      <c r="AD3" s="27"/>
      <c r="AE3" s="27"/>
    </row>
    <row r="4" spans="2:34" s="49" customFormat="1" ht="16.5" customHeight="1">
      <c r="B4" s="377" t="s">
        <v>26</v>
      </c>
      <c r="C4" s="378">
        <v>520.19000000000005</v>
      </c>
      <c r="D4" s="379">
        <v>642.01</v>
      </c>
      <c r="E4" s="379">
        <v>840.64</v>
      </c>
      <c r="F4" s="379">
        <v>957.22</v>
      </c>
      <c r="G4" s="379">
        <v>1157.8</v>
      </c>
      <c r="H4" s="379">
        <v>1191.25</v>
      </c>
      <c r="I4" s="379">
        <v>1153.1300000000001</v>
      </c>
      <c r="J4" s="379">
        <v>1349.61</v>
      </c>
      <c r="K4" s="379">
        <v>1453.21</v>
      </c>
      <c r="L4" s="379">
        <v>1601.62</v>
      </c>
      <c r="M4" s="379">
        <v>1511.52</v>
      </c>
      <c r="N4" s="379">
        <v>1642.13</v>
      </c>
      <c r="O4" s="379">
        <v>1528.97</v>
      </c>
      <c r="P4" s="379">
        <v>1580.46</v>
      </c>
      <c r="Q4" s="379"/>
      <c r="R4" s="379"/>
      <c r="T4" s="378">
        <v>403.3</v>
      </c>
      <c r="U4" s="379">
        <v>769.44</v>
      </c>
      <c r="V4" s="379">
        <v>1068.55</v>
      </c>
      <c r="W4" s="421">
        <v>1580.46</v>
      </c>
      <c r="X4" s="422">
        <v>509.91</v>
      </c>
      <c r="Y4" s="422">
        <v>1113.57</v>
      </c>
      <c r="Z4" s="422">
        <v>1568.98</v>
      </c>
      <c r="AA4" s="421">
        <f>AA5+AA11+AA17+AA23</f>
        <v>2111.8170165253091</v>
      </c>
      <c r="AB4" s="421">
        <f>AB5+AB11+AB17+AB23</f>
        <v>1995.339697714071</v>
      </c>
      <c r="AC4" s="421">
        <f>AC5+AC11+AC17+AC23</f>
        <v>2110.2415867507771</v>
      </c>
      <c r="AD4" s="421">
        <f>AD5+AD11+AD17+AD23</f>
        <v>2228.9549606763467</v>
      </c>
      <c r="AE4" s="421">
        <f>AE5+AE11+AE17+AE23</f>
        <v>2351.7533243023727</v>
      </c>
      <c r="AF4" s="56"/>
    </row>
    <row r="5" spans="2:34" s="49" customFormat="1" ht="16.5" customHeight="1">
      <c r="B5" s="377" t="s">
        <v>21</v>
      </c>
      <c r="C5" s="419">
        <v>388.88</v>
      </c>
      <c r="D5" s="420">
        <v>436.39</v>
      </c>
      <c r="E5" s="420">
        <v>562.23</v>
      </c>
      <c r="F5" s="420">
        <v>634.86</v>
      </c>
      <c r="G5" s="420">
        <v>777.54</v>
      </c>
      <c r="H5" s="420">
        <v>819.91</v>
      </c>
      <c r="I5" s="420">
        <v>746.93</v>
      </c>
      <c r="J5" s="420">
        <v>831.59</v>
      </c>
      <c r="K5" s="420">
        <v>913.01</v>
      </c>
      <c r="L5" s="420">
        <v>943.22</v>
      </c>
      <c r="M5" s="420">
        <v>890.82</v>
      </c>
      <c r="N5" s="420">
        <v>924.83</v>
      </c>
      <c r="O5" s="420">
        <v>824.24</v>
      </c>
      <c r="P5" s="379">
        <v>926.24</v>
      </c>
      <c r="Q5" s="379"/>
      <c r="R5" s="379"/>
      <c r="S5" s="399"/>
      <c r="T5" s="21">
        <v>253.05</v>
      </c>
      <c r="U5" s="22">
        <v>453.12</v>
      </c>
      <c r="V5" s="22">
        <v>594.95000000000005</v>
      </c>
      <c r="W5" s="23">
        <v>926.24</v>
      </c>
      <c r="X5" s="183">
        <v>293.3</v>
      </c>
      <c r="Y5" s="182">
        <v>636.23</v>
      </c>
      <c r="Z5" s="182">
        <v>869.67</v>
      </c>
      <c r="AA5" s="181">
        <f>AA8*AA9/1000</f>
        <v>1209.7819391666667</v>
      </c>
      <c r="AB5" s="181">
        <f>AB8*AB9/1000</f>
        <v>951.84817881190486</v>
      </c>
      <c r="AC5" s="181">
        <f>AC8*AC9/1000</f>
        <v>951.84817881190486</v>
      </c>
      <c r="AD5" s="181">
        <f>AD8*AD9/1000</f>
        <v>951.84817881190486</v>
      </c>
      <c r="AE5" s="181">
        <f>AE8*AE9/1000</f>
        <v>951.84817881190486</v>
      </c>
      <c r="AF5" s="56"/>
    </row>
    <row r="6" spans="2:34" s="49" customFormat="1" ht="16.5" customHeight="1">
      <c r="B6" s="299" t="s">
        <v>105</v>
      </c>
      <c r="C6" s="403">
        <v>2477.0700000000002</v>
      </c>
      <c r="D6" s="384">
        <v>2853.42</v>
      </c>
      <c r="E6" s="384">
        <v>3200.03</v>
      </c>
      <c r="F6" s="384">
        <v>3651.86</v>
      </c>
      <c r="G6" s="384">
        <v>3876.44</v>
      </c>
      <c r="H6" s="384">
        <v>4166.72</v>
      </c>
      <c r="I6" s="384">
        <v>4230.76</v>
      </c>
      <c r="J6" s="384">
        <v>4964.6099999999997</v>
      </c>
      <c r="K6" s="384">
        <v>4986.46</v>
      </c>
      <c r="L6" s="384">
        <v>5060.8599999999997</v>
      </c>
      <c r="M6" s="384">
        <v>5271.96</v>
      </c>
      <c r="N6" s="384">
        <v>4401.3500000000004</v>
      </c>
      <c r="O6" s="384">
        <v>4768.72</v>
      </c>
      <c r="P6" s="384">
        <v>5229.5600000000004</v>
      </c>
      <c r="Q6" s="452"/>
      <c r="R6" s="384"/>
      <c r="S6" s="405"/>
      <c r="T6" s="383">
        <v>4816.34</v>
      </c>
      <c r="U6" s="384">
        <v>4851.88</v>
      </c>
      <c r="V6" s="384">
        <v>5032.1099999999997</v>
      </c>
      <c r="W6" s="404">
        <v>5229.5600000000004</v>
      </c>
      <c r="X6" s="406">
        <v>5275.76</v>
      </c>
      <c r="Y6" s="407">
        <v>5016.04</v>
      </c>
      <c r="Z6" s="407">
        <v>4971.74</v>
      </c>
      <c r="AA6" s="19"/>
      <c r="AC6" s="17"/>
      <c r="AD6" s="18"/>
      <c r="AE6" s="18"/>
      <c r="AF6" s="56"/>
    </row>
    <row r="7" spans="2:34" s="49" customFormat="1" ht="16.5" customHeight="1">
      <c r="B7" s="448" t="s">
        <v>111</v>
      </c>
      <c r="C7" s="403"/>
      <c r="D7" s="449">
        <f t="shared" ref="D7:K7" si="0">D6/C6-1</f>
        <v>0.15193353437730872</v>
      </c>
      <c r="E7" s="449">
        <f t="shared" si="0"/>
        <v>0.12147177772637741</v>
      </c>
      <c r="F7" s="449">
        <f t="shared" si="0"/>
        <v>0.14119555129170669</v>
      </c>
      <c r="G7" s="449">
        <f t="shared" si="0"/>
        <v>6.1497428707562696E-2</v>
      </c>
      <c r="H7" s="449">
        <f t="shared" si="0"/>
        <v>7.4883140200802778E-2</v>
      </c>
      <c r="I7" s="449">
        <f t="shared" si="0"/>
        <v>1.5369403271638049E-2</v>
      </c>
      <c r="J7" s="449">
        <f t="shared" si="0"/>
        <v>0.17345583299454459</v>
      </c>
      <c r="K7" s="449">
        <f t="shared" si="0"/>
        <v>4.4011513492501209E-3</v>
      </c>
      <c r="L7" s="449">
        <f>L6/K6-1</f>
        <v>1.492040445526488E-2</v>
      </c>
      <c r="M7" s="449">
        <f>M6/L6-1</f>
        <v>4.1712278150354054E-2</v>
      </c>
      <c r="N7" s="449">
        <f>N6/M6-1</f>
        <v>-0.1651397203317172</v>
      </c>
      <c r="O7" s="449">
        <f>O6/N6-1</f>
        <v>8.3467572449362093E-2</v>
      </c>
      <c r="P7" s="449">
        <f>P6/O6-1</f>
        <v>9.6638091563354456E-2</v>
      </c>
      <c r="Q7" s="449">
        <f>AVERAGE(L7:P7)</f>
        <v>1.4319725257323657E-2</v>
      </c>
      <c r="R7" s="449"/>
      <c r="S7" s="405"/>
      <c r="T7" s="383"/>
      <c r="U7" s="384"/>
      <c r="V7" s="384"/>
      <c r="W7" s="404"/>
      <c r="X7" s="406"/>
      <c r="Y7" s="407"/>
      <c r="Z7" s="407"/>
      <c r="AA7" s="19"/>
      <c r="AC7" s="17"/>
      <c r="AD7" s="18"/>
      <c r="AE7" s="18"/>
      <c r="AF7" s="56"/>
    </row>
    <row r="8" spans="2:34" s="49" customFormat="1" ht="16.5" customHeight="1">
      <c r="B8" s="299" t="s">
        <v>107</v>
      </c>
      <c r="C8" s="383">
        <v>3900.04</v>
      </c>
      <c r="D8" s="384">
        <v>4975.3500000000004</v>
      </c>
      <c r="E8" s="384">
        <v>6631.63</v>
      </c>
      <c r="F8" s="381">
        <v>7300.52</v>
      </c>
      <c r="G8" s="381">
        <v>8276.75</v>
      </c>
      <c r="H8" s="381">
        <v>9187.3799999999992</v>
      </c>
      <c r="I8" s="381">
        <v>9323.23</v>
      </c>
      <c r="J8" s="381">
        <v>10062.36</v>
      </c>
      <c r="K8" s="381">
        <v>11230.34</v>
      </c>
      <c r="L8" s="381">
        <v>11668.9</v>
      </c>
      <c r="M8" s="381">
        <v>11479.93</v>
      </c>
      <c r="N8" s="381">
        <v>11790.81</v>
      </c>
      <c r="O8" s="381">
        <v>10024.1</v>
      </c>
      <c r="P8" s="381">
        <v>11356.45</v>
      </c>
      <c r="Q8" s="452">
        <f>AVERAGE(J8:P8)</f>
        <v>11087.555714285714</v>
      </c>
      <c r="R8" s="381"/>
      <c r="S8" s="384"/>
      <c r="T8" s="380">
        <v>3344.44</v>
      </c>
      <c r="U8" s="381">
        <v>5765.53</v>
      </c>
      <c r="V8" s="381">
        <v>7879.55</v>
      </c>
      <c r="W8" s="408">
        <v>11356.45</v>
      </c>
      <c r="X8" s="409">
        <v>3528.33</v>
      </c>
      <c r="Y8" s="410">
        <v>6334.43</v>
      </c>
      <c r="Z8" s="410">
        <v>8635.0499999999993</v>
      </c>
      <c r="AA8" s="19">
        <f>Z8+(W8-V8)</f>
        <v>12111.95</v>
      </c>
      <c r="AB8" s="49">
        <f>$Q$8</f>
        <v>11087.555714285714</v>
      </c>
      <c r="AC8" s="49">
        <f>$Q$8</f>
        <v>11087.555714285714</v>
      </c>
      <c r="AD8" s="49">
        <f>$Q$8</f>
        <v>11087.555714285714</v>
      </c>
      <c r="AE8" s="49">
        <f>$Q$8</f>
        <v>11087.555714285714</v>
      </c>
      <c r="AF8" s="56"/>
    </row>
    <row r="9" spans="2:34" s="49" customFormat="1" ht="16.5" customHeight="1">
      <c r="B9" s="299" t="s">
        <v>108</v>
      </c>
      <c r="C9" s="411">
        <v>97.96</v>
      </c>
      <c r="D9" s="412">
        <v>87.2</v>
      </c>
      <c r="E9" s="412">
        <v>84.17</v>
      </c>
      <c r="F9" s="413">
        <v>87.99</v>
      </c>
      <c r="G9" s="413">
        <v>94.23</v>
      </c>
      <c r="H9" s="413">
        <v>89.26</v>
      </c>
      <c r="I9" s="413">
        <v>80.260000000000005</v>
      </c>
      <c r="J9" s="413">
        <v>83</v>
      </c>
      <c r="K9" s="413">
        <v>81.47</v>
      </c>
      <c r="L9" s="413">
        <v>81.02</v>
      </c>
      <c r="M9" s="413">
        <v>77.39</v>
      </c>
      <c r="N9" s="413">
        <v>77.290000000000006</v>
      </c>
      <c r="O9" s="413">
        <v>80.59</v>
      </c>
      <c r="P9" s="413">
        <v>80.98</v>
      </c>
      <c r="Q9" s="436"/>
      <c r="R9" s="436"/>
      <c r="S9" s="384"/>
      <c r="T9" s="414">
        <v>74.38</v>
      </c>
      <c r="U9" s="415">
        <v>77.16</v>
      </c>
      <c r="V9" s="415">
        <v>73.8</v>
      </c>
      <c r="W9" s="416">
        <v>80.98</v>
      </c>
      <c r="X9" s="417">
        <v>85.9</v>
      </c>
      <c r="Y9" s="418">
        <v>104.62</v>
      </c>
      <c r="Z9" s="418">
        <v>109.13</v>
      </c>
      <c r="AA9" s="475">
        <f>AVERAGE(X9:Z9)</f>
        <v>99.883333333333326</v>
      </c>
      <c r="AB9" s="476">
        <f>AVERAGE($C$9:$AA$9)</f>
        <v>85.848333333333343</v>
      </c>
      <c r="AC9" s="476">
        <f>AVERAGE($C$9:$AA$9)</f>
        <v>85.848333333333343</v>
      </c>
      <c r="AD9" s="476">
        <f>AVERAGE($C$9:$AA$9)</f>
        <v>85.848333333333343</v>
      </c>
      <c r="AE9" s="476">
        <f>AVERAGE($C$9:$AA$9)</f>
        <v>85.848333333333343</v>
      </c>
      <c r="AF9" s="56"/>
    </row>
    <row r="10" spans="2:34" s="49" customFormat="1" ht="16.5" customHeight="1">
      <c r="B10" s="377" t="s">
        <v>22</v>
      </c>
      <c r="C10" s="423">
        <v>131.81</v>
      </c>
      <c r="D10" s="399">
        <v>204.65</v>
      </c>
      <c r="E10" s="399">
        <v>276.49</v>
      </c>
      <c r="F10" s="399">
        <v>306.35000000000002</v>
      </c>
      <c r="G10" s="399">
        <v>355.5</v>
      </c>
      <c r="H10" s="399">
        <v>347.79</v>
      </c>
      <c r="I10" s="399">
        <v>382.03</v>
      </c>
      <c r="J10" s="399">
        <v>498.22</v>
      </c>
      <c r="K10" s="399">
        <v>507.64</v>
      </c>
      <c r="L10" s="399">
        <v>598.22</v>
      </c>
      <c r="M10" s="399">
        <v>577.84</v>
      </c>
      <c r="N10" s="399">
        <v>650.83000000000004</v>
      </c>
      <c r="O10" s="399">
        <v>669.39</v>
      </c>
      <c r="P10" s="399">
        <v>584.41999999999996</v>
      </c>
      <c r="Q10" s="399"/>
      <c r="R10" s="399"/>
      <c r="T10" s="163">
        <v>224.7</v>
      </c>
      <c r="U10" s="162">
        <v>462.89</v>
      </c>
      <c r="V10" s="162">
        <v>661.2</v>
      </c>
      <c r="W10" s="181">
        <v>900.8</v>
      </c>
      <c r="X10" s="183">
        <v>289.52999999999997</v>
      </c>
      <c r="Y10" s="182">
        <v>587.59</v>
      </c>
      <c r="Z10" s="182">
        <v>765.25</v>
      </c>
      <c r="AA10" s="181">
        <f>AA14*AA15/1000</f>
        <v>796.12199253333324</v>
      </c>
      <c r="AB10" s="181">
        <f>AB14*AB15/1000</f>
        <v>880.49944302744666</v>
      </c>
      <c r="AC10" s="181">
        <f>AC14*AC15/1000</f>
        <v>931.55957476185847</v>
      </c>
      <c r="AD10" s="181">
        <f>AD14*AD15/1000</f>
        <v>985.58068173978802</v>
      </c>
      <c r="AE10" s="181">
        <f>AE14*AE15/1000</f>
        <v>1042.7344708114711</v>
      </c>
      <c r="AF10" s="56"/>
    </row>
    <row r="11" spans="2:34" s="49" customFormat="1" ht="16.5" customHeight="1">
      <c r="B11" s="377" t="s">
        <v>116</v>
      </c>
      <c r="C11" s="423"/>
      <c r="D11" s="399"/>
      <c r="E11" s="399"/>
      <c r="F11" s="399"/>
      <c r="G11" s="399"/>
      <c r="H11" s="399"/>
      <c r="I11" s="399"/>
      <c r="J11" s="399"/>
      <c r="K11" s="399"/>
      <c r="L11" s="399"/>
      <c r="M11" s="399"/>
      <c r="N11" s="399"/>
      <c r="O11" s="399"/>
      <c r="P11" s="399"/>
      <c r="Q11" s="399"/>
      <c r="R11" s="399"/>
      <c r="T11" s="163"/>
      <c r="U11" s="162"/>
      <c r="V11" s="162"/>
      <c r="W11" s="181"/>
      <c r="X11" s="182"/>
      <c r="Y11" s="182"/>
      <c r="Z11" s="182"/>
      <c r="AA11" s="181">
        <f>AA10/AA16</f>
        <v>699.22885166039305</v>
      </c>
      <c r="AB11" s="181">
        <f>AB10/AB16</f>
        <v>773.33702649838472</v>
      </c>
      <c r="AC11" s="181">
        <f>AC10/AC16</f>
        <v>818.18281346712786</v>
      </c>
      <c r="AD11" s="181">
        <f>AD10/AD16</f>
        <v>865.62920604498322</v>
      </c>
      <c r="AE11" s="181">
        <f>AE10/AE16</f>
        <v>915.82701325976132</v>
      </c>
      <c r="AF11" s="56"/>
    </row>
    <row r="12" spans="2:34" s="49" customFormat="1" ht="16.5" customHeight="1">
      <c r="B12" s="299" t="s">
        <v>105</v>
      </c>
      <c r="C12" s="383">
        <v>1923.18</v>
      </c>
      <c r="D12" s="384">
        <v>2623.52</v>
      </c>
      <c r="E12" s="384">
        <v>3223.52</v>
      </c>
      <c r="F12" s="384">
        <v>3421.52</v>
      </c>
      <c r="G12" s="384">
        <v>3636.78</v>
      </c>
      <c r="H12" s="384">
        <v>3505.9</v>
      </c>
      <c r="I12" s="384">
        <v>3834.9</v>
      </c>
      <c r="J12" s="384">
        <v>4232.8999999999996</v>
      </c>
      <c r="K12" s="384">
        <v>4861.3999999999996</v>
      </c>
      <c r="L12" s="384">
        <v>5284.4</v>
      </c>
      <c r="M12" s="384">
        <v>5561.91</v>
      </c>
      <c r="N12" s="384">
        <v>5943.51</v>
      </c>
      <c r="O12" s="384">
        <v>6295.51</v>
      </c>
      <c r="P12" s="384">
        <v>6437.72</v>
      </c>
      <c r="Q12" s="384"/>
      <c r="R12" s="384"/>
      <c r="S12" s="384"/>
      <c r="T12" s="383">
        <v>6495.01</v>
      </c>
      <c r="U12" s="384">
        <v>6427.59</v>
      </c>
      <c r="V12" s="384">
        <v>6568.74</v>
      </c>
      <c r="W12" s="404">
        <v>6437.72</v>
      </c>
      <c r="X12" s="406">
        <v>6440.38</v>
      </c>
      <c r="Y12" s="407">
        <v>6452.76</v>
      </c>
      <c r="Z12" s="407">
        <v>6474.99</v>
      </c>
      <c r="AA12" s="19"/>
      <c r="AC12" s="17"/>
      <c r="AD12" s="18"/>
      <c r="AE12" s="18"/>
      <c r="AF12" s="56"/>
    </row>
    <row r="13" spans="2:34" s="49" customFormat="1" ht="16.5" customHeight="1">
      <c r="B13" s="448" t="s">
        <v>111</v>
      </c>
      <c r="C13" s="449"/>
      <c r="D13" s="449">
        <f t="shared" ref="D13:K13" si="1">D12/C12-1</f>
        <v>0.36415728116972934</v>
      </c>
      <c r="E13" s="449">
        <f t="shared" si="1"/>
        <v>0.22870037201927174</v>
      </c>
      <c r="F13" s="449">
        <f t="shared" si="1"/>
        <v>6.1423537003027828E-2</v>
      </c>
      <c r="G13" s="449">
        <f t="shared" si="1"/>
        <v>6.2913558886109167E-2</v>
      </c>
      <c r="H13" s="449">
        <f t="shared" si="1"/>
        <v>-3.5987879387810118E-2</v>
      </c>
      <c r="I13" s="449">
        <f t="shared" si="1"/>
        <v>9.3841809521093111E-2</v>
      </c>
      <c r="J13" s="449">
        <f t="shared" si="1"/>
        <v>0.10378367102140862</v>
      </c>
      <c r="K13" s="449">
        <f t="shared" si="1"/>
        <v>0.1484797656453023</v>
      </c>
      <c r="L13" s="449">
        <f>L12/K12-1</f>
        <v>8.7011971859958015E-2</v>
      </c>
      <c r="M13" s="449">
        <f>M12/L12-1</f>
        <v>5.2514949663159616E-2</v>
      </c>
      <c r="N13" s="449">
        <f>N12/M12-1</f>
        <v>6.8609524425961688E-2</v>
      </c>
      <c r="O13" s="449">
        <f>O12/N12-1</f>
        <v>5.9224263103788921E-2</v>
      </c>
      <c r="P13" s="449">
        <f>P12/O12-1</f>
        <v>2.2589115099491464E-2</v>
      </c>
      <c r="Q13" s="449">
        <f>AVERAGE(L13:P13)</f>
        <v>5.7989964830471939E-2</v>
      </c>
      <c r="R13" s="384"/>
      <c r="S13" s="384"/>
      <c r="T13" s="383"/>
      <c r="U13" s="384"/>
      <c r="V13" s="384"/>
      <c r="W13" s="404"/>
      <c r="X13" s="406"/>
      <c r="Y13" s="407"/>
      <c r="Z13" s="407"/>
      <c r="AA13" s="19"/>
      <c r="AC13" s="17"/>
      <c r="AD13" s="18"/>
      <c r="AE13" s="18"/>
      <c r="AF13" s="56"/>
    </row>
    <row r="14" spans="2:34" s="49" customFormat="1" ht="16.5" customHeight="1">
      <c r="B14" s="299" t="s">
        <v>107</v>
      </c>
      <c r="C14" s="383">
        <v>3906.68</v>
      </c>
      <c r="D14" s="384">
        <v>5905.49</v>
      </c>
      <c r="E14" s="384">
        <v>7689.48</v>
      </c>
      <c r="F14" s="384">
        <v>9330.33</v>
      </c>
      <c r="G14" s="384">
        <v>9936.74</v>
      </c>
      <c r="H14" s="384">
        <v>9769.35</v>
      </c>
      <c r="I14" s="384">
        <v>10203.790000000001</v>
      </c>
      <c r="J14" s="384">
        <v>11103.44</v>
      </c>
      <c r="K14" s="384">
        <v>12576.21</v>
      </c>
      <c r="L14" s="381">
        <v>15090.89</v>
      </c>
      <c r="M14" s="381">
        <v>15644.05</v>
      </c>
      <c r="N14" s="381">
        <v>16492.400000000001</v>
      </c>
      <c r="O14" s="381">
        <v>17420.77</v>
      </c>
      <c r="P14" s="381">
        <v>17056.53</v>
      </c>
      <c r="Q14" s="381"/>
      <c r="R14" s="381"/>
      <c r="S14" s="384"/>
      <c r="T14" s="380">
        <v>4551.28</v>
      </c>
      <c r="U14" s="381">
        <v>9078.6</v>
      </c>
      <c r="V14" s="381">
        <v>12364.57</v>
      </c>
      <c r="W14" s="408">
        <v>17056.53</v>
      </c>
      <c r="X14" s="409">
        <v>5146.42</v>
      </c>
      <c r="Y14" s="410">
        <v>10186.36</v>
      </c>
      <c r="Z14" s="410">
        <v>13423.68</v>
      </c>
      <c r="AA14" s="19">
        <f>Z14+(W14-V14)</f>
        <v>18115.64</v>
      </c>
      <c r="AB14" s="49">
        <f>AA14*(1+$Q$13)</f>
        <v>19166.165326481492</v>
      </c>
      <c r="AC14" s="49">
        <f>AB14*(1+$Q$13)</f>
        <v>20277.610579699165</v>
      </c>
      <c r="AD14" s="49">
        <f>AC14*(1+$Q$13)</f>
        <v>21453.508504061927</v>
      </c>
      <c r="AE14" s="49">
        <f>AD14*(1+$Q$13)</f>
        <v>22697.596707702709</v>
      </c>
      <c r="AF14" s="56"/>
    </row>
    <row r="15" spans="2:34" s="49" customFormat="1" ht="16.5" customHeight="1">
      <c r="B15" s="299" t="s">
        <v>109</v>
      </c>
      <c r="C15" s="424">
        <v>48.95</v>
      </c>
      <c r="D15" s="425">
        <v>48.16</v>
      </c>
      <c r="E15" s="425">
        <v>47.67</v>
      </c>
      <c r="F15" s="425">
        <v>45.7</v>
      </c>
      <c r="G15" s="425">
        <v>47.13</v>
      </c>
      <c r="H15" s="425">
        <v>48.41</v>
      </c>
      <c r="I15" s="425">
        <v>50.83</v>
      </c>
      <c r="J15" s="425">
        <v>51.02</v>
      </c>
      <c r="K15" s="425">
        <v>46.44</v>
      </c>
      <c r="L15" s="425">
        <v>46.43</v>
      </c>
      <c r="M15" s="425">
        <v>45.3</v>
      </c>
      <c r="N15" s="425">
        <v>45.27</v>
      </c>
      <c r="O15" s="425">
        <v>43.96</v>
      </c>
      <c r="P15" s="425">
        <v>43.91</v>
      </c>
      <c r="Q15" s="436"/>
      <c r="R15" s="436"/>
      <c r="S15" s="384"/>
      <c r="T15" s="424">
        <v>43.12</v>
      </c>
      <c r="U15" s="425">
        <v>43.11</v>
      </c>
      <c r="V15" s="425">
        <v>45.58</v>
      </c>
      <c r="W15" s="426">
        <v>43.91</v>
      </c>
      <c r="X15" s="427">
        <v>43.83</v>
      </c>
      <c r="Y15" s="428">
        <v>44.47</v>
      </c>
      <c r="Z15" s="428">
        <v>43.54</v>
      </c>
      <c r="AA15" s="475">
        <f>AVERAGE(X15:Z15)</f>
        <v>43.946666666666665</v>
      </c>
      <c r="AB15" s="476">
        <f>AVERAGE($C$15:$AA$15)</f>
        <v>45.940303030303035</v>
      </c>
      <c r="AC15" s="476">
        <f>AVERAGE($C$15:$AA$15)</f>
        <v>45.940303030303035</v>
      </c>
      <c r="AD15" s="476">
        <f>AVERAGE($C$15:$AA$15)</f>
        <v>45.940303030303035</v>
      </c>
      <c r="AE15" s="476">
        <f>AVERAGE($C$15:$AA$15)</f>
        <v>45.940303030303035</v>
      </c>
      <c r="AF15" s="56"/>
    </row>
    <row r="16" spans="2:34" s="49" customFormat="1" ht="16.5" customHeight="1">
      <c r="B16" s="299" t="s">
        <v>86</v>
      </c>
      <c r="C16" s="251">
        <v>1.48</v>
      </c>
      <c r="D16" s="252">
        <v>1.39</v>
      </c>
      <c r="E16" s="252">
        <v>1.33</v>
      </c>
      <c r="F16" s="252">
        <v>1.39</v>
      </c>
      <c r="G16" s="252">
        <v>1.28</v>
      </c>
      <c r="H16" s="252">
        <v>1.33</v>
      </c>
      <c r="I16" s="252">
        <v>1.33</v>
      </c>
      <c r="J16" s="252">
        <v>1.1100000000000001</v>
      </c>
      <c r="K16" s="252">
        <v>1.1100000000000001</v>
      </c>
      <c r="L16" s="252">
        <v>1.1299999999999999</v>
      </c>
      <c r="M16" s="252">
        <v>1.18</v>
      </c>
      <c r="N16" s="252">
        <v>1.1200000000000001</v>
      </c>
      <c r="O16" s="253">
        <v>1.1399999999999999</v>
      </c>
      <c r="P16" s="253">
        <v>1.18</v>
      </c>
      <c r="Q16" s="449"/>
      <c r="R16" s="255"/>
      <c r="S16" s="256"/>
      <c r="T16" s="252">
        <v>1.21</v>
      </c>
      <c r="U16" s="252">
        <v>1.2</v>
      </c>
      <c r="V16" s="252">
        <v>1.18</v>
      </c>
      <c r="W16" s="257">
        <v>1.1200000000000001</v>
      </c>
      <c r="X16" s="258">
        <v>1.0900000000000001</v>
      </c>
      <c r="Y16" s="258">
        <v>1.06</v>
      </c>
      <c r="Z16" s="259"/>
      <c r="AA16" s="475">
        <f>AVERAGE($J$16:$P$16)</f>
        <v>1.1385714285714286</v>
      </c>
      <c r="AB16" s="475">
        <f>AVERAGE($J$16:$P$16)</f>
        <v>1.1385714285714286</v>
      </c>
      <c r="AC16" s="475">
        <f>AVERAGE($J$16:$P$16)</f>
        <v>1.1385714285714286</v>
      </c>
      <c r="AD16" s="475">
        <f>AVERAGE($J$16:$P$16)</f>
        <v>1.1385714285714286</v>
      </c>
      <c r="AE16" s="475">
        <f>AVERAGE($J$16:$P$16)</f>
        <v>1.1385714285714286</v>
      </c>
      <c r="AF16" s="257"/>
      <c r="AG16" s="258"/>
      <c r="AH16" s="258"/>
    </row>
    <row r="17" spans="2:33" s="49" customFormat="1" ht="16.5" customHeight="1">
      <c r="B17" s="377" t="s">
        <v>23</v>
      </c>
      <c r="C17" s="399">
        <v>0</v>
      </c>
      <c r="D17" s="420">
        <v>2.21</v>
      </c>
      <c r="E17" s="420">
        <v>3.23</v>
      </c>
      <c r="F17" s="420">
        <v>19.46</v>
      </c>
      <c r="G17" s="420">
        <v>24.75</v>
      </c>
      <c r="H17" s="420">
        <v>24.29</v>
      </c>
      <c r="I17" s="420">
        <v>25.14</v>
      </c>
      <c r="J17" s="420">
        <v>21.38</v>
      </c>
      <c r="K17" s="420">
        <v>34.380000000000003</v>
      </c>
      <c r="L17" s="420">
        <v>62.81</v>
      </c>
      <c r="M17" s="420">
        <v>49.97</v>
      </c>
      <c r="N17" s="420">
        <v>74.180000000000007</v>
      </c>
      <c r="O17" s="420">
        <v>36.5</v>
      </c>
      <c r="P17" s="420">
        <v>67.58</v>
      </c>
      <c r="Q17" s="420"/>
      <c r="R17" s="420"/>
      <c r="S17" s="399"/>
      <c r="T17" s="378"/>
      <c r="U17" s="379"/>
      <c r="V17" s="379"/>
      <c r="W17" s="421"/>
      <c r="X17" s="422"/>
      <c r="Y17" s="422"/>
      <c r="Z17" s="422"/>
      <c r="AA17" s="421">
        <f>AA21/AA22/AA16*AA20/1000</f>
        <v>99.427523212045188</v>
      </c>
      <c r="AB17" s="421">
        <f>AB21/AB22/AB16*AB20/1000</f>
        <v>117.93515025138163</v>
      </c>
      <c r="AC17" s="421">
        <f>AC21/AC22/AC16*AC20/1000</f>
        <v>129.88526446814487</v>
      </c>
      <c r="AD17" s="421">
        <f>AD21/AD22/AD16*AD20/1000</f>
        <v>143.04625796465888</v>
      </c>
      <c r="AE17" s="421">
        <f>AE21/AE22/AE16*AE20/1000</f>
        <v>157.5408265247072</v>
      </c>
      <c r="AF17" s="56"/>
    </row>
    <row r="18" spans="2:33" s="49" customFormat="1" ht="16.5" customHeight="1">
      <c r="B18" s="299" t="s">
        <v>106</v>
      </c>
      <c r="C18" s="383">
        <v>0</v>
      </c>
      <c r="D18" s="384">
        <v>13.8</v>
      </c>
      <c r="E18" s="384">
        <v>13.8</v>
      </c>
      <c r="F18" s="384">
        <v>83.8</v>
      </c>
      <c r="G18" s="384">
        <v>83.8</v>
      </c>
      <c r="H18" s="384">
        <v>83.8</v>
      </c>
      <c r="I18" s="384">
        <v>83.8</v>
      </c>
      <c r="J18" s="384">
        <v>83.8</v>
      </c>
      <c r="K18" s="384">
        <v>203.8</v>
      </c>
      <c r="L18" s="384">
        <v>330.7</v>
      </c>
      <c r="M18" s="384">
        <v>467.2</v>
      </c>
      <c r="N18" s="384">
        <v>467.2</v>
      </c>
      <c r="O18" s="384">
        <v>435.7</v>
      </c>
      <c r="P18" s="384">
        <v>794.71</v>
      </c>
      <c r="Q18" s="384"/>
      <c r="R18" s="384"/>
      <c r="S18" s="384"/>
      <c r="T18" s="383">
        <v>435.7</v>
      </c>
      <c r="U18" s="384">
        <v>435.7</v>
      </c>
      <c r="V18" s="384">
        <v>639.30999999999995</v>
      </c>
      <c r="W18" s="404">
        <v>794.71</v>
      </c>
      <c r="X18" s="406">
        <v>794.71</v>
      </c>
      <c r="Y18" s="407">
        <v>794.71</v>
      </c>
      <c r="Z18" s="407">
        <v>1113.9100000000001</v>
      </c>
      <c r="AA18" s="19"/>
      <c r="AC18" s="17"/>
      <c r="AD18" s="18"/>
      <c r="AE18" s="18"/>
      <c r="AF18" s="56"/>
    </row>
    <row r="19" spans="2:33" s="49" customFormat="1" ht="16.5" customHeight="1">
      <c r="B19" s="448" t="s">
        <v>111</v>
      </c>
      <c r="C19" s="383"/>
      <c r="D19" s="384"/>
      <c r="E19" s="449">
        <f t="shared" ref="E19:P19" si="2">E18/D18-1</f>
        <v>0</v>
      </c>
      <c r="F19" s="449">
        <f t="shared" si="2"/>
        <v>5.0724637681159415</v>
      </c>
      <c r="G19" s="449">
        <f t="shared" si="2"/>
        <v>0</v>
      </c>
      <c r="H19" s="449">
        <f t="shared" si="2"/>
        <v>0</v>
      </c>
      <c r="I19" s="449">
        <f t="shared" si="2"/>
        <v>0</v>
      </c>
      <c r="J19" s="449">
        <f t="shared" si="2"/>
        <v>0</v>
      </c>
      <c r="K19" s="449">
        <f t="shared" si="2"/>
        <v>1.4319809069212415</v>
      </c>
      <c r="L19" s="449">
        <f t="shared" si="2"/>
        <v>0.62266928361138363</v>
      </c>
      <c r="M19" s="449">
        <f t="shared" si="2"/>
        <v>0.41276081040217716</v>
      </c>
      <c r="N19" s="449">
        <f t="shared" si="2"/>
        <v>0</v>
      </c>
      <c r="O19" s="449">
        <f t="shared" si="2"/>
        <v>-6.7422945205479423E-2</v>
      </c>
      <c r="P19" s="449">
        <f t="shared" si="2"/>
        <v>0.82398439293091585</v>
      </c>
      <c r="Q19" s="449">
        <f>AVERAGE(D13:P13)</f>
        <v>0.10132784154080705</v>
      </c>
      <c r="R19" s="384"/>
      <c r="S19" s="384"/>
      <c r="T19" s="383"/>
      <c r="U19" s="384"/>
      <c r="V19" s="384"/>
      <c r="W19" s="404"/>
      <c r="X19" s="406"/>
      <c r="Y19" s="407"/>
      <c r="Z19" s="407"/>
      <c r="AA19" s="19"/>
      <c r="AC19" s="17"/>
      <c r="AD19" s="18"/>
      <c r="AE19" s="18"/>
      <c r="AF19" s="56"/>
    </row>
    <row r="20" spans="2:33" s="49" customFormat="1" ht="16.5" customHeight="1">
      <c r="B20" s="299" t="s">
        <v>107</v>
      </c>
      <c r="C20" s="383"/>
      <c r="D20" s="429">
        <v>26.25</v>
      </c>
      <c r="E20" s="429">
        <v>30.78</v>
      </c>
      <c r="F20" s="429">
        <v>169.63</v>
      </c>
      <c r="G20" s="429">
        <v>231.26</v>
      </c>
      <c r="H20" s="429">
        <v>229.8</v>
      </c>
      <c r="I20" s="429">
        <v>235.93</v>
      </c>
      <c r="J20" s="429">
        <v>222.35</v>
      </c>
      <c r="K20" s="429">
        <v>666.17</v>
      </c>
      <c r="L20" s="429">
        <v>861.25</v>
      </c>
      <c r="M20" s="429">
        <v>1234.98</v>
      </c>
      <c r="N20" s="429">
        <v>1757.3</v>
      </c>
      <c r="O20" s="430">
        <v>1092.6099999999999</v>
      </c>
      <c r="P20" s="430">
        <v>1887.6</v>
      </c>
      <c r="Q20" s="381"/>
      <c r="R20" s="381"/>
      <c r="S20" s="384"/>
      <c r="T20" s="431">
        <v>223.81</v>
      </c>
      <c r="U20" s="430">
        <v>493.52</v>
      </c>
      <c r="V20" s="430">
        <v>1203.6099999999999</v>
      </c>
      <c r="W20" s="432">
        <v>1887.6</v>
      </c>
      <c r="X20" s="433">
        <v>496.38</v>
      </c>
      <c r="Y20" s="434">
        <v>1039.54</v>
      </c>
      <c r="Z20" s="434">
        <v>1901.45</v>
      </c>
      <c r="AA20" s="19">
        <f>Z20+(W20-V20)</f>
        <v>2585.44</v>
      </c>
      <c r="AB20" s="49">
        <f>AA20*(1+$Q$19)</f>
        <v>2847.4170546332639</v>
      </c>
      <c r="AC20" s="49">
        <f>AB20*(1+$Q$19)</f>
        <v>3135.9396787457345</v>
      </c>
      <c r="AD20" s="49">
        <f>AC20*(1+$Q$19)</f>
        <v>3453.6976775952112</v>
      </c>
      <c r="AE20" s="49">
        <f>AD20*(1+$Q$19)</f>
        <v>3803.6534086004317</v>
      </c>
      <c r="AF20" s="56"/>
    </row>
    <row r="21" spans="2:33" s="49" customFormat="1" ht="16.5" customHeight="1">
      <c r="B21" s="299" t="s">
        <v>110</v>
      </c>
      <c r="C21" s="435"/>
      <c r="D21" s="436">
        <v>262.51</v>
      </c>
      <c r="E21" s="436">
        <v>254.43</v>
      </c>
      <c r="F21" s="436">
        <v>278.41000000000003</v>
      </c>
      <c r="G21" s="436">
        <v>286.39</v>
      </c>
      <c r="H21" s="436">
        <v>309.20999999999998</v>
      </c>
      <c r="I21" s="436">
        <v>346.36</v>
      </c>
      <c r="J21" s="436">
        <v>370.37</v>
      </c>
      <c r="K21" s="436">
        <v>216.09</v>
      </c>
      <c r="L21" s="436">
        <v>288.79000000000002</v>
      </c>
      <c r="M21" s="436">
        <v>195.39</v>
      </c>
      <c r="N21" s="436">
        <v>205.32</v>
      </c>
      <c r="O21" s="436">
        <v>217.56</v>
      </c>
      <c r="P21" s="436">
        <v>245.52</v>
      </c>
      <c r="Q21" s="436"/>
      <c r="R21" s="436"/>
      <c r="S21" s="384"/>
      <c r="T21" s="437">
        <v>244.04</v>
      </c>
      <c r="U21" s="436">
        <v>246.39</v>
      </c>
      <c r="V21" s="436">
        <v>238.52</v>
      </c>
      <c r="W21" s="438">
        <v>245.52</v>
      </c>
      <c r="X21" s="439">
        <v>252.6</v>
      </c>
      <c r="Y21" s="440">
        <v>243.5</v>
      </c>
      <c r="Z21" s="440">
        <v>221.11</v>
      </c>
      <c r="AA21" s="475">
        <f>AVERAGE(X21:Z21)</f>
        <v>239.07000000000002</v>
      </c>
      <c r="AB21" s="476">
        <f>AVERAGE($C$21:$AA$21)</f>
        <v>257.48095238095237</v>
      </c>
      <c r="AC21" s="476">
        <f>AVERAGE($C$21:$AA$21)</f>
        <v>257.48095238095237</v>
      </c>
      <c r="AD21" s="476">
        <f>AVERAGE($C$21:$AA$21)</f>
        <v>257.48095238095237</v>
      </c>
      <c r="AE21" s="476">
        <f>AVERAGE($C$21:$AA$21)</f>
        <v>257.48095238095237</v>
      </c>
      <c r="AF21" s="56"/>
    </row>
    <row r="22" spans="2:33" s="49" customFormat="1" ht="16.5" customHeight="1">
      <c r="B22" s="299" t="s">
        <v>89</v>
      </c>
      <c r="C22" s="198"/>
      <c r="D22" s="252">
        <v>2.78</v>
      </c>
      <c r="E22" s="252">
        <v>2.33</v>
      </c>
      <c r="F22" s="252">
        <v>2.33</v>
      </c>
      <c r="G22" s="252">
        <v>2.5099999999999998</v>
      </c>
      <c r="H22" s="252">
        <v>2.87</v>
      </c>
      <c r="I22" s="252">
        <v>3.12</v>
      </c>
      <c r="J22" s="252">
        <v>3.7</v>
      </c>
      <c r="K22" s="252">
        <v>3.86</v>
      </c>
      <c r="L22" s="252">
        <v>3.6</v>
      </c>
      <c r="M22" s="252">
        <v>4.3099999999999996</v>
      </c>
      <c r="N22" s="252">
        <v>4.41</v>
      </c>
      <c r="O22" s="252">
        <v>5.89</v>
      </c>
      <c r="P22" s="252">
        <v>6.38</v>
      </c>
      <c r="Q22" s="254"/>
      <c r="R22" s="255"/>
      <c r="S22" s="256"/>
      <c r="T22" s="38">
        <v>6.6</v>
      </c>
      <c r="U22" s="252">
        <v>6.49</v>
      </c>
      <c r="V22" s="252">
        <v>6.38</v>
      </c>
      <c r="W22" s="252">
        <v>6.38</v>
      </c>
      <c r="X22" s="257">
        <v>5.87</v>
      </c>
      <c r="Y22" s="258">
        <v>5.56</v>
      </c>
      <c r="Z22" s="258">
        <v>5.46</v>
      </c>
      <c r="AA22" s="477">
        <f>$Z$22</f>
        <v>5.46</v>
      </c>
      <c r="AB22" s="477">
        <f>$Z$22</f>
        <v>5.46</v>
      </c>
      <c r="AC22" s="477">
        <f>$Z$22</f>
        <v>5.46</v>
      </c>
      <c r="AD22" s="477">
        <f>$Z$22</f>
        <v>5.46</v>
      </c>
      <c r="AE22" s="477">
        <f>$Z$22</f>
        <v>5.46</v>
      </c>
      <c r="AF22" s="56"/>
    </row>
    <row r="23" spans="2:33" s="49" customFormat="1" ht="16.5" customHeight="1">
      <c r="B23" s="377" t="s">
        <v>24</v>
      </c>
      <c r="C23" s="420">
        <v>0</v>
      </c>
      <c r="D23" s="420">
        <v>0</v>
      </c>
      <c r="E23" s="420">
        <v>0</v>
      </c>
      <c r="F23" s="420">
        <v>0</v>
      </c>
      <c r="G23" s="420">
        <v>0</v>
      </c>
      <c r="H23" s="420">
        <v>0</v>
      </c>
      <c r="I23" s="420">
        <v>0</v>
      </c>
      <c r="J23" s="420">
        <v>0</v>
      </c>
      <c r="K23" s="420">
        <v>0</v>
      </c>
      <c r="L23" s="420">
        <v>0</v>
      </c>
      <c r="M23" s="420">
        <v>0</v>
      </c>
      <c r="N23" s="420">
        <v>0</v>
      </c>
      <c r="O23" s="420">
        <v>0</v>
      </c>
      <c r="P23" s="420">
        <v>0</v>
      </c>
      <c r="Q23" s="420"/>
      <c r="R23" s="420"/>
      <c r="S23" s="399"/>
      <c r="T23" s="378"/>
      <c r="U23" s="379"/>
      <c r="V23" s="379"/>
      <c r="W23" s="421"/>
      <c r="X23" s="422"/>
      <c r="Y23" s="422"/>
      <c r="Z23" s="422"/>
      <c r="AA23" s="421">
        <f>AA25*AA26/1000</f>
        <v>103.37870248620415</v>
      </c>
      <c r="AB23" s="421">
        <f>AB25*AB26/1000</f>
        <v>152.21934215239978</v>
      </c>
      <c r="AC23" s="421">
        <f>AC25*AC26/1000</f>
        <v>210.32533000359967</v>
      </c>
      <c r="AD23" s="421">
        <f>AD25*AD26/1000</f>
        <v>268.43131785479954</v>
      </c>
      <c r="AE23" s="421">
        <f>AE25*AE26/1000</f>
        <v>326.53730570599942</v>
      </c>
      <c r="AF23" s="56"/>
    </row>
    <row r="24" spans="2:33" s="49" customFormat="1" ht="16.5" customHeight="1">
      <c r="B24" s="299" t="s">
        <v>105</v>
      </c>
      <c r="C24" s="383">
        <v>0</v>
      </c>
      <c r="D24" s="384">
        <v>0</v>
      </c>
      <c r="E24" s="384">
        <v>0</v>
      </c>
      <c r="F24" s="384">
        <v>0</v>
      </c>
      <c r="G24" s="384">
        <v>0</v>
      </c>
      <c r="H24" s="384">
        <v>0</v>
      </c>
      <c r="I24" s="384">
        <v>0</v>
      </c>
      <c r="J24" s="384">
        <v>0</v>
      </c>
      <c r="K24" s="384">
        <v>0</v>
      </c>
      <c r="L24" s="384">
        <v>0</v>
      </c>
      <c r="M24" s="384">
        <v>0</v>
      </c>
      <c r="N24" s="384">
        <v>0</v>
      </c>
      <c r="O24" s="384">
        <v>0</v>
      </c>
      <c r="P24" s="384">
        <v>28</v>
      </c>
      <c r="Q24" s="384"/>
      <c r="R24" s="384"/>
      <c r="S24" s="384"/>
      <c r="T24" s="383">
        <v>0</v>
      </c>
      <c r="U24" s="384">
        <v>28</v>
      </c>
      <c r="V24" s="384">
        <v>28</v>
      </c>
      <c r="W24" s="404">
        <v>28</v>
      </c>
      <c r="X24" s="406">
        <v>428.96</v>
      </c>
      <c r="Y24" s="407">
        <v>448.94</v>
      </c>
      <c r="Z24" s="407">
        <v>666.47</v>
      </c>
      <c r="AA24" s="19"/>
      <c r="AC24" s="17"/>
      <c r="AD24" s="18"/>
      <c r="AE24" s="18"/>
      <c r="AF24" s="56"/>
    </row>
    <row r="25" spans="2:33" s="49" customFormat="1" ht="16.5" customHeight="1">
      <c r="B25" s="299" t="s">
        <v>107</v>
      </c>
      <c r="C25" s="383"/>
      <c r="D25" s="384"/>
      <c r="E25" s="384"/>
      <c r="F25" s="384"/>
      <c r="G25" s="384"/>
      <c r="H25" s="384"/>
      <c r="I25" s="384"/>
      <c r="J25" s="384"/>
      <c r="K25" s="384"/>
      <c r="L25" s="384"/>
      <c r="M25" s="384"/>
      <c r="N25" s="384"/>
      <c r="O25" s="384"/>
      <c r="P25" s="441">
        <v>22.8</v>
      </c>
      <c r="Q25" s="384"/>
      <c r="R25" s="384"/>
      <c r="S25" s="384"/>
      <c r="T25" s="442">
        <v>0</v>
      </c>
      <c r="U25" s="441">
        <v>0</v>
      </c>
      <c r="V25" s="441">
        <v>14.34</v>
      </c>
      <c r="W25" s="443">
        <v>22.8</v>
      </c>
      <c r="X25" s="444">
        <v>66.03</v>
      </c>
      <c r="Y25" s="445">
        <v>230.66</v>
      </c>
      <c r="Z25" s="445">
        <v>419.43</v>
      </c>
      <c r="AA25" s="19">
        <f>($AE$25-$Z$25)/5+Z25</f>
        <v>1096.2746817200864</v>
      </c>
      <c r="AB25" s="19">
        <f>($AE$25-$Z$25)/5+AA25</f>
        <v>1773.1193634401727</v>
      </c>
      <c r="AC25" s="19">
        <f>($AE$25-$Z$25)/5+AB25</f>
        <v>2449.964045160259</v>
      </c>
      <c r="AD25" s="19">
        <f>($AE$25-$Z$25)/5+AC25</f>
        <v>3126.8087268803456</v>
      </c>
      <c r="AE25" s="18">
        <f>AE20</f>
        <v>3803.6534086004317</v>
      </c>
      <c r="AF25" s="56"/>
    </row>
    <row r="26" spans="2:33" s="49" customFormat="1" ht="16.5" customHeight="1">
      <c r="B26" s="299" t="s">
        <v>108</v>
      </c>
      <c r="C26" s="435"/>
      <c r="D26" s="446"/>
      <c r="E26" s="446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415">
        <v>54.63</v>
      </c>
      <c r="Q26" s="436"/>
      <c r="R26" s="436"/>
      <c r="S26" s="384"/>
      <c r="T26" s="414">
        <v>0</v>
      </c>
      <c r="U26" s="415">
        <v>0</v>
      </c>
      <c r="V26" s="415">
        <v>61.42</v>
      </c>
      <c r="W26" s="416">
        <v>54.63</v>
      </c>
      <c r="X26" s="447">
        <v>64.59</v>
      </c>
      <c r="Y26" s="418">
        <v>109.25</v>
      </c>
      <c r="Z26" s="418">
        <v>109.06</v>
      </c>
      <c r="AA26" s="475">
        <f>AVERAGE(X26:Z26)</f>
        <v>94.3</v>
      </c>
      <c r="AB26" s="476">
        <f>AB9</f>
        <v>85.848333333333343</v>
      </c>
      <c r="AC26" s="476">
        <f>AC9</f>
        <v>85.848333333333343</v>
      </c>
      <c r="AD26" s="476">
        <f>AD9</f>
        <v>85.848333333333343</v>
      </c>
      <c r="AE26" s="476">
        <f>AE9</f>
        <v>85.848333333333343</v>
      </c>
      <c r="AF26" s="56"/>
    </row>
    <row r="27" spans="2:33" s="49" customFormat="1" ht="16.5" customHeight="1">
      <c r="B27" s="377" t="s">
        <v>27</v>
      </c>
      <c r="C27" s="378">
        <v>61.24</v>
      </c>
      <c r="D27" s="379">
        <v>82.67</v>
      </c>
      <c r="E27" s="379">
        <v>107.01</v>
      </c>
      <c r="F27" s="379">
        <v>111.61</v>
      </c>
      <c r="G27" s="379">
        <v>127.35</v>
      </c>
      <c r="H27" s="379">
        <v>125.1</v>
      </c>
      <c r="I27" s="379">
        <v>123.58</v>
      </c>
      <c r="J27" s="379">
        <v>197.44</v>
      </c>
      <c r="K27" s="379">
        <v>197.54</v>
      </c>
      <c r="L27" s="379">
        <v>225.57</v>
      </c>
      <c r="M27" s="379">
        <v>185.17</v>
      </c>
      <c r="N27" s="379">
        <v>181.57</v>
      </c>
      <c r="O27" s="379">
        <v>201.78</v>
      </c>
      <c r="P27" s="379">
        <v>177.2</v>
      </c>
      <c r="Q27" s="379"/>
      <c r="R27" s="379"/>
      <c r="S27" s="399"/>
      <c r="T27" s="378">
        <v>44.69</v>
      </c>
      <c r="U27" s="379">
        <v>86.52</v>
      </c>
      <c r="V27" s="379">
        <v>123.13</v>
      </c>
      <c r="W27" s="421">
        <v>177.2</v>
      </c>
      <c r="X27" s="422">
        <v>58.69</v>
      </c>
      <c r="Y27" s="422">
        <v>123.75</v>
      </c>
      <c r="Z27" s="422">
        <v>173.89</v>
      </c>
      <c r="AA27" s="421">
        <f>AVERAGE($J$27:$P$27)</f>
        <v>195.18142857142857</v>
      </c>
      <c r="AB27" s="421">
        <f>AVERAGE($J$27:$P$27)</f>
        <v>195.18142857142857</v>
      </c>
      <c r="AC27" s="421">
        <f>AVERAGE($J$27:$P$27)</f>
        <v>195.18142857142857</v>
      </c>
      <c r="AD27" s="421">
        <f>AVERAGE($J$27:$P$27)</f>
        <v>195.18142857142857</v>
      </c>
      <c r="AE27" s="421">
        <f>AVERAGE($J$27:$P$27)</f>
        <v>195.18142857142857</v>
      </c>
      <c r="AF27" s="56"/>
    </row>
    <row r="28" spans="2:33" s="56" customFormat="1" ht="16.5" customHeight="1">
      <c r="B28" s="328" t="s">
        <v>14</v>
      </c>
      <c r="C28" s="21">
        <f t="shared" ref="C28:P28" si="3">C27+C4</f>
        <v>581.43000000000006</v>
      </c>
      <c r="D28" s="21">
        <f t="shared" si="3"/>
        <v>724.68</v>
      </c>
      <c r="E28" s="21">
        <f t="shared" si="3"/>
        <v>947.65</v>
      </c>
      <c r="F28" s="21">
        <f t="shared" si="3"/>
        <v>1068.83</v>
      </c>
      <c r="G28" s="21">
        <f t="shared" si="3"/>
        <v>1285.1499999999999</v>
      </c>
      <c r="H28" s="21">
        <f t="shared" si="3"/>
        <v>1316.35</v>
      </c>
      <c r="I28" s="21">
        <f t="shared" si="3"/>
        <v>1276.71</v>
      </c>
      <c r="J28" s="21">
        <f t="shared" si="3"/>
        <v>1547.05</v>
      </c>
      <c r="K28" s="21">
        <f t="shared" si="3"/>
        <v>1650.75</v>
      </c>
      <c r="L28" s="21">
        <f t="shared" si="3"/>
        <v>1827.1899999999998</v>
      </c>
      <c r="M28" s="21">
        <f t="shared" si="3"/>
        <v>1696.69</v>
      </c>
      <c r="N28" s="21">
        <f t="shared" si="3"/>
        <v>1823.7</v>
      </c>
      <c r="O28" s="21">
        <f t="shared" si="3"/>
        <v>1730.75</v>
      </c>
      <c r="P28" s="21">
        <f t="shared" si="3"/>
        <v>1757.66</v>
      </c>
      <c r="Q28" s="22"/>
      <c r="R28" s="22"/>
      <c r="T28" s="21">
        <v>447.99</v>
      </c>
      <c r="U28" s="22">
        <v>855.96</v>
      </c>
      <c r="V28" s="22">
        <v>1191.68</v>
      </c>
      <c r="W28" s="23">
        <v>1757.66</v>
      </c>
      <c r="X28" s="24">
        <v>568.6</v>
      </c>
      <c r="Y28" s="24">
        <v>1237.32</v>
      </c>
      <c r="Z28" s="24">
        <v>1742.87</v>
      </c>
      <c r="AA28" s="23">
        <f>AA27+AA4</f>
        <v>2306.9984450967377</v>
      </c>
      <c r="AB28" s="23">
        <f>AB27+AB4</f>
        <v>2190.5211262854996</v>
      </c>
      <c r="AC28" s="23">
        <f>AC27+AC4</f>
        <v>2305.4230153222056</v>
      </c>
      <c r="AD28" s="23">
        <f>AD27+AD4</f>
        <v>2424.1363892477752</v>
      </c>
      <c r="AE28" s="23">
        <f>AE27+AE4</f>
        <v>2546.9347528738012</v>
      </c>
      <c r="AG28" s="49"/>
    </row>
    <row r="29" spans="2:33" s="49" customFormat="1" ht="16.5" customHeight="1">
      <c r="B29" s="299" t="s">
        <v>28</v>
      </c>
      <c r="C29" s="17">
        <v>28.29</v>
      </c>
      <c r="D29" s="18">
        <v>42.56</v>
      </c>
      <c r="E29" s="18">
        <v>73.02</v>
      </c>
      <c r="F29" s="18">
        <v>84.54</v>
      </c>
      <c r="G29" s="18">
        <v>63.12</v>
      </c>
      <c r="H29" s="18">
        <v>41.36</v>
      </c>
      <c r="I29" s="18">
        <v>45.67</v>
      </c>
      <c r="J29" s="18">
        <v>161.56</v>
      </c>
      <c r="K29" s="18">
        <v>53.75</v>
      </c>
      <c r="L29" s="18">
        <v>94.94</v>
      </c>
      <c r="M29" s="18">
        <v>191.95</v>
      </c>
      <c r="N29" s="18">
        <v>399.68</v>
      </c>
      <c r="O29" s="18">
        <v>498.41</v>
      </c>
      <c r="P29" s="18">
        <v>635.73</v>
      </c>
      <c r="Q29" s="18"/>
      <c r="R29" s="18"/>
      <c r="T29" s="17">
        <v>15.97</v>
      </c>
      <c r="U29" s="18">
        <v>141.02000000000001</v>
      </c>
      <c r="V29" s="18">
        <v>201.48</v>
      </c>
      <c r="W29" s="19">
        <v>635.73</v>
      </c>
      <c r="X29" s="20">
        <v>22.04</v>
      </c>
      <c r="Y29" s="20">
        <v>134.41999999999999</v>
      </c>
      <c r="Z29" s="20">
        <v>330.79</v>
      </c>
      <c r="AA29" s="459">
        <f>AVERAGE($C$29:$P$29)</f>
        <v>172.47000000000003</v>
      </c>
      <c r="AB29" s="459">
        <f>AVERAGE($C$29:$P$29)</f>
        <v>172.47000000000003</v>
      </c>
      <c r="AC29" s="459">
        <f>AVERAGE($C$29:$P$29)</f>
        <v>172.47000000000003</v>
      </c>
      <c r="AD29" s="459">
        <f>AVERAGE($C$29:$P$29)</f>
        <v>172.47000000000003</v>
      </c>
      <c r="AE29" s="459">
        <f>AVERAGE($C$29:$P$29)</f>
        <v>172.47000000000003</v>
      </c>
      <c r="AF29" s="56"/>
    </row>
    <row r="30" spans="2:33" s="49" customFormat="1" ht="16.5" customHeight="1">
      <c r="B30" s="386" t="s">
        <v>97</v>
      </c>
      <c r="C30" s="387">
        <f>C29+C28</f>
        <v>609.72</v>
      </c>
      <c r="D30" s="387">
        <f t="shared" ref="D30:P30" si="4">D29+D28</f>
        <v>767.24</v>
      </c>
      <c r="E30" s="387">
        <f t="shared" si="4"/>
        <v>1020.67</v>
      </c>
      <c r="F30" s="387">
        <f t="shared" si="4"/>
        <v>1153.3699999999999</v>
      </c>
      <c r="G30" s="387">
        <f t="shared" si="4"/>
        <v>1348.2699999999998</v>
      </c>
      <c r="H30" s="387">
        <f t="shared" si="4"/>
        <v>1357.7099999999998</v>
      </c>
      <c r="I30" s="387">
        <f t="shared" si="4"/>
        <v>1322.38</v>
      </c>
      <c r="J30" s="387">
        <f t="shared" si="4"/>
        <v>1708.61</v>
      </c>
      <c r="K30" s="387">
        <f t="shared" si="4"/>
        <v>1704.5</v>
      </c>
      <c r="L30" s="387">
        <f t="shared" si="4"/>
        <v>1922.1299999999999</v>
      </c>
      <c r="M30" s="387">
        <f t="shared" si="4"/>
        <v>1888.64</v>
      </c>
      <c r="N30" s="387">
        <f t="shared" si="4"/>
        <v>2223.38</v>
      </c>
      <c r="O30" s="387">
        <f t="shared" si="4"/>
        <v>2229.16</v>
      </c>
      <c r="P30" s="387">
        <f t="shared" si="4"/>
        <v>2393.3900000000003</v>
      </c>
      <c r="Q30" s="399"/>
      <c r="R30" s="399"/>
      <c r="T30" s="387">
        <f>T29+T28</f>
        <v>463.96000000000004</v>
      </c>
      <c r="U30" s="387">
        <f t="shared" ref="U30:Z30" si="5">U29+U28</f>
        <v>996.98</v>
      </c>
      <c r="V30" s="387">
        <f t="shared" si="5"/>
        <v>1393.16</v>
      </c>
      <c r="W30" s="387">
        <f t="shared" si="5"/>
        <v>2393.3900000000003</v>
      </c>
      <c r="X30" s="387">
        <f t="shared" si="5"/>
        <v>590.64</v>
      </c>
      <c r="Y30" s="387">
        <f t="shared" si="5"/>
        <v>1371.74</v>
      </c>
      <c r="Z30" s="387">
        <f t="shared" si="5"/>
        <v>2073.66</v>
      </c>
      <c r="AA30" s="399">
        <f>AA29+AA28</f>
        <v>2479.4684450967379</v>
      </c>
      <c r="AB30" s="399">
        <f>AB29+AB28</f>
        <v>2362.9911262854994</v>
      </c>
      <c r="AC30" s="399">
        <f>AC29+AC28</f>
        <v>2477.8930153222054</v>
      </c>
      <c r="AD30" s="399">
        <f>AD29+AD28</f>
        <v>2596.606389247775</v>
      </c>
      <c r="AE30" s="399">
        <f>AE29+AE28</f>
        <v>2719.404752873801</v>
      </c>
      <c r="AF30" s="56"/>
    </row>
    <row r="31" spans="2:33" s="49" customFormat="1" ht="16.5" customHeight="1">
      <c r="B31" s="402"/>
      <c r="C31" s="399"/>
      <c r="D31" s="399"/>
      <c r="E31" s="399"/>
      <c r="F31" s="399"/>
      <c r="G31" s="399"/>
      <c r="H31" s="399"/>
      <c r="I31" s="399"/>
      <c r="J31" s="399"/>
      <c r="K31" s="399"/>
      <c r="L31" s="399"/>
      <c r="M31" s="399"/>
      <c r="N31" s="399"/>
      <c r="O31" s="399"/>
      <c r="P31" s="399"/>
      <c r="Q31" s="399"/>
      <c r="R31" s="399"/>
      <c r="T31" s="399"/>
      <c r="U31" s="399"/>
      <c r="V31" s="399"/>
      <c r="W31" s="399"/>
      <c r="X31" s="399"/>
      <c r="Y31" s="399"/>
      <c r="Z31" s="399"/>
      <c r="AC31" s="399"/>
      <c r="AD31" s="399"/>
      <c r="AE31" s="399"/>
      <c r="AF31" s="56"/>
    </row>
    <row r="32" spans="2:33" s="49" customFormat="1" ht="16.5" customHeight="1">
      <c r="B32" s="402"/>
      <c r="C32" s="399"/>
      <c r="D32" s="399"/>
      <c r="E32" s="399"/>
      <c r="F32" s="399"/>
      <c r="G32" s="399"/>
      <c r="H32" s="399"/>
      <c r="I32" s="399"/>
      <c r="J32" s="399"/>
      <c r="K32" s="399"/>
      <c r="L32" s="399"/>
      <c r="M32" s="399"/>
      <c r="N32" s="399"/>
      <c r="O32" s="399"/>
      <c r="P32" s="399"/>
      <c r="Q32" s="399"/>
      <c r="R32" s="399"/>
      <c r="T32" s="399"/>
      <c r="U32" s="399"/>
      <c r="V32" s="399"/>
      <c r="W32" s="399"/>
      <c r="X32" s="399"/>
      <c r="Y32" s="399"/>
      <c r="Z32" s="399"/>
      <c r="AC32" s="399"/>
      <c r="AD32" s="399"/>
      <c r="AE32" s="399"/>
      <c r="AF32" s="56"/>
    </row>
    <row r="33" spans="2:32" s="49" customFormat="1" ht="16.5" customHeight="1">
      <c r="B33" s="402"/>
      <c r="C33" s="399"/>
      <c r="D33" s="399"/>
      <c r="E33" s="399"/>
      <c r="F33" s="399"/>
      <c r="G33" s="399"/>
      <c r="H33" s="399"/>
      <c r="I33" s="399"/>
      <c r="J33" s="399"/>
      <c r="K33" s="399"/>
      <c r="L33" s="399"/>
      <c r="M33" s="399"/>
      <c r="N33" s="399"/>
      <c r="O33" s="399"/>
      <c r="P33" s="399"/>
      <c r="Q33" s="399"/>
      <c r="R33" s="399"/>
      <c r="T33" s="399"/>
      <c r="U33" s="399"/>
      <c r="V33" s="399"/>
      <c r="W33" s="399"/>
      <c r="X33" s="399"/>
      <c r="Y33" s="399"/>
      <c r="Z33" s="399"/>
      <c r="AC33" s="399"/>
      <c r="AD33" s="399"/>
      <c r="AE33" s="399"/>
      <c r="AF33" s="56"/>
    </row>
    <row r="34" spans="2:32" s="49" customFormat="1" ht="16.5" customHeight="1">
      <c r="B34" s="402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399"/>
      <c r="O34" s="399"/>
      <c r="P34" s="399"/>
      <c r="Q34" s="399"/>
      <c r="R34" s="399"/>
      <c r="T34" s="399"/>
      <c r="U34" s="399"/>
      <c r="V34" s="399"/>
      <c r="W34" s="399"/>
      <c r="X34" s="399"/>
      <c r="Y34" s="399"/>
      <c r="Z34" s="399"/>
      <c r="AC34" s="399"/>
      <c r="AD34" s="399"/>
      <c r="AE34" s="399"/>
      <c r="AF34" s="56"/>
    </row>
    <row r="35" spans="2:32" s="49" customFormat="1" ht="16.5" customHeight="1">
      <c r="B35" s="402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399"/>
      <c r="O35" s="399"/>
      <c r="P35" s="399"/>
      <c r="Q35" s="399"/>
      <c r="R35" s="399"/>
      <c r="T35" s="399"/>
      <c r="U35" s="399"/>
      <c r="V35" s="399"/>
      <c r="W35" s="399"/>
      <c r="X35" s="399"/>
      <c r="Y35" s="399"/>
      <c r="Z35" s="399"/>
      <c r="AC35" s="399"/>
      <c r="AD35" s="399"/>
      <c r="AE35" s="399"/>
      <c r="AF35" s="56"/>
    </row>
    <row r="36" spans="2:32" s="49" customFormat="1" ht="16.5" customHeight="1">
      <c r="B36" s="402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T36" s="399"/>
      <c r="U36" s="399"/>
      <c r="V36" s="399"/>
      <c r="W36" s="399"/>
      <c r="X36" s="399"/>
      <c r="Y36" s="399"/>
      <c r="Z36" s="399"/>
      <c r="AC36" s="399"/>
      <c r="AD36" s="399"/>
      <c r="AE36" s="399"/>
      <c r="AF36" s="56"/>
    </row>
    <row r="37" spans="2:32" s="49" customFormat="1" ht="16.5" customHeight="1">
      <c r="B37" s="402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399"/>
      <c r="P37" s="399"/>
      <c r="Q37" s="399"/>
      <c r="R37" s="399"/>
      <c r="T37" s="399"/>
      <c r="U37" s="399"/>
      <c r="V37" s="399"/>
      <c r="W37" s="399"/>
      <c r="X37" s="399"/>
      <c r="Y37" s="399"/>
      <c r="Z37" s="399"/>
      <c r="AC37" s="399"/>
      <c r="AD37" s="399"/>
      <c r="AE37" s="399"/>
      <c r="AF37" s="56"/>
    </row>
    <row r="38" spans="2:32" s="49" customFormat="1" ht="16.5" customHeight="1">
      <c r="B38" s="402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T38" s="399"/>
      <c r="U38" s="399"/>
      <c r="V38" s="399"/>
      <c r="W38" s="399"/>
      <c r="X38" s="399"/>
      <c r="Y38" s="399"/>
      <c r="Z38" s="399"/>
      <c r="AC38" s="399"/>
      <c r="AD38" s="399"/>
      <c r="AE38" s="399"/>
      <c r="AF38" s="56"/>
    </row>
    <row r="39" spans="2:32" s="49" customFormat="1" ht="16.5" customHeight="1">
      <c r="B39" s="402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399"/>
      <c r="O39" s="399"/>
      <c r="P39" s="399"/>
      <c r="Q39" s="399"/>
      <c r="R39" s="399"/>
      <c r="T39" s="399"/>
      <c r="U39" s="399"/>
      <c r="V39" s="399"/>
      <c r="W39" s="399"/>
      <c r="X39" s="399"/>
      <c r="Y39" s="399"/>
      <c r="Z39" s="399"/>
      <c r="AC39" s="399"/>
      <c r="AD39" s="399"/>
      <c r="AE39" s="399"/>
      <c r="AF39" s="56"/>
    </row>
    <row r="40" spans="2:32" s="49" customFormat="1" ht="16.5" customHeight="1">
      <c r="B40" s="402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T40" s="399"/>
      <c r="U40" s="399"/>
      <c r="V40" s="399"/>
      <c r="W40" s="399"/>
      <c r="X40" s="399"/>
      <c r="Y40" s="399"/>
      <c r="Z40" s="399"/>
      <c r="AC40" s="399"/>
      <c r="AD40" s="399"/>
      <c r="AE40" s="399"/>
      <c r="AF40" s="56"/>
    </row>
    <row r="41" spans="2:32" s="49" customFormat="1" ht="16.5" customHeight="1">
      <c r="B41" s="402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399"/>
      <c r="P41" s="399"/>
      <c r="Q41" s="399"/>
      <c r="R41" s="399"/>
      <c r="T41" s="399"/>
      <c r="U41" s="399"/>
      <c r="V41" s="399"/>
      <c r="W41" s="399"/>
      <c r="X41" s="399"/>
      <c r="Y41" s="399"/>
      <c r="Z41" s="399"/>
      <c r="AC41" s="399"/>
      <c r="AD41" s="399"/>
      <c r="AE41" s="399"/>
      <c r="AF41" s="56"/>
    </row>
    <row r="42" spans="2:32" s="49" customFormat="1" ht="16.5" customHeight="1">
      <c r="B42" s="402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T42" s="399"/>
      <c r="U42" s="399"/>
      <c r="V42" s="399"/>
      <c r="W42" s="399"/>
      <c r="X42" s="399"/>
      <c r="Y42" s="399"/>
      <c r="Z42" s="399"/>
      <c r="AC42" s="399"/>
      <c r="AD42" s="399"/>
      <c r="AE42" s="399"/>
      <c r="AF42" s="56"/>
    </row>
    <row r="43" spans="2:32" s="49" customFormat="1" ht="16.5" customHeight="1">
      <c r="B43" s="402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399"/>
      <c r="O43" s="399"/>
      <c r="P43" s="399"/>
      <c r="Q43" s="399"/>
      <c r="R43" s="399"/>
      <c r="T43" s="399"/>
      <c r="U43" s="399"/>
      <c r="V43" s="399"/>
      <c r="W43" s="399"/>
      <c r="X43" s="399"/>
      <c r="Y43" s="399"/>
      <c r="Z43" s="399"/>
      <c r="AC43" s="399"/>
      <c r="AD43" s="399"/>
      <c r="AE43" s="399"/>
      <c r="AF43" s="56"/>
    </row>
    <row r="44" spans="2:32" s="49" customFormat="1" ht="16.5" customHeight="1">
      <c r="B44" s="402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399"/>
      <c r="P44" s="399"/>
      <c r="Q44" s="399"/>
      <c r="R44" s="399"/>
      <c r="T44" s="399"/>
      <c r="U44" s="399"/>
      <c r="V44" s="399"/>
      <c r="W44" s="399"/>
      <c r="X44" s="399"/>
      <c r="Y44" s="399"/>
      <c r="Z44" s="399"/>
      <c r="AC44" s="399"/>
      <c r="AD44" s="399"/>
      <c r="AE44" s="399"/>
      <c r="AF44" s="56"/>
    </row>
    <row r="45" spans="2:32" s="49" customFormat="1" ht="16.5" customHeight="1">
      <c r="B45" s="402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T45" s="399"/>
      <c r="U45" s="399"/>
      <c r="V45" s="399"/>
      <c r="W45" s="399"/>
      <c r="X45" s="399"/>
      <c r="Y45" s="399"/>
      <c r="Z45" s="399"/>
      <c r="AC45" s="399"/>
      <c r="AD45" s="399"/>
      <c r="AE45" s="399"/>
      <c r="AF45" s="56"/>
    </row>
    <row r="46" spans="2:32" s="49" customFormat="1" ht="16.5" customHeight="1">
      <c r="B46" s="402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T46" s="399"/>
      <c r="U46" s="399"/>
      <c r="V46" s="399"/>
      <c r="W46" s="399"/>
      <c r="X46" s="399"/>
      <c r="Y46" s="399"/>
      <c r="Z46" s="399"/>
      <c r="AC46" s="399"/>
      <c r="AD46" s="399"/>
      <c r="AE46" s="399"/>
      <c r="AF46" s="56"/>
    </row>
    <row r="47" spans="2:32" s="49" customFormat="1" ht="16.5" customHeight="1">
      <c r="B47" s="402"/>
      <c r="C47" s="399"/>
      <c r="D47" s="399"/>
      <c r="E47" s="399"/>
      <c r="F47" s="399"/>
      <c r="G47" s="399"/>
      <c r="H47" s="399"/>
      <c r="I47" s="399"/>
      <c r="J47" s="399"/>
      <c r="K47" s="399"/>
      <c r="L47" s="399"/>
      <c r="M47" s="399"/>
      <c r="N47" s="399"/>
      <c r="O47" s="399"/>
      <c r="P47" s="399"/>
      <c r="Q47" s="399"/>
      <c r="R47" s="399"/>
      <c r="T47" s="399"/>
      <c r="U47" s="399"/>
      <c r="V47" s="399"/>
      <c r="W47" s="399"/>
      <c r="X47" s="399"/>
      <c r="Y47" s="399"/>
      <c r="Z47" s="399"/>
      <c r="AC47" s="399"/>
      <c r="AD47" s="399"/>
      <c r="AE47" s="399"/>
      <c r="AF47" s="56"/>
    </row>
    <row r="48" spans="2:32" s="49" customFormat="1" ht="16.5" customHeight="1">
      <c r="B48" s="402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399"/>
      <c r="P48" s="399"/>
      <c r="Q48" s="399"/>
      <c r="R48" s="399"/>
      <c r="T48" s="399"/>
      <c r="U48" s="399"/>
      <c r="V48" s="399"/>
      <c r="W48" s="399"/>
      <c r="X48" s="399"/>
      <c r="Y48" s="399"/>
      <c r="Z48" s="399"/>
      <c r="AC48" s="399"/>
      <c r="AD48" s="399"/>
      <c r="AE48" s="399"/>
      <c r="AF48" s="56"/>
    </row>
    <row r="49" spans="2:32" s="49" customFormat="1" ht="16.5" customHeight="1">
      <c r="B49" s="402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399"/>
      <c r="P49" s="399"/>
      <c r="Q49" s="399"/>
      <c r="R49" s="399"/>
      <c r="T49" s="399"/>
      <c r="U49" s="399"/>
      <c r="V49" s="399"/>
      <c r="W49" s="399"/>
      <c r="X49" s="399"/>
      <c r="Y49" s="399"/>
      <c r="Z49" s="399"/>
      <c r="AC49" s="399"/>
      <c r="AD49" s="399"/>
      <c r="AE49" s="399"/>
      <c r="AF49" s="56"/>
    </row>
    <row r="50" spans="2:32" s="49" customFormat="1" ht="16.5" customHeight="1">
      <c r="B50" s="402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399"/>
      <c r="O50" s="399"/>
      <c r="P50" s="399"/>
      <c r="Q50" s="399"/>
      <c r="R50" s="399"/>
      <c r="T50" s="399"/>
      <c r="U50" s="399"/>
      <c r="V50" s="399"/>
      <c r="W50" s="399"/>
      <c r="X50" s="399"/>
      <c r="Y50" s="399"/>
      <c r="Z50" s="399"/>
      <c r="AC50" s="399"/>
      <c r="AD50" s="399"/>
      <c r="AE50" s="399"/>
      <c r="AF50" s="56"/>
    </row>
    <row r="51" spans="2:32" s="49" customFormat="1" ht="16.5" customHeight="1">
      <c r="B51" s="402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T51" s="399"/>
      <c r="U51" s="399"/>
      <c r="V51" s="399"/>
      <c r="W51" s="399"/>
      <c r="X51" s="399"/>
      <c r="Y51" s="399"/>
      <c r="Z51" s="399"/>
      <c r="AC51" s="399"/>
      <c r="AD51" s="399"/>
      <c r="AE51" s="399"/>
      <c r="AF51" s="56"/>
    </row>
    <row r="52" spans="2:32" s="49" customFormat="1" ht="16.5" customHeight="1">
      <c r="B52" s="402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T52" s="399"/>
      <c r="U52" s="399"/>
      <c r="V52" s="399"/>
      <c r="W52" s="399"/>
      <c r="X52" s="399"/>
      <c r="Y52" s="399"/>
      <c r="Z52" s="399"/>
      <c r="AC52" s="399"/>
      <c r="AD52" s="399"/>
      <c r="AE52" s="399"/>
      <c r="AF52" s="56"/>
    </row>
    <row r="53" spans="2:32" s="49" customFormat="1" ht="16.5" customHeight="1">
      <c r="B53" s="402"/>
      <c r="C53" s="399"/>
      <c r="D53" s="399"/>
      <c r="E53" s="399"/>
      <c r="F53" s="399"/>
      <c r="G53" s="399"/>
      <c r="H53" s="399"/>
      <c r="I53" s="399"/>
      <c r="J53" s="399"/>
      <c r="K53" s="399"/>
      <c r="L53" s="399"/>
      <c r="M53" s="399"/>
      <c r="N53" s="399"/>
      <c r="O53" s="399"/>
      <c r="P53" s="399"/>
      <c r="Q53" s="399"/>
      <c r="R53" s="399"/>
      <c r="T53" s="399"/>
      <c r="U53" s="399"/>
      <c r="V53" s="399"/>
      <c r="W53" s="399"/>
      <c r="X53" s="399"/>
      <c r="Y53" s="399"/>
      <c r="Z53" s="399"/>
      <c r="AC53" s="399"/>
      <c r="AD53" s="399"/>
      <c r="AE53" s="399"/>
      <c r="AF53" s="56"/>
    </row>
    <row r="54" spans="2:32" s="49" customFormat="1" ht="16.5" customHeight="1">
      <c r="B54" s="402"/>
      <c r="C54" s="399"/>
      <c r="D54" s="399"/>
      <c r="E54" s="399"/>
      <c r="F54" s="399"/>
      <c r="G54" s="399"/>
      <c r="H54" s="399"/>
      <c r="I54" s="399"/>
      <c r="J54" s="399"/>
      <c r="K54" s="399"/>
      <c r="L54" s="399"/>
      <c r="M54" s="399"/>
      <c r="N54" s="399"/>
      <c r="O54" s="399"/>
      <c r="P54" s="399"/>
      <c r="Q54" s="399"/>
      <c r="R54" s="399"/>
      <c r="T54" s="399"/>
      <c r="U54" s="399"/>
      <c r="V54" s="399"/>
      <c r="W54" s="399"/>
      <c r="X54" s="399"/>
      <c r="Y54" s="399"/>
      <c r="Z54" s="399"/>
      <c r="AC54" s="399"/>
      <c r="AD54" s="399"/>
      <c r="AE54" s="399"/>
      <c r="AF54" s="56"/>
    </row>
    <row r="55" spans="2:32" s="49" customFormat="1" ht="16.5" customHeight="1">
      <c r="B55" s="402"/>
      <c r="C55" s="399"/>
      <c r="D55" s="399"/>
      <c r="E55" s="399"/>
      <c r="F55" s="399"/>
      <c r="G55" s="399"/>
      <c r="H55" s="399"/>
      <c r="I55" s="399"/>
      <c r="J55" s="399"/>
      <c r="K55" s="399"/>
      <c r="L55" s="399"/>
      <c r="M55" s="399"/>
      <c r="N55" s="399"/>
      <c r="O55" s="399"/>
      <c r="P55" s="399"/>
      <c r="Q55" s="399"/>
      <c r="R55" s="399"/>
      <c r="T55" s="399"/>
      <c r="U55" s="399"/>
      <c r="V55" s="399"/>
      <c r="W55" s="399"/>
      <c r="X55" s="399"/>
      <c r="Y55" s="399"/>
      <c r="Z55" s="399"/>
      <c r="AC55" s="399"/>
      <c r="AD55" s="399"/>
      <c r="AE55" s="399"/>
      <c r="AF55" s="56"/>
    </row>
    <row r="56" spans="2:32" s="49" customFormat="1" ht="16.5" customHeight="1">
      <c r="B56" s="402"/>
      <c r="C56" s="399"/>
      <c r="D56" s="399"/>
      <c r="E56" s="399"/>
      <c r="F56" s="399"/>
      <c r="G56" s="399"/>
      <c r="H56" s="399"/>
      <c r="I56" s="399"/>
      <c r="J56" s="399"/>
      <c r="K56" s="399"/>
      <c r="L56" s="399"/>
      <c r="M56" s="399"/>
      <c r="N56" s="399"/>
      <c r="O56" s="399"/>
      <c r="P56" s="399"/>
      <c r="Q56" s="399"/>
      <c r="R56" s="399"/>
      <c r="T56" s="399"/>
      <c r="U56" s="399"/>
      <c r="V56" s="399"/>
      <c r="W56" s="399"/>
      <c r="X56" s="399"/>
      <c r="Y56" s="399"/>
      <c r="Z56" s="399"/>
      <c r="AC56" s="399"/>
      <c r="AD56" s="399"/>
      <c r="AE56" s="399"/>
      <c r="AF56" s="56"/>
    </row>
    <row r="57" spans="2:32" s="49" customFormat="1" ht="16.5" customHeight="1">
      <c r="B57" s="402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399"/>
      <c r="O57" s="399"/>
      <c r="P57" s="399"/>
      <c r="Q57" s="399"/>
      <c r="R57" s="399"/>
      <c r="T57" s="399"/>
      <c r="U57" s="399"/>
      <c r="V57" s="399"/>
      <c r="W57" s="399"/>
      <c r="X57" s="399"/>
      <c r="Y57" s="399"/>
      <c r="Z57" s="399"/>
      <c r="AC57" s="399"/>
      <c r="AD57" s="399"/>
      <c r="AE57" s="399"/>
      <c r="AF57" s="56"/>
    </row>
    <row r="58" spans="2:32" s="49" customFormat="1" ht="16.5" customHeight="1">
      <c r="B58" s="402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399"/>
      <c r="O58" s="399"/>
      <c r="P58" s="399"/>
      <c r="Q58" s="399"/>
      <c r="R58" s="399"/>
      <c r="T58" s="399"/>
      <c r="U58" s="399"/>
      <c r="V58" s="399"/>
      <c r="W58" s="399"/>
      <c r="X58" s="399"/>
      <c r="Y58" s="399"/>
      <c r="Z58" s="399"/>
      <c r="AC58" s="399"/>
      <c r="AD58" s="399"/>
      <c r="AE58" s="399"/>
      <c r="AF58" s="56"/>
    </row>
    <row r="59" spans="2:32" s="49" customFormat="1" ht="16.5" customHeight="1">
      <c r="B59" s="402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T59" s="399"/>
      <c r="U59" s="399"/>
      <c r="V59" s="399"/>
      <c r="W59" s="399"/>
      <c r="X59" s="399"/>
      <c r="Y59" s="399"/>
      <c r="Z59" s="399"/>
      <c r="AC59" s="399"/>
      <c r="AD59" s="399"/>
      <c r="AE59" s="399"/>
      <c r="AF59" s="56"/>
    </row>
    <row r="60" spans="2:32" s="49" customFormat="1" ht="16.5" customHeight="1">
      <c r="B60" s="402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T60" s="399"/>
      <c r="U60" s="399"/>
      <c r="V60" s="399"/>
      <c r="W60" s="399"/>
      <c r="X60" s="399"/>
      <c r="Y60" s="399"/>
      <c r="Z60" s="399"/>
      <c r="AC60" s="399"/>
      <c r="AD60" s="399"/>
      <c r="AE60" s="399"/>
      <c r="AF60" s="56"/>
    </row>
    <row r="61" spans="2:32" s="49" customFormat="1" ht="16.5" customHeight="1">
      <c r="B61" s="402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T61" s="399"/>
      <c r="U61" s="399"/>
      <c r="V61" s="399"/>
      <c r="W61" s="399"/>
      <c r="X61" s="399"/>
      <c r="Y61" s="399"/>
      <c r="Z61" s="399"/>
      <c r="AC61" s="399"/>
      <c r="AD61" s="399"/>
      <c r="AE61" s="399"/>
      <c r="AF61" s="56"/>
    </row>
    <row r="62" spans="2:32" s="49" customFormat="1" ht="16.5" customHeight="1">
      <c r="B62" s="402"/>
      <c r="C62" s="399"/>
      <c r="D62" s="399"/>
      <c r="E62" s="399"/>
      <c r="F62" s="399"/>
      <c r="G62" s="399"/>
      <c r="H62" s="399"/>
      <c r="I62" s="399"/>
      <c r="J62" s="399"/>
      <c r="K62" s="399"/>
      <c r="L62" s="399"/>
      <c r="M62" s="399"/>
      <c r="N62" s="399"/>
      <c r="O62" s="399"/>
      <c r="P62" s="399"/>
      <c r="Q62" s="399"/>
      <c r="R62" s="399"/>
      <c r="T62" s="399"/>
      <c r="U62" s="399"/>
      <c r="V62" s="399"/>
      <c r="W62" s="399"/>
      <c r="X62" s="399"/>
      <c r="Y62" s="399"/>
      <c r="Z62" s="399"/>
      <c r="AC62" s="399"/>
      <c r="AD62" s="399"/>
      <c r="AE62" s="399"/>
      <c r="AF62" s="56"/>
    </row>
    <row r="63" spans="2:32" s="49" customFormat="1" ht="16.5" customHeight="1">
      <c r="AF63" s="56"/>
    </row>
    <row r="65" spans="3:31" ht="16.5" customHeight="1">
      <c r="X65" s="111"/>
    </row>
    <row r="66" spans="3:31" ht="16.5" customHeight="1">
      <c r="Y66" s="2"/>
      <c r="AA66" s="112"/>
    </row>
    <row r="67" spans="3:31" ht="16.5" customHeight="1">
      <c r="C67" s="113"/>
      <c r="D67" s="113"/>
      <c r="E67" s="113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</row>
    <row r="68" spans="3:31" ht="16.5" customHeight="1"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</row>
    <row r="69" spans="3:31" ht="16.5" customHeight="1"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  <c r="AA69" s="115"/>
      <c r="AB69" s="115"/>
      <c r="AC69" s="115"/>
      <c r="AD69" s="115"/>
      <c r="AE69" s="115"/>
    </row>
    <row r="70" spans="3:31" ht="16.5" customHeight="1"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  <c r="AA70" s="115"/>
      <c r="AB70" s="115"/>
      <c r="AC70" s="115"/>
      <c r="AD70" s="115"/>
      <c r="AE70" s="115"/>
    </row>
    <row r="71" spans="3:31" ht="16.5" customHeight="1"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C71" s="30"/>
      <c r="AD71" s="30"/>
      <c r="AE71" s="30"/>
    </row>
    <row r="72" spans="3:31" ht="16.5" customHeight="1"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T72" s="115"/>
      <c r="U72" s="115"/>
      <c r="V72" s="115"/>
      <c r="W72" s="115"/>
      <c r="X72" s="115"/>
      <c r="Y72" s="115"/>
      <c r="Z72" s="115"/>
      <c r="AA72" s="115"/>
      <c r="AC72" s="115"/>
      <c r="AD72" s="115"/>
      <c r="AE72" s="115"/>
    </row>
    <row r="73" spans="3:31" ht="16.5" customHeight="1"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T73" s="115"/>
      <c r="U73" s="115"/>
      <c r="V73" s="115"/>
      <c r="W73" s="115"/>
      <c r="X73" s="115"/>
      <c r="Y73" s="115"/>
      <c r="Z73" s="115"/>
      <c r="AA73" s="115"/>
      <c r="AC73" s="115"/>
      <c r="AD73" s="115"/>
      <c r="AE73" s="115"/>
    </row>
  </sheetData>
  <dataConsolidate/>
  <pageMargins left="0.59055118110236227" right="0.59055118110236227" top="0.78740157480314965" bottom="0" header="0.39370078740157483" footer="0.39370078740157483"/>
  <pageSetup paperSize="9" scale="50" orientation="landscape" r:id="rId1"/>
  <headerFooter>
    <oddHeader>&amp;C&amp;"Calibri,Regular"&amp;16&amp;A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1AD93-54C2-4BE2-85CD-03B940823260}">
  <sheetPr>
    <tabColor theme="8"/>
    <pageSetUpPr fitToPage="1"/>
  </sheetPr>
  <dimension ref="B1:Y56"/>
  <sheetViews>
    <sheetView showGridLines="0" view="pageBreakPreview" zoomScale="40" zoomScaleNormal="70" zoomScaleSheetLayoutView="40" zoomScalePageLayoutView="40" workbookViewId="0">
      <selection activeCell="Q32" sqref="Q32"/>
    </sheetView>
  </sheetViews>
  <sheetFormatPr defaultColWidth="9.1796875" defaultRowHeight="16.5" customHeight="1"/>
  <cols>
    <col min="1" max="1" width="3.1796875" style="25" customWidth="1"/>
    <col min="2" max="2" width="58.54296875" style="25" customWidth="1"/>
    <col min="3" max="17" width="10.54296875" style="25" customWidth="1"/>
    <col min="18" max="18" width="3.1796875" style="25" customWidth="1"/>
    <col min="19" max="23" width="10.54296875" style="25" customWidth="1"/>
    <col min="24" max="16384" width="9.1796875" style="25"/>
  </cols>
  <sheetData>
    <row r="1" spans="2:24" ht="15.75" customHeight="1"/>
    <row r="2" spans="2:24" s="1" customFormat="1" ht="16.5" customHeight="1">
      <c r="B2" s="340" t="s">
        <v>25</v>
      </c>
      <c r="C2" s="336">
        <v>2008</v>
      </c>
      <c r="D2" s="336">
        <v>2009</v>
      </c>
      <c r="E2" s="336">
        <v>2010</v>
      </c>
      <c r="F2" s="336">
        <v>2011</v>
      </c>
      <c r="G2" s="336">
        <v>2012</v>
      </c>
      <c r="H2" s="336">
        <v>2013</v>
      </c>
      <c r="I2" s="337">
        <v>2014</v>
      </c>
      <c r="J2" s="337">
        <v>2015</v>
      </c>
      <c r="K2" s="337">
        <v>2016</v>
      </c>
      <c r="L2" s="337">
        <v>2017</v>
      </c>
      <c r="M2" s="337">
        <v>2018</v>
      </c>
      <c r="N2" s="337">
        <v>2019</v>
      </c>
      <c r="O2" s="337">
        <v>2020</v>
      </c>
      <c r="P2" s="337">
        <v>2021</v>
      </c>
      <c r="Q2" s="337" t="s">
        <v>112</v>
      </c>
      <c r="S2" s="336">
        <v>2022</v>
      </c>
      <c r="T2" s="337">
        <v>2023</v>
      </c>
      <c r="U2" s="337">
        <v>2024</v>
      </c>
      <c r="V2" s="337">
        <v>2025</v>
      </c>
      <c r="W2" s="336">
        <v>2026</v>
      </c>
    </row>
    <row r="3" spans="2:24" s="49" customFormat="1" ht="16.5" customHeight="1">
      <c r="Q3" s="19"/>
      <c r="X3" s="56"/>
    </row>
    <row r="4" spans="2:24" s="49" customFormat="1" ht="16.5" customHeight="1">
      <c r="B4" s="377" t="s">
        <v>26</v>
      </c>
      <c r="C4" s="378">
        <v>520.19000000000005</v>
      </c>
      <c r="D4" s="379">
        <v>642.01</v>
      </c>
      <c r="E4" s="379">
        <v>840.64</v>
      </c>
      <c r="F4" s="379">
        <v>957.22</v>
      </c>
      <c r="G4" s="379">
        <v>1157.8</v>
      </c>
      <c r="H4" s="379">
        <v>1191.25</v>
      </c>
      <c r="I4" s="379">
        <v>1153.1300000000001</v>
      </c>
      <c r="J4" s="379">
        <v>1349.61</v>
      </c>
      <c r="K4" s="379">
        <v>1453.21</v>
      </c>
      <c r="L4" s="379">
        <v>1601.62</v>
      </c>
      <c r="M4" s="379">
        <v>1511.52</v>
      </c>
      <c r="N4" s="379">
        <v>1642.13</v>
      </c>
      <c r="O4" s="379">
        <v>1528.97</v>
      </c>
      <c r="P4" s="379">
        <v>1580.46</v>
      </c>
      <c r="Q4" s="19"/>
      <c r="X4" s="56"/>
    </row>
    <row r="5" spans="2:24" s="49" customFormat="1" ht="16.5" customHeight="1">
      <c r="B5" s="299" t="s">
        <v>21</v>
      </c>
      <c r="C5" s="380">
        <v>388.88</v>
      </c>
      <c r="D5" s="381">
        <v>436.39</v>
      </c>
      <c r="E5" s="381">
        <v>562.23</v>
      </c>
      <c r="F5" s="381">
        <v>634.86</v>
      </c>
      <c r="G5" s="381">
        <v>777.54</v>
      </c>
      <c r="H5" s="381">
        <v>819.91</v>
      </c>
      <c r="I5" s="381">
        <v>746.93</v>
      </c>
      <c r="J5" s="381">
        <v>831.59</v>
      </c>
      <c r="K5" s="381">
        <v>913.01</v>
      </c>
      <c r="L5" s="381">
        <v>943.22</v>
      </c>
      <c r="M5" s="381">
        <v>890.82</v>
      </c>
      <c r="N5" s="381">
        <v>924.83</v>
      </c>
      <c r="O5" s="381">
        <v>824.24</v>
      </c>
      <c r="P5" s="382">
        <v>926.24</v>
      </c>
      <c r="Q5" s="19"/>
      <c r="X5" s="56"/>
    </row>
    <row r="6" spans="2:24" s="49" customFormat="1" ht="16.5" customHeight="1">
      <c r="B6" s="299" t="s">
        <v>22</v>
      </c>
      <c r="C6" s="383">
        <v>131.81</v>
      </c>
      <c r="D6" s="384">
        <v>204.65</v>
      </c>
      <c r="E6" s="384">
        <v>276.49</v>
      </c>
      <c r="F6" s="384">
        <v>306.35000000000002</v>
      </c>
      <c r="G6" s="384">
        <v>355.5</v>
      </c>
      <c r="H6" s="384">
        <v>347.79</v>
      </c>
      <c r="I6" s="384">
        <v>382.03</v>
      </c>
      <c r="J6" s="384">
        <v>498.22</v>
      </c>
      <c r="K6" s="384">
        <v>507.64</v>
      </c>
      <c r="L6" s="384">
        <v>598.22</v>
      </c>
      <c r="M6" s="384">
        <v>577.84</v>
      </c>
      <c r="N6" s="384">
        <v>650.83000000000004</v>
      </c>
      <c r="O6" s="384">
        <v>669.39</v>
      </c>
      <c r="P6" s="384">
        <v>584.41999999999996</v>
      </c>
      <c r="Q6" s="19"/>
      <c r="X6" s="56"/>
    </row>
    <row r="7" spans="2:24" s="49" customFormat="1" ht="16.5" customHeight="1">
      <c r="B7" s="299" t="s">
        <v>23</v>
      </c>
      <c r="C7" s="384">
        <v>0</v>
      </c>
      <c r="D7" s="381">
        <v>2.21</v>
      </c>
      <c r="E7" s="381">
        <v>3.23</v>
      </c>
      <c r="F7" s="381">
        <v>19.46</v>
      </c>
      <c r="G7" s="381">
        <v>24.75</v>
      </c>
      <c r="H7" s="381">
        <v>24.29</v>
      </c>
      <c r="I7" s="381">
        <v>25.14</v>
      </c>
      <c r="J7" s="381">
        <v>21.38</v>
      </c>
      <c r="K7" s="381">
        <v>34.380000000000003</v>
      </c>
      <c r="L7" s="381">
        <v>62.81</v>
      </c>
      <c r="M7" s="381">
        <v>49.97</v>
      </c>
      <c r="N7" s="381">
        <v>74.180000000000007</v>
      </c>
      <c r="O7" s="381">
        <v>36.5</v>
      </c>
      <c r="P7" s="381">
        <v>67.58</v>
      </c>
      <c r="Q7" s="19"/>
      <c r="X7" s="56"/>
    </row>
    <row r="8" spans="2:24" s="49" customFormat="1" ht="16.5" customHeight="1">
      <c r="B8" s="299" t="s">
        <v>24</v>
      </c>
      <c r="C8" s="381">
        <v>0</v>
      </c>
      <c r="D8" s="381">
        <v>0</v>
      </c>
      <c r="E8" s="381">
        <v>0</v>
      </c>
      <c r="F8" s="381">
        <v>0</v>
      </c>
      <c r="G8" s="381">
        <v>0</v>
      </c>
      <c r="H8" s="381">
        <v>0</v>
      </c>
      <c r="I8" s="381">
        <v>0</v>
      </c>
      <c r="J8" s="381">
        <v>0</v>
      </c>
      <c r="K8" s="381">
        <v>0</v>
      </c>
      <c r="L8" s="381">
        <v>0</v>
      </c>
      <c r="M8" s="381">
        <v>0</v>
      </c>
      <c r="N8" s="381">
        <v>0</v>
      </c>
      <c r="O8" s="381">
        <v>0</v>
      </c>
      <c r="P8" s="381">
        <v>0</v>
      </c>
      <c r="Q8" s="19"/>
      <c r="X8" s="56"/>
    </row>
    <row r="9" spans="2:24" s="49" customFormat="1" ht="16.5" customHeight="1">
      <c r="Q9" s="19"/>
      <c r="X9" s="56"/>
    </row>
    <row r="10" spans="2:24" s="49" customFormat="1" ht="16.5" customHeight="1">
      <c r="B10" s="385" t="s">
        <v>30</v>
      </c>
      <c r="C10" s="378">
        <v>-106.95</v>
      </c>
      <c r="D10" s="379">
        <v>-148.30000000000001</v>
      </c>
      <c r="E10" s="379">
        <v>-196.21</v>
      </c>
      <c r="F10" s="379">
        <v>-225.07</v>
      </c>
      <c r="G10" s="379">
        <v>-261.81</v>
      </c>
      <c r="H10" s="379">
        <v>-255.17</v>
      </c>
      <c r="I10" s="379">
        <v>-256.64</v>
      </c>
      <c r="J10" s="379">
        <v>-292.73</v>
      </c>
      <c r="K10" s="379">
        <v>-304.74</v>
      </c>
      <c r="L10" s="379">
        <v>-326.89</v>
      </c>
      <c r="M10" s="379">
        <v>-345.32</v>
      </c>
      <c r="N10" s="379">
        <v>-309.02999999999997</v>
      </c>
      <c r="O10" s="379">
        <v>-304.44</v>
      </c>
      <c r="P10" s="379">
        <v>-335.67</v>
      </c>
      <c r="Q10" s="19"/>
      <c r="S10" s="17"/>
      <c r="T10" s="18"/>
      <c r="U10" s="18"/>
      <c r="V10" s="19"/>
      <c r="W10" s="20"/>
      <c r="X10" s="56"/>
    </row>
    <row r="11" spans="2:24" s="49" customFormat="1" ht="16.5" customHeight="1">
      <c r="B11" s="299" t="s">
        <v>21</v>
      </c>
      <c r="C11" s="67">
        <v>-55.78</v>
      </c>
      <c r="D11" s="68">
        <v>-68.7</v>
      </c>
      <c r="E11" s="68">
        <v>-87.41</v>
      </c>
      <c r="F11" s="68">
        <v>-106.65</v>
      </c>
      <c r="G11" s="68">
        <v>-125.1</v>
      </c>
      <c r="H11" s="68">
        <v>-138.09</v>
      </c>
      <c r="I11" s="68">
        <v>-141.38</v>
      </c>
      <c r="J11" s="68">
        <v>-150.84</v>
      </c>
      <c r="K11" s="68">
        <v>-161.97999999999999</v>
      </c>
      <c r="L11" s="68">
        <v>-166.52</v>
      </c>
      <c r="M11" s="68">
        <v>-174.13</v>
      </c>
      <c r="N11" s="68">
        <v>-157.75</v>
      </c>
      <c r="O11" s="68">
        <v>-158.13</v>
      </c>
      <c r="P11" s="18">
        <v>-188.9</v>
      </c>
      <c r="Q11" s="19"/>
      <c r="S11" s="17"/>
      <c r="T11" s="18"/>
      <c r="U11" s="18"/>
      <c r="V11" s="19"/>
      <c r="W11" s="20"/>
      <c r="X11" s="56"/>
    </row>
    <row r="12" spans="2:24" s="49" customFormat="1" ht="16.5" customHeight="1">
      <c r="B12" s="299" t="s">
        <v>22</v>
      </c>
      <c r="C12" s="67">
        <v>-45.38</v>
      </c>
      <c r="D12" s="68">
        <v>-65.42</v>
      </c>
      <c r="E12" s="68">
        <v>-93.03</v>
      </c>
      <c r="F12" s="68">
        <v>-101.26</v>
      </c>
      <c r="G12" s="68">
        <v>-116.46</v>
      </c>
      <c r="H12" s="68">
        <v>-108.01</v>
      </c>
      <c r="I12" s="68">
        <v>-108.76</v>
      </c>
      <c r="J12" s="68">
        <v>-134.26</v>
      </c>
      <c r="K12" s="68">
        <v>-139.49</v>
      </c>
      <c r="L12" s="68">
        <v>-155.88</v>
      </c>
      <c r="M12" s="68">
        <v>-160.35</v>
      </c>
      <c r="N12" s="68">
        <v>-148.25</v>
      </c>
      <c r="O12" s="68">
        <v>-163.27000000000001</v>
      </c>
      <c r="P12" s="68">
        <v>-156.69999999999999</v>
      </c>
      <c r="Q12" s="19"/>
      <c r="S12" s="17"/>
      <c r="T12" s="18"/>
      <c r="U12" s="18"/>
      <c r="V12" s="19"/>
      <c r="W12" s="20"/>
      <c r="X12" s="56"/>
    </row>
    <row r="13" spans="2:24" s="49" customFormat="1" ht="16.5" customHeight="1">
      <c r="B13" s="299" t="s">
        <v>23</v>
      </c>
      <c r="C13" s="17"/>
      <c r="D13" s="68">
        <v>-0.43</v>
      </c>
      <c r="E13" s="68">
        <v>-1.93</v>
      </c>
      <c r="F13" s="68">
        <v>-4.88</v>
      </c>
      <c r="G13" s="68">
        <v>-6.18</v>
      </c>
      <c r="H13" s="68">
        <v>-7.83</v>
      </c>
      <c r="I13" s="68">
        <v>-6.12</v>
      </c>
      <c r="J13" s="68">
        <v>-5.55</v>
      </c>
      <c r="K13" s="68">
        <v>-7.33</v>
      </c>
      <c r="L13" s="68">
        <v>-9.19</v>
      </c>
      <c r="M13" s="68">
        <v>-12.94</v>
      </c>
      <c r="N13" s="68">
        <v>-15.34</v>
      </c>
      <c r="O13" s="68">
        <v>-9.08</v>
      </c>
      <c r="P13" s="68">
        <v>-12.87</v>
      </c>
      <c r="Q13" s="19"/>
      <c r="S13" s="17"/>
      <c r="T13" s="18"/>
      <c r="U13" s="18"/>
      <c r="V13" s="19"/>
      <c r="W13" s="20"/>
      <c r="X13" s="56"/>
    </row>
    <row r="14" spans="2:24" s="49" customFormat="1" ht="16.5" customHeight="1">
      <c r="B14" s="299" t="s">
        <v>24</v>
      </c>
      <c r="C14" s="17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9"/>
      <c r="S14" s="17"/>
      <c r="T14" s="18"/>
      <c r="U14" s="18"/>
      <c r="V14" s="19"/>
      <c r="W14" s="20"/>
      <c r="X14" s="56"/>
    </row>
    <row r="15" spans="2:24" s="49" customFormat="1" ht="16.5" customHeight="1">
      <c r="B15" s="385" t="s">
        <v>31</v>
      </c>
      <c r="C15" s="378">
        <v>-38.1</v>
      </c>
      <c r="D15" s="379">
        <v>-42.55</v>
      </c>
      <c r="E15" s="379">
        <v>-54.85</v>
      </c>
      <c r="F15" s="379">
        <v>-60.83</v>
      </c>
      <c r="G15" s="379">
        <v>-62.66</v>
      </c>
      <c r="H15" s="379">
        <v>-66.47</v>
      </c>
      <c r="I15" s="379">
        <v>-66.09</v>
      </c>
      <c r="J15" s="379">
        <v>-84.27</v>
      </c>
      <c r="K15" s="379">
        <v>-93.89</v>
      </c>
      <c r="L15" s="379">
        <v>-100.76</v>
      </c>
      <c r="M15" s="379">
        <v>-114.99</v>
      </c>
      <c r="N15" s="379">
        <v>-130.69</v>
      </c>
      <c r="O15" s="379">
        <v>-141.16</v>
      </c>
      <c r="P15" s="379">
        <v>-174.26</v>
      </c>
      <c r="Q15" s="19"/>
      <c r="S15" s="17"/>
      <c r="T15" s="18"/>
      <c r="U15" s="18"/>
      <c r="V15" s="19"/>
      <c r="W15" s="20"/>
      <c r="X15" s="56"/>
    </row>
    <row r="16" spans="2:24" s="49" customFormat="1" ht="16.5" customHeight="1">
      <c r="B16" s="299" t="s">
        <v>21</v>
      </c>
      <c r="C16" s="67">
        <v>-18.690000000000001</v>
      </c>
      <c r="D16" s="68">
        <v>-13.85</v>
      </c>
      <c r="E16" s="68">
        <v>-20.13</v>
      </c>
      <c r="F16" s="68">
        <v>-22.84</v>
      </c>
      <c r="G16" s="68">
        <v>-24.54</v>
      </c>
      <c r="H16" s="68">
        <v>-25.54</v>
      </c>
      <c r="I16" s="68">
        <v>-22.38</v>
      </c>
      <c r="J16" s="68">
        <v>-26.72</v>
      </c>
      <c r="K16" s="68">
        <v>-30.34</v>
      </c>
      <c r="L16" s="68">
        <v>-29.79</v>
      </c>
      <c r="M16" s="68">
        <v>-28.56</v>
      </c>
      <c r="N16" s="68">
        <v>-29.02</v>
      </c>
      <c r="O16" s="68">
        <v>-32.200000000000003</v>
      </c>
      <c r="P16" s="18">
        <v>-45.3</v>
      </c>
      <c r="Q16" s="19"/>
      <c r="S16" s="17"/>
      <c r="T16" s="18"/>
      <c r="U16" s="18"/>
      <c r="V16" s="19"/>
      <c r="W16" s="20"/>
      <c r="X16" s="56"/>
    </row>
    <row r="17" spans="2:25" s="49" customFormat="1" ht="16.5" customHeight="1">
      <c r="B17" s="299" t="s">
        <v>22</v>
      </c>
      <c r="C17" s="67">
        <v>-18.03</v>
      </c>
      <c r="D17" s="68">
        <v>-20.99</v>
      </c>
      <c r="E17" s="68">
        <v>-24.33</v>
      </c>
      <c r="F17" s="68">
        <v>-25.94</v>
      </c>
      <c r="G17" s="68">
        <v>-29.02</v>
      </c>
      <c r="H17" s="68">
        <v>-28.77</v>
      </c>
      <c r="I17" s="68">
        <v>-27.82</v>
      </c>
      <c r="J17" s="68">
        <v>-40.159999999999997</v>
      </c>
      <c r="K17" s="68">
        <v>-43.87</v>
      </c>
      <c r="L17" s="68">
        <v>-50.13</v>
      </c>
      <c r="M17" s="68">
        <v>-58.24</v>
      </c>
      <c r="N17" s="68">
        <v>-63.29</v>
      </c>
      <c r="O17" s="68">
        <v>-76.150000000000006</v>
      </c>
      <c r="P17" s="68">
        <v>-89.44</v>
      </c>
      <c r="Q17" s="19"/>
      <c r="S17" s="17"/>
      <c r="T17" s="18"/>
      <c r="U17" s="18"/>
      <c r="V17" s="19"/>
      <c r="W17" s="20"/>
      <c r="X17" s="56"/>
    </row>
    <row r="18" spans="2:25" s="49" customFormat="1" ht="16.5" customHeight="1">
      <c r="B18" s="299" t="s">
        <v>23</v>
      </c>
      <c r="C18" s="17"/>
      <c r="D18" s="68">
        <v>-0.23</v>
      </c>
      <c r="E18" s="68">
        <v>-0.92</v>
      </c>
      <c r="F18" s="68">
        <v>-1.36</v>
      </c>
      <c r="G18" s="68">
        <v>-1.22</v>
      </c>
      <c r="H18" s="68">
        <v>-1.1399999999999999</v>
      </c>
      <c r="I18" s="68">
        <v>-1.33</v>
      </c>
      <c r="J18" s="68">
        <v>-1.57</v>
      </c>
      <c r="K18" s="68">
        <v>-2.08</v>
      </c>
      <c r="L18" s="68">
        <v>-2.14</v>
      </c>
      <c r="M18" s="68">
        <v>-1.73</v>
      </c>
      <c r="N18" s="68">
        <v>-2.68</v>
      </c>
      <c r="O18" s="68">
        <v>-1.5</v>
      </c>
      <c r="P18" s="68">
        <v>-2.4</v>
      </c>
      <c r="Q18" s="19"/>
      <c r="S18" s="17"/>
      <c r="T18" s="18"/>
      <c r="U18" s="18"/>
      <c r="V18" s="19"/>
      <c r="W18" s="20"/>
      <c r="X18" s="56"/>
    </row>
    <row r="19" spans="2:25" s="49" customFormat="1" ht="16.5" customHeight="1">
      <c r="B19" s="299" t="s">
        <v>24</v>
      </c>
      <c r="C19" s="17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9"/>
      <c r="S19" s="17"/>
      <c r="T19" s="18"/>
      <c r="U19" s="18"/>
      <c r="V19" s="19"/>
      <c r="W19" s="20"/>
      <c r="X19" s="56"/>
    </row>
    <row r="20" spans="2:25" s="49" customFormat="1" ht="16.5" customHeight="1">
      <c r="B20" s="385" t="s">
        <v>32</v>
      </c>
      <c r="C20" s="378">
        <v>-26.78</v>
      </c>
      <c r="D20" s="379">
        <v>-33.840000000000003</v>
      </c>
      <c r="E20" s="379">
        <v>-56.87</v>
      </c>
      <c r="F20" s="379">
        <v>-66.73</v>
      </c>
      <c r="G20" s="379">
        <v>-86.21</v>
      </c>
      <c r="H20" s="379">
        <v>-115.56</v>
      </c>
      <c r="I20" s="379">
        <v>-96.44</v>
      </c>
      <c r="J20" s="379">
        <v>-189.32</v>
      </c>
      <c r="K20" s="379">
        <v>-134.91999999999999</v>
      </c>
      <c r="L20" s="379">
        <v>-128.16</v>
      </c>
      <c r="M20" s="379">
        <v>-128.43</v>
      </c>
      <c r="N20" s="379">
        <v>-135.62</v>
      </c>
      <c r="O20" s="379">
        <v>-122.7</v>
      </c>
      <c r="P20" s="379">
        <v>-164.6</v>
      </c>
      <c r="Q20" s="19"/>
      <c r="S20" s="17"/>
      <c r="T20" s="18"/>
      <c r="U20" s="18"/>
      <c r="V20" s="19"/>
      <c r="W20" s="20"/>
      <c r="X20" s="56"/>
    </row>
    <row r="21" spans="2:25" s="49" customFormat="1" ht="16.5" customHeight="1">
      <c r="B21" s="299" t="s">
        <v>21</v>
      </c>
      <c r="C21" s="67">
        <v>-13.22</v>
      </c>
      <c r="D21" s="68">
        <v>-15.32</v>
      </c>
      <c r="E21" s="68">
        <v>-19.91</v>
      </c>
      <c r="F21" s="68">
        <v>-28.65</v>
      </c>
      <c r="G21" s="68">
        <v>-41</v>
      </c>
      <c r="H21" s="68">
        <v>-77.69</v>
      </c>
      <c r="I21" s="68">
        <v>-65.25</v>
      </c>
      <c r="J21" s="68">
        <v>-104.06</v>
      </c>
      <c r="K21" s="68">
        <v>-88.83</v>
      </c>
      <c r="L21" s="68">
        <v>-84.17</v>
      </c>
      <c r="M21" s="68">
        <v>-64.94</v>
      </c>
      <c r="N21" s="68">
        <v>-70.92</v>
      </c>
      <c r="O21" s="68">
        <v>-68.400000000000006</v>
      </c>
      <c r="P21" s="18">
        <v>-101.15</v>
      </c>
      <c r="Q21" s="19"/>
      <c r="S21" s="17"/>
      <c r="T21" s="18"/>
      <c r="U21" s="18"/>
      <c r="V21" s="19"/>
      <c r="W21" s="20"/>
      <c r="X21" s="56"/>
    </row>
    <row r="22" spans="2:25" s="49" customFormat="1" ht="16.5" customHeight="1">
      <c r="B22" s="299" t="s">
        <v>22</v>
      </c>
      <c r="C22" s="67">
        <v>-14.03</v>
      </c>
      <c r="D22" s="68">
        <v>-17.93</v>
      </c>
      <c r="E22" s="68">
        <v>-22.3</v>
      </c>
      <c r="F22" s="68">
        <v>-34.840000000000003</v>
      </c>
      <c r="G22" s="68">
        <v>-39.520000000000003</v>
      </c>
      <c r="H22" s="68">
        <v>-36.64</v>
      </c>
      <c r="I22" s="68">
        <v>-26.77</v>
      </c>
      <c r="J22" s="68">
        <v>-78.959999999999994</v>
      </c>
      <c r="K22" s="68">
        <v>-43.51</v>
      </c>
      <c r="L22" s="68">
        <v>-41.31</v>
      </c>
      <c r="M22" s="68">
        <v>-58.41</v>
      </c>
      <c r="N22" s="68">
        <v>-56.69</v>
      </c>
      <c r="O22" s="68">
        <v>-50.11</v>
      </c>
      <c r="P22" s="68">
        <v>-54.18</v>
      </c>
      <c r="Q22" s="19"/>
      <c r="S22" s="17"/>
      <c r="T22" s="18"/>
      <c r="U22" s="18"/>
      <c r="V22" s="19"/>
      <c r="W22" s="20"/>
      <c r="X22" s="56"/>
    </row>
    <row r="23" spans="2:25" s="49" customFormat="1" ht="16.5" customHeight="1">
      <c r="B23" s="299" t="s">
        <v>23</v>
      </c>
      <c r="C23" s="17"/>
      <c r="D23" s="68">
        <v>-0.32</v>
      </c>
      <c r="E23" s="68">
        <v>-0.82</v>
      </c>
      <c r="F23" s="68">
        <v>-0.12</v>
      </c>
      <c r="G23" s="68">
        <v>-0.8</v>
      </c>
      <c r="H23" s="68">
        <v>-0.87</v>
      </c>
      <c r="I23" s="68">
        <v>-2.41</v>
      </c>
      <c r="J23" s="68">
        <v>-2.59</v>
      </c>
      <c r="K23" s="68">
        <v>-1.44</v>
      </c>
      <c r="L23" s="68">
        <v>-1.72</v>
      </c>
      <c r="M23" s="68">
        <v>-4.57</v>
      </c>
      <c r="N23" s="68">
        <v>-5.48</v>
      </c>
      <c r="O23" s="68">
        <v>-3.26</v>
      </c>
      <c r="P23" s="68">
        <v>-4.25</v>
      </c>
      <c r="Q23" s="19"/>
      <c r="S23" s="17"/>
      <c r="T23" s="18"/>
      <c r="U23" s="18"/>
      <c r="V23" s="19"/>
      <c r="W23" s="20"/>
      <c r="X23" s="56"/>
    </row>
    <row r="24" spans="2:25" s="49" customFormat="1" ht="16.5" customHeight="1">
      <c r="B24" s="299" t="s">
        <v>24</v>
      </c>
      <c r="C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9"/>
      <c r="S24" s="17"/>
      <c r="T24" s="18"/>
      <c r="U24" s="18"/>
      <c r="V24" s="19"/>
      <c r="W24" s="20"/>
      <c r="X24" s="56"/>
    </row>
    <row r="25" spans="2:25" s="49" customFormat="1" ht="16.5" customHeight="1">
      <c r="B25" s="385" t="s">
        <v>33</v>
      </c>
      <c r="C25" s="378">
        <v>0</v>
      </c>
      <c r="D25" s="379">
        <v>0</v>
      </c>
      <c r="E25" s="379">
        <v>0</v>
      </c>
      <c r="F25" s="379">
        <v>0</v>
      </c>
      <c r="G25" s="379">
        <v>0</v>
      </c>
      <c r="H25" s="379">
        <v>0</v>
      </c>
      <c r="I25" s="379">
        <v>0</v>
      </c>
      <c r="J25" s="379">
        <v>0</v>
      </c>
      <c r="K25" s="379">
        <v>0</v>
      </c>
      <c r="L25" s="379">
        <v>0</v>
      </c>
      <c r="M25" s="379">
        <v>0</v>
      </c>
      <c r="N25" s="379">
        <v>0</v>
      </c>
      <c r="O25" s="379">
        <v>-6.15</v>
      </c>
      <c r="P25" s="379">
        <v>41.18</v>
      </c>
      <c r="Q25" s="19"/>
      <c r="S25" s="17"/>
      <c r="T25" s="18"/>
      <c r="U25" s="18"/>
      <c r="V25" s="19"/>
      <c r="W25" s="20"/>
      <c r="X25" s="56"/>
    </row>
    <row r="26" spans="2:25" s="56" customFormat="1" ht="16.5" customHeight="1">
      <c r="B26" s="386" t="s">
        <v>96</v>
      </c>
      <c r="C26" s="388">
        <v>-171.83</v>
      </c>
      <c r="D26" s="389">
        <v>-224.69</v>
      </c>
      <c r="E26" s="389">
        <v>-307.92</v>
      </c>
      <c r="F26" s="389">
        <v>-352.63</v>
      </c>
      <c r="G26" s="389">
        <v>-410.68</v>
      </c>
      <c r="H26" s="389">
        <v>-437.2</v>
      </c>
      <c r="I26" s="389">
        <v>-419.18</v>
      </c>
      <c r="J26" s="389">
        <v>-566.30999999999995</v>
      </c>
      <c r="K26" s="389">
        <v>-533.55999999999995</v>
      </c>
      <c r="L26" s="389">
        <v>-555.80999999999995</v>
      </c>
      <c r="M26" s="389">
        <v>-588.73</v>
      </c>
      <c r="N26" s="389">
        <v>-575.35</v>
      </c>
      <c r="O26" s="389">
        <v>-568.29</v>
      </c>
      <c r="P26" s="389">
        <v>-674.54</v>
      </c>
      <c r="Q26" s="23"/>
      <c r="R26" s="49"/>
      <c r="S26" s="17"/>
      <c r="T26" s="18"/>
      <c r="U26" s="18"/>
      <c r="V26" s="19"/>
      <c r="W26" s="20"/>
      <c r="Y26" s="49"/>
    </row>
    <row r="27" spans="2:25" s="56" customFormat="1" ht="16.5" customHeight="1">
      <c r="B27" s="299" t="s">
        <v>21</v>
      </c>
      <c r="C27" s="379">
        <f>C21+C16+C11</f>
        <v>-87.69</v>
      </c>
      <c r="D27" s="379">
        <f t="shared" ref="D27:P27" si="0">D21+D16+D11</f>
        <v>-97.87</v>
      </c>
      <c r="E27" s="379">
        <f t="shared" si="0"/>
        <v>-127.44999999999999</v>
      </c>
      <c r="F27" s="379">
        <f t="shared" si="0"/>
        <v>-158.13999999999999</v>
      </c>
      <c r="G27" s="379">
        <f t="shared" si="0"/>
        <v>-190.64</v>
      </c>
      <c r="H27" s="379">
        <f t="shared" si="0"/>
        <v>-241.32</v>
      </c>
      <c r="I27" s="379">
        <f t="shared" si="0"/>
        <v>-229.01</v>
      </c>
      <c r="J27" s="379">
        <f t="shared" si="0"/>
        <v>-281.62</v>
      </c>
      <c r="K27" s="379">
        <f t="shared" si="0"/>
        <v>-281.14999999999998</v>
      </c>
      <c r="L27" s="379">
        <f t="shared" si="0"/>
        <v>-280.48</v>
      </c>
      <c r="M27" s="379">
        <f t="shared" si="0"/>
        <v>-267.63</v>
      </c>
      <c r="N27" s="379">
        <f t="shared" si="0"/>
        <v>-257.69</v>
      </c>
      <c r="O27" s="379">
        <f t="shared" si="0"/>
        <v>-258.73</v>
      </c>
      <c r="P27" s="379">
        <f t="shared" si="0"/>
        <v>-335.35</v>
      </c>
      <c r="Q27" s="23"/>
      <c r="R27" s="49"/>
      <c r="S27" s="17"/>
      <c r="T27" s="18"/>
      <c r="U27" s="18"/>
      <c r="V27" s="19"/>
      <c r="W27" s="20"/>
      <c r="Y27" s="49"/>
    </row>
    <row r="28" spans="2:25" s="56" customFormat="1" ht="16.5" customHeight="1">
      <c r="B28" s="448" t="s">
        <v>117</v>
      </c>
      <c r="C28" s="455">
        <f>(C5+C27)/C5</f>
        <v>0.77450627442912978</v>
      </c>
      <c r="D28" s="455">
        <f t="shared" ref="D28:P28" si="1">(D5+D27)/D5</f>
        <v>0.77572813309195898</v>
      </c>
      <c r="E28" s="455">
        <f t="shared" si="1"/>
        <v>0.77331341266029918</v>
      </c>
      <c r="F28" s="455">
        <f t="shared" si="1"/>
        <v>0.75090571149544783</v>
      </c>
      <c r="G28" s="455">
        <f t="shared" si="1"/>
        <v>0.75481647246443917</v>
      </c>
      <c r="H28" s="455">
        <f t="shared" si="1"/>
        <v>0.70567501311119507</v>
      </c>
      <c r="I28" s="455">
        <f t="shared" si="1"/>
        <v>0.69339831041730815</v>
      </c>
      <c r="J28" s="455">
        <f t="shared" si="1"/>
        <v>0.66134753905169619</v>
      </c>
      <c r="K28" s="455">
        <f t="shared" si="1"/>
        <v>0.69206251848282063</v>
      </c>
      <c r="L28" s="455">
        <f t="shared" si="1"/>
        <v>0.70263565233985703</v>
      </c>
      <c r="M28" s="455">
        <f t="shared" si="1"/>
        <v>0.69956893648548535</v>
      </c>
      <c r="N28" s="455">
        <f t="shared" si="1"/>
        <v>0.72136500762302269</v>
      </c>
      <c r="O28" s="455">
        <f t="shared" si="1"/>
        <v>0.68609870911385029</v>
      </c>
      <c r="P28" s="455">
        <f t="shared" si="1"/>
        <v>0.63794480912074625</v>
      </c>
      <c r="Q28" s="458">
        <f>AVERAGE(D28:P28)</f>
        <v>0.71191232503524049</v>
      </c>
      <c r="R28" s="49"/>
      <c r="S28" s="460">
        <f>$Q$28</f>
        <v>0.71191232503524049</v>
      </c>
      <c r="T28" s="460">
        <f>$Q$28</f>
        <v>0.71191232503524049</v>
      </c>
      <c r="U28" s="460">
        <f>$Q$28</f>
        <v>0.71191232503524049</v>
      </c>
      <c r="V28" s="460">
        <f>$Q$28</f>
        <v>0.71191232503524049</v>
      </c>
      <c r="W28" s="460">
        <f>$Q$28</f>
        <v>0.71191232503524049</v>
      </c>
      <c r="Y28" s="49"/>
    </row>
    <row r="29" spans="2:25" s="56" customFormat="1" ht="16.5" customHeight="1">
      <c r="B29" s="448" t="s">
        <v>111</v>
      </c>
      <c r="C29" s="455"/>
      <c r="D29" s="456">
        <f>D28/C28-1</f>
        <v>1.5775968551445807E-3</v>
      </c>
      <c r="E29" s="456">
        <f t="shared" ref="E29:P29" si="2">E28/D28-1</f>
        <v>-3.1128436995510045E-3</v>
      </c>
      <c r="F29" s="456">
        <f t="shared" si="2"/>
        <v>-2.8976222056935397E-2</v>
      </c>
      <c r="G29" s="456">
        <f t="shared" si="2"/>
        <v>5.2080586272316154E-3</v>
      </c>
      <c r="H29" s="456">
        <f t="shared" si="2"/>
        <v>-6.5103851261750556E-2</v>
      </c>
      <c r="I29" s="456">
        <f t="shared" si="2"/>
        <v>-1.7397105559627368E-2</v>
      </c>
      <c r="J29" s="456">
        <f t="shared" si="2"/>
        <v>-4.6222742230685343E-2</v>
      </c>
      <c r="K29" s="456">
        <f t="shared" si="2"/>
        <v>4.6443023701526975E-2</v>
      </c>
      <c r="L29" s="456">
        <f t="shared" si="2"/>
        <v>1.5277714909652129E-2</v>
      </c>
      <c r="M29" s="456">
        <f t="shared" si="2"/>
        <v>-4.3645890215777694E-3</v>
      </c>
      <c r="N29" s="456">
        <f t="shared" si="2"/>
        <v>3.115643076869179E-2</v>
      </c>
      <c r="O29" s="456">
        <f t="shared" si="2"/>
        <v>-4.8888285592586178E-2</v>
      </c>
      <c r="P29" s="456">
        <f t="shared" si="2"/>
        <v>-7.0185090502937308E-2</v>
      </c>
      <c r="Q29" s="458">
        <f>AVERAGE(D29:P29)</f>
        <v>-1.4199069620261833E-2</v>
      </c>
      <c r="R29" s="49"/>
      <c r="S29" s="17"/>
      <c r="T29" s="18"/>
      <c r="U29" s="18"/>
      <c r="V29" s="19"/>
      <c r="W29" s="20"/>
      <c r="Y29" s="49"/>
    </row>
    <row r="30" spans="2:25" s="56" customFormat="1" ht="16.5" customHeight="1">
      <c r="B30" s="299" t="s">
        <v>22</v>
      </c>
      <c r="C30" s="379">
        <f t="shared" ref="C30:P30" si="3">C22+C17+C12</f>
        <v>-77.44</v>
      </c>
      <c r="D30" s="379">
        <f t="shared" si="3"/>
        <v>-104.34</v>
      </c>
      <c r="E30" s="379">
        <f t="shared" si="3"/>
        <v>-139.66</v>
      </c>
      <c r="F30" s="379">
        <f t="shared" si="3"/>
        <v>-162.04000000000002</v>
      </c>
      <c r="G30" s="379">
        <f t="shared" si="3"/>
        <v>-185</v>
      </c>
      <c r="H30" s="379">
        <f t="shared" si="3"/>
        <v>-173.42000000000002</v>
      </c>
      <c r="I30" s="379">
        <f t="shared" si="3"/>
        <v>-163.35000000000002</v>
      </c>
      <c r="J30" s="379">
        <f t="shared" si="3"/>
        <v>-253.38</v>
      </c>
      <c r="K30" s="379">
        <f t="shared" si="3"/>
        <v>-226.87</v>
      </c>
      <c r="L30" s="379">
        <f t="shared" si="3"/>
        <v>-247.32</v>
      </c>
      <c r="M30" s="379">
        <f t="shared" si="3"/>
        <v>-277</v>
      </c>
      <c r="N30" s="379">
        <f t="shared" si="3"/>
        <v>-268.23</v>
      </c>
      <c r="O30" s="379">
        <f t="shared" si="3"/>
        <v>-289.53000000000003</v>
      </c>
      <c r="P30" s="379">
        <f t="shared" si="3"/>
        <v>-300.32</v>
      </c>
      <c r="Q30" s="23"/>
      <c r="R30" s="49"/>
      <c r="S30" s="17"/>
      <c r="T30" s="18"/>
      <c r="U30" s="18"/>
      <c r="V30" s="19"/>
      <c r="W30" s="20"/>
      <c r="Y30" s="49"/>
    </row>
    <row r="31" spans="2:25" s="56" customFormat="1" ht="16.5" customHeight="1">
      <c r="B31" s="448" t="s">
        <v>117</v>
      </c>
      <c r="C31" s="455">
        <f>1+C30/C6</f>
        <v>0.41248767164858513</v>
      </c>
      <c r="D31" s="455">
        <f t="shared" ref="D31:P31" si="4">1+D30/D6</f>
        <v>0.49015392132909841</v>
      </c>
      <c r="E31" s="455">
        <f t="shared" si="4"/>
        <v>0.49488227422329922</v>
      </c>
      <c r="F31" s="455">
        <f t="shared" si="4"/>
        <v>0.47106251020075074</v>
      </c>
      <c r="G31" s="455">
        <f t="shared" si="4"/>
        <v>0.47960618846694791</v>
      </c>
      <c r="H31" s="455">
        <f t="shared" si="4"/>
        <v>0.50136576669829491</v>
      </c>
      <c r="I31" s="455">
        <f t="shared" si="4"/>
        <v>0.57241577886553396</v>
      </c>
      <c r="J31" s="455">
        <f t="shared" si="4"/>
        <v>0.49142948898077154</v>
      </c>
      <c r="K31" s="455">
        <f t="shared" si="4"/>
        <v>0.55308880308880304</v>
      </c>
      <c r="L31" s="455">
        <f t="shared" si="4"/>
        <v>0.58657350138744946</v>
      </c>
      <c r="M31" s="455">
        <f t="shared" si="4"/>
        <v>0.52062854769486366</v>
      </c>
      <c r="N31" s="455">
        <f t="shared" si="4"/>
        <v>0.58786472657990574</v>
      </c>
      <c r="O31" s="455">
        <f t="shared" si="4"/>
        <v>0.56747187738089899</v>
      </c>
      <c r="P31" s="455">
        <f t="shared" si="4"/>
        <v>0.48612299373738066</v>
      </c>
      <c r="Q31" s="458">
        <f>AVERAGE(D31:P31)</f>
        <v>0.52328202912569222</v>
      </c>
      <c r="R31" s="49"/>
      <c r="S31" s="460">
        <f>Q31*(1+$Q$32)</f>
        <v>0.53287129028410007</v>
      </c>
      <c r="T31" s="460">
        <f>S31*(1+$Q$32)</f>
        <v>0.54263627681514826</v>
      </c>
      <c r="U31" s="460">
        <f>T31*(1+$Q$32)</f>
        <v>0.55258020892590809</v>
      </c>
      <c r="V31" s="460">
        <f>U31*(1+$Q$32)</f>
        <v>0.56270636583447131</v>
      </c>
      <c r="W31" s="460">
        <f>V31*(1+$Q$32)</f>
        <v>0.57301808685134037</v>
      </c>
      <c r="Y31" s="49"/>
    </row>
    <row r="32" spans="2:25" s="56" customFormat="1" ht="16.5" customHeight="1">
      <c r="B32" s="448" t="s">
        <v>111</v>
      </c>
      <c r="C32" s="455"/>
      <c r="D32" s="456">
        <f t="shared" ref="D32:P32" si="5">D31/C31-1</f>
        <v>0.18828744473769454</v>
      </c>
      <c r="E32" s="456">
        <f t="shared" si="5"/>
        <v>9.6466695224624033E-3</v>
      </c>
      <c r="F32" s="456">
        <f t="shared" si="5"/>
        <v>-4.8132182668964685E-2</v>
      </c>
      <c r="G32" s="456">
        <f t="shared" si="5"/>
        <v>1.8137037189726923E-2</v>
      </c>
      <c r="H32" s="456">
        <f t="shared" si="5"/>
        <v>4.5369677778556383E-2</v>
      </c>
      <c r="I32" s="456">
        <f t="shared" si="5"/>
        <v>0.14171293073145641</v>
      </c>
      <c r="J32" s="456">
        <f t="shared" si="5"/>
        <v>-0.1414815818761469</v>
      </c>
      <c r="K32" s="456">
        <f t="shared" si="5"/>
        <v>0.12546930025691649</v>
      </c>
      <c r="L32" s="456">
        <f t="shared" si="5"/>
        <v>6.0541269524254204E-2</v>
      </c>
      <c r="M32" s="456">
        <f t="shared" si="5"/>
        <v>-0.11242402450264655</v>
      </c>
      <c r="N32" s="456">
        <f t="shared" si="5"/>
        <v>0.12914424148029746</v>
      </c>
      <c r="O32" s="456">
        <f t="shared" si="5"/>
        <v>-3.4689696926789249E-2</v>
      </c>
      <c r="P32" s="456">
        <f t="shared" si="5"/>
        <v>-0.14335315437828344</v>
      </c>
      <c r="Q32" s="458">
        <f>AVERAGE(D32:P32)</f>
        <v>1.8325225451425693E-2</v>
      </c>
      <c r="R32" s="49"/>
      <c r="T32" s="18"/>
      <c r="U32" s="18"/>
      <c r="V32" s="19"/>
      <c r="W32" s="20"/>
      <c r="Y32" s="49"/>
    </row>
    <row r="33" spans="2:25" s="56" customFormat="1" ht="16.5" customHeight="1">
      <c r="B33" s="299" t="s">
        <v>23</v>
      </c>
      <c r="C33" s="379">
        <f t="shared" ref="C33:P33" si="6">C23+C18+C13</f>
        <v>0</v>
      </c>
      <c r="D33" s="379">
        <f t="shared" si="6"/>
        <v>-0.98</v>
      </c>
      <c r="E33" s="379">
        <f t="shared" si="6"/>
        <v>-3.67</v>
      </c>
      <c r="F33" s="379">
        <f t="shared" si="6"/>
        <v>-6.3599999999999994</v>
      </c>
      <c r="G33" s="379">
        <f t="shared" si="6"/>
        <v>-8.1999999999999993</v>
      </c>
      <c r="H33" s="379">
        <f t="shared" si="6"/>
        <v>-9.84</v>
      </c>
      <c r="I33" s="379">
        <f t="shared" si="6"/>
        <v>-9.86</v>
      </c>
      <c r="J33" s="379">
        <f t="shared" si="6"/>
        <v>-9.7100000000000009</v>
      </c>
      <c r="K33" s="379">
        <f t="shared" si="6"/>
        <v>-10.85</v>
      </c>
      <c r="L33" s="379">
        <f t="shared" si="6"/>
        <v>-13.05</v>
      </c>
      <c r="M33" s="379">
        <f t="shared" si="6"/>
        <v>-19.240000000000002</v>
      </c>
      <c r="N33" s="379">
        <f t="shared" si="6"/>
        <v>-23.5</v>
      </c>
      <c r="O33" s="379">
        <f t="shared" si="6"/>
        <v>-13.84</v>
      </c>
      <c r="P33" s="379">
        <f t="shared" si="6"/>
        <v>-19.52</v>
      </c>
      <c r="Q33" s="459"/>
      <c r="R33" s="49"/>
      <c r="S33" s="17"/>
      <c r="T33" s="18"/>
      <c r="U33" s="18"/>
      <c r="V33" s="19"/>
      <c r="W33" s="20"/>
      <c r="Y33" s="49"/>
    </row>
    <row r="34" spans="2:25" s="56" customFormat="1" ht="16.5" customHeight="1">
      <c r="B34" s="448" t="s">
        <v>117</v>
      </c>
      <c r="C34" s="379"/>
      <c r="D34" s="455">
        <f>1+D33/D7</f>
        <v>0.5565610859728507</v>
      </c>
      <c r="E34" s="455">
        <f t="shared" ref="E34:P34" si="7">1+E33/E7</f>
        <v>-0.13622291021671828</v>
      </c>
      <c r="F34" s="455">
        <f t="shared" si="7"/>
        <v>0.67317574511819123</v>
      </c>
      <c r="G34" s="455">
        <f t="shared" si="7"/>
        <v>0.66868686868686877</v>
      </c>
      <c r="H34" s="455">
        <f t="shared" si="7"/>
        <v>0.59489501852614246</v>
      </c>
      <c r="I34" s="455">
        <f t="shared" si="7"/>
        <v>0.60779634049323783</v>
      </c>
      <c r="J34" s="455">
        <f t="shared" si="7"/>
        <v>0.54583723105706261</v>
      </c>
      <c r="K34" s="455">
        <f t="shared" si="7"/>
        <v>0.68440954043048285</v>
      </c>
      <c r="L34" s="455">
        <f t="shared" si="7"/>
        <v>0.79223053653876774</v>
      </c>
      <c r="M34" s="455">
        <f t="shared" si="7"/>
        <v>0.61496898138883327</v>
      </c>
      <c r="N34" s="455">
        <f t="shared" si="7"/>
        <v>0.68320301968185504</v>
      </c>
      <c r="O34" s="455">
        <f t="shared" si="7"/>
        <v>0.62082191780821916</v>
      </c>
      <c r="P34" s="455">
        <f t="shared" si="7"/>
        <v>0.71115714708493638</v>
      </c>
      <c r="Q34" s="458">
        <f>AVERAGE(D34:P34)</f>
        <v>0.58596311712082538</v>
      </c>
      <c r="R34" s="49"/>
      <c r="S34" s="460">
        <f>$Q$34</f>
        <v>0.58596311712082538</v>
      </c>
      <c r="T34" s="460">
        <f>$Q$34</f>
        <v>0.58596311712082538</v>
      </c>
      <c r="U34" s="460">
        <f>$Q$34</f>
        <v>0.58596311712082538</v>
      </c>
      <c r="V34" s="460">
        <f>$Q$34</f>
        <v>0.58596311712082538</v>
      </c>
      <c r="W34" s="460">
        <f>$Q$34</f>
        <v>0.58596311712082538</v>
      </c>
      <c r="Y34" s="49"/>
    </row>
    <row r="35" spans="2:25" s="56" customFormat="1" ht="16.5" customHeight="1">
      <c r="B35" s="448" t="s">
        <v>111</v>
      </c>
      <c r="C35" s="379"/>
      <c r="D35" s="456"/>
      <c r="E35" s="456">
        <f>1-E34/D34</f>
        <v>1.2447582370560548</v>
      </c>
      <c r="F35" s="456">
        <f>1-F34/E34</f>
        <v>5.9417219471176308</v>
      </c>
      <c r="G35" s="456">
        <f t="shared" ref="G35:P35" si="8">1-G34/F34</f>
        <v>6.6682088056133626E-3</v>
      </c>
      <c r="H35" s="456">
        <f t="shared" si="8"/>
        <v>0.11035337108628251</v>
      </c>
      <c r="I35" s="456">
        <f t="shared" si="8"/>
        <v>-2.1686720455414976E-2</v>
      </c>
      <c r="J35" s="456">
        <f t="shared" si="8"/>
        <v>0.10194057665087997</v>
      </c>
      <c r="K35" s="456">
        <f t="shared" si="8"/>
        <v>-0.25387112034307835</v>
      </c>
      <c r="L35" s="456">
        <f t="shared" si="8"/>
        <v>-0.1575387099958705</v>
      </c>
      <c r="M35" s="456">
        <f t="shared" si="8"/>
        <v>0.2237499654133317</v>
      </c>
      <c r="N35" s="456">
        <f t="shared" si="8"/>
        <v>-0.11095525198510559</v>
      </c>
      <c r="O35" s="456">
        <f t="shared" si="8"/>
        <v>9.1306829853715632E-2</v>
      </c>
      <c r="P35" s="456">
        <f t="shared" si="8"/>
        <v>-0.14550908511033445</v>
      </c>
      <c r="Q35" s="458">
        <f>AVERAGE(D35:P35)</f>
        <v>0.58591152067447527</v>
      </c>
      <c r="R35" s="49"/>
      <c r="S35" s="17"/>
      <c r="T35" s="18"/>
      <c r="U35" s="18"/>
      <c r="V35" s="19"/>
      <c r="W35" s="20"/>
      <c r="Y35" s="49"/>
    </row>
    <row r="36" spans="2:25" s="56" customFormat="1" ht="16.5" customHeight="1">
      <c r="B36" s="299" t="s">
        <v>24</v>
      </c>
      <c r="C36" s="379">
        <f t="shared" ref="C36:P36" si="9">C24+C19+C14</f>
        <v>0</v>
      </c>
      <c r="D36" s="379">
        <f t="shared" si="9"/>
        <v>0</v>
      </c>
      <c r="E36" s="379">
        <f t="shared" si="9"/>
        <v>0</v>
      </c>
      <c r="F36" s="379">
        <f t="shared" si="9"/>
        <v>0</v>
      </c>
      <c r="G36" s="379">
        <f t="shared" si="9"/>
        <v>0</v>
      </c>
      <c r="H36" s="379">
        <f t="shared" si="9"/>
        <v>0</v>
      </c>
      <c r="I36" s="379">
        <f t="shared" si="9"/>
        <v>0</v>
      </c>
      <c r="J36" s="379">
        <f t="shared" si="9"/>
        <v>0</v>
      </c>
      <c r="K36" s="379">
        <f t="shared" si="9"/>
        <v>0</v>
      </c>
      <c r="L36" s="379">
        <f t="shared" si="9"/>
        <v>0</v>
      </c>
      <c r="M36" s="379">
        <f t="shared" si="9"/>
        <v>0</v>
      </c>
      <c r="N36" s="379">
        <f t="shared" si="9"/>
        <v>0</v>
      </c>
      <c r="O36" s="379">
        <f t="shared" si="9"/>
        <v>0</v>
      </c>
      <c r="P36" s="379">
        <f t="shared" si="9"/>
        <v>0</v>
      </c>
      <c r="Q36" s="23"/>
      <c r="R36" s="49"/>
      <c r="S36" s="17"/>
      <c r="T36" s="18"/>
      <c r="U36" s="18"/>
      <c r="V36" s="19"/>
      <c r="W36" s="20"/>
      <c r="Y36" s="49"/>
    </row>
    <row r="37" spans="2:25" s="56" customFormat="1" ht="16.5" customHeight="1">
      <c r="B37" s="448" t="s">
        <v>117</v>
      </c>
      <c r="C37" s="379"/>
      <c r="D37" s="379"/>
      <c r="E37" s="379"/>
      <c r="F37" s="379"/>
      <c r="G37" s="379"/>
      <c r="H37" s="379"/>
      <c r="I37" s="379"/>
      <c r="J37" s="379"/>
      <c r="K37" s="379"/>
      <c r="L37" s="379"/>
      <c r="M37" s="379"/>
      <c r="N37" s="379"/>
      <c r="O37" s="379"/>
      <c r="P37" s="379"/>
      <c r="Q37" s="23"/>
      <c r="R37" s="49"/>
      <c r="S37" s="460">
        <f>D34</f>
        <v>0.5565610859728507</v>
      </c>
      <c r="T37" s="460">
        <f>E34</f>
        <v>-0.13622291021671828</v>
      </c>
      <c r="U37" s="460">
        <f>F34</f>
        <v>0.67317574511819123</v>
      </c>
      <c r="V37" s="460">
        <f>G34</f>
        <v>0.66868686868686877</v>
      </c>
      <c r="W37" s="460">
        <f>H34</f>
        <v>0.59489501852614246</v>
      </c>
      <c r="Y37" s="49"/>
    </row>
    <row r="38" spans="2:25" s="56" customFormat="1" ht="16.5" customHeight="1">
      <c r="B38" s="328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79"/>
      <c r="O38" s="379"/>
      <c r="P38" s="379"/>
      <c r="Q38" s="23"/>
      <c r="R38" s="49"/>
      <c r="S38" s="17"/>
      <c r="T38" s="18"/>
      <c r="U38" s="18"/>
      <c r="V38" s="19"/>
      <c r="W38" s="20"/>
      <c r="Y38" s="49"/>
    </row>
    <row r="39" spans="2:25" s="56" customFormat="1" ht="16.5" customHeight="1">
      <c r="B39" s="328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79"/>
      <c r="O39" s="379"/>
      <c r="P39" s="379"/>
      <c r="Q39" s="23"/>
      <c r="R39" s="49"/>
      <c r="S39" s="17"/>
      <c r="T39" s="18"/>
      <c r="U39" s="18"/>
      <c r="V39" s="19"/>
      <c r="W39" s="20"/>
      <c r="Y39" s="49"/>
    </row>
    <row r="40" spans="2:25" s="56" customFormat="1" ht="16.5" customHeight="1">
      <c r="B40" s="328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79"/>
      <c r="P40" s="379"/>
      <c r="Q40" s="23"/>
      <c r="R40" s="49"/>
      <c r="S40" s="17"/>
      <c r="T40" s="18"/>
      <c r="U40" s="18"/>
      <c r="V40" s="19"/>
      <c r="W40" s="20"/>
      <c r="Y40" s="49"/>
    </row>
    <row r="41" spans="2:25" s="56" customFormat="1" ht="16.5" customHeight="1">
      <c r="B41" s="328"/>
      <c r="C41" s="379"/>
      <c r="D41" s="379"/>
      <c r="E41" s="379"/>
      <c r="F41" s="379"/>
      <c r="G41" s="379"/>
      <c r="H41" s="379"/>
      <c r="I41" s="379"/>
      <c r="J41" s="379"/>
      <c r="K41" s="379"/>
      <c r="L41" s="379"/>
      <c r="M41" s="379"/>
      <c r="N41" s="379"/>
      <c r="O41" s="379"/>
      <c r="P41" s="379"/>
      <c r="Q41" s="23"/>
      <c r="R41" s="49"/>
      <c r="S41" s="17"/>
      <c r="T41" s="18"/>
      <c r="U41" s="18"/>
      <c r="V41" s="19"/>
      <c r="W41" s="20"/>
      <c r="Y41" s="49"/>
    </row>
    <row r="42" spans="2:25" s="56" customFormat="1" ht="16.5" customHeight="1">
      <c r="B42" s="328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79"/>
      <c r="O42" s="379"/>
      <c r="P42" s="379"/>
      <c r="Q42" s="23"/>
      <c r="R42" s="49"/>
      <c r="S42" s="17"/>
      <c r="T42" s="18"/>
      <c r="U42" s="18"/>
      <c r="V42" s="19"/>
      <c r="W42" s="20"/>
      <c r="Y42" s="49"/>
    </row>
    <row r="43" spans="2:25" s="56" customFormat="1" ht="16.5" customHeight="1">
      <c r="B43" s="328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79"/>
      <c r="O43" s="379"/>
      <c r="P43" s="379"/>
      <c r="Q43" s="23"/>
      <c r="R43" s="49"/>
      <c r="S43" s="17"/>
      <c r="T43" s="18"/>
      <c r="U43" s="18"/>
      <c r="V43" s="19"/>
      <c r="W43" s="20"/>
      <c r="Y43" s="49"/>
    </row>
    <row r="44" spans="2:25" s="56" customFormat="1" ht="16.5" customHeight="1">
      <c r="B44" s="328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79"/>
      <c r="P44" s="379"/>
      <c r="Q44" s="23"/>
      <c r="R44" s="49"/>
      <c r="S44" s="17"/>
      <c r="T44" s="18"/>
      <c r="U44" s="18"/>
      <c r="V44" s="19"/>
      <c r="W44" s="20"/>
      <c r="Y44" s="49"/>
    </row>
    <row r="45" spans="2:25" s="56" customFormat="1" ht="16.5" customHeight="1">
      <c r="B45" s="328"/>
      <c r="C45" s="379"/>
      <c r="D45" s="379"/>
      <c r="E45" s="379"/>
      <c r="F45" s="379"/>
      <c r="G45" s="379"/>
      <c r="H45" s="379"/>
      <c r="I45" s="379"/>
      <c r="J45" s="379"/>
      <c r="K45" s="379"/>
      <c r="L45" s="379"/>
      <c r="M45" s="379"/>
      <c r="N45" s="379"/>
      <c r="O45" s="379"/>
      <c r="P45" s="379"/>
      <c r="Q45" s="23"/>
      <c r="R45" s="49"/>
      <c r="S45" s="17"/>
      <c r="T45" s="18"/>
      <c r="U45" s="18"/>
      <c r="V45" s="19"/>
      <c r="W45" s="20"/>
      <c r="Y45" s="49"/>
    </row>
    <row r="46" spans="2:25" s="56" customFormat="1" ht="16.5" customHeight="1">
      <c r="B46" s="377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23"/>
      <c r="R46" s="49"/>
      <c r="S46" s="17"/>
      <c r="T46" s="18"/>
      <c r="U46" s="18"/>
      <c r="V46" s="23"/>
      <c r="W46" s="20"/>
      <c r="Y46" s="49"/>
    </row>
    <row r="48" spans="2:25" ht="16.5" customHeight="1">
      <c r="W48" s="111"/>
    </row>
    <row r="50" spans="3:23" ht="16.5" customHeight="1"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</row>
    <row r="51" spans="3:23" ht="16.5" customHeight="1"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</row>
    <row r="52" spans="3:23" ht="16.5" customHeight="1"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</row>
    <row r="53" spans="3:23" ht="16.5" customHeight="1"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</row>
    <row r="54" spans="3:23" ht="16.5" customHeight="1"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</row>
    <row r="55" spans="3:23" ht="16.5" customHeight="1"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S55" s="115"/>
      <c r="T55" s="115"/>
      <c r="U55" s="115"/>
      <c r="V55" s="115"/>
      <c r="W55" s="115"/>
    </row>
    <row r="56" spans="3:23" ht="16.5" customHeight="1"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S56" s="115"/>
      <c r="T56" s="115"/>
      <c r="U56" s="115"/>
      <c r="V56" s="115"/>
      <c r="W56" s="115"/>
    </row>
  </sheetData>
  <pageMargins left="0.59055118110236227" right="0.59055118110236227" top="0.78740157480314965" bottom="0" header="0.39370078740157483" footer="0.39370078740157483"/>
  <pageSetup paperSize="9" scale="50" orientation="landscape" r:id="rId1"/>
  <headerFooter>
    <oddHeader>&amp;C&amp;"Calibri,Regular"&amp;16&amp;A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8"/>
    <pageSetUpPr fitToPage="1"/>
  </sheetPr>
  <dimension ref="A1:AE33"/>
  <sheetViews>
    <sheetView showGridLines="0" view="pageBreakPreview" zoomScale="55" zoomScaleNormal="70" zoomScaleSheetLayoutView="55" zoomScalePageLayoutView="85" workbookViewId="0">
      <selection activeCell="R17" sqref="R17"/>
    </sheetView>
  </sheetViews>
  <sheetFormatPr defaultColWidth="9.1796875" defaultRowHeight="16.5" customHeight="1"/>
  <cols>
    <col min="1" max="1" width="3.1796875" style="25" customWidth="1"/>
    <col min="2" max="2" width="58.54296875" style="25" customWidth="1"/>
    <col min="3" max="21" width="10.54296875" style="25" customWidth="1"/>
    <col min="22" max="22" width="3.1796875" style="25" customWidth="1"/>
    <col min="23" max="30" width="10.54296875" style="25" customWidth="1"/>
    <col min="31" max="16384" width="9.1796875" style="25"/>
  </cols>
  <sheetData>
    <row r="1" spans="2:25" ht="15.75" customHeight="1"/>
    <row r="2" spans="2:25" s="49" customFormat="1" ht="16.5" customHeight="1">
      <c r="B2" s="343" t="s">
        <v>121</v>
      </c>
      <c r="C2" s="336">
        <v>2008</v>
      </c>
      <c r="D2" s="336">
        <v>2009</v>
      </c>
      <c r="E2" s="336">
        <v>2010</v>
      </c>
      <c r="F2" s="337">
        <v>2011</v>
      </c>
      <c r="G2" s="337">
        <v>2012</v>
      </c>
      <c r="H2" s="337">
        <v>2013</v>
      </c>
      <c r="I2" s="337">
        <v>2014</v>
      </c>
      <c r="J2" s="337">
        <v>2015</v>
      </c>
      <c r="K2" s="337">
        <v>2016</v>
      </c>
      <c r="L2" s="337">
        <v>2017</v>
      </c>
      <c r="M2" s="337">
        <v>2018</v>
      </c>
      <c r="N2" s="337">
        <v>2019</v>
      </c>
      <c r="O2" s="337">
        <v>2020</v>
      </c>
      <c r="P2" s="337">
        <v>2021</v>
      </c>
      <c r="Q2" s="337">
        <v>2022</v>
      </c>
      <c r="R2" s="337">
        <v>2023</v>
      </c>
      <c r="S2" s="337">
        <v>2024</v>
      </c>
      <c r="T2" s="337">
        <v>2025</v>
      </c>
      <c r="U2" s="337">
        <v>2026</v>
      </c>
    </row>
    <row r="3" spans="2:25" s="49" customFormat="1" ht="16.5" customHeight="1">
      <c r="B3" s="138"/>
      <c r="C3" s="1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98"/>
      <c r="R3" s="198"/>
      <c r="S3" s="198"/>
      <c r="T3" s="198"/>
    </row>
    <row r="4" spans="2:25" s="49" customFormat="1" ht="16.5" customHeight="1">
      <c r="B4" s="471" t="s">
        <v>63</v>
      </c>
      <c r="C4" s="423">
        <v>1462.27</v>
      </c>
      <c r="D4" s="399">
        <v>2673.44</v>
      </c>
      <c r="E4" s="399">
        <v>3533.59</v>
      </c>
      <c r="F4" s="399">
        <v>3826.12</v>
      </c>
      <c r="G4" s="399">
        <v>3874.32</v>
      </c>
      <c r="H4" s="399">
        <v>3665.88</v>
      </c>
      <c r="I4" s="399">
        <v>3901.92</v>
      </c>
      <c r="J4" s="399">
        <v>4220.2700000000004</v>
      </c>
      <c r="K4" s="399">
        <v>3406.07</v>
      </c>
      <c r="L4" s="399">
        <v>3236.96</v>
      </c>
      <c r="M4" s="399">
        <v>3649.99</v>
      </c>
      <c r="N4" s="399">
        <v>3416.54</v>
      </c>
      <c r="O4" s="399">
        <v>3946.52</v>
      </c>
      <c r="P4" s="399">
        <v>4040.95</v>
      </c>
      <c r="Q4" s="198">
        <f>P4*(1+Q5)</f>
        <v>4456.7611058914399</v>
      </c>
      <c r="R4" s="198">
        <f>Q4*(1+R5)</f>
        <v>4915.3589019875753</v>
      </c>
      <c r="S4" s="198">
        <f>R4*(1+S5)</f>
        <v>5421.1461106609786</v>
      </c>
      <c r="T4" s="198">
        <f>S4*(1+T5)</f>
        <v>5978.9784915300861</v>
      </c>
      <c r="U4" s="198">
        <f>T4*(1+U5)</f>
        <v>6594.2114586948028</v>
      </c>
    </row>
    <row r="5" spans="2:25" s="49" customFormat="1" ht="16.5" customHeight="1">
      <c r="B5" s="448" t="s">
        <v>111</v>
      </c>
      <c r="C5" s="157"/>
      <c r="D5" s="470">
        <f>D4/C4-1</f>
        <v>0.82828068687725254</v>
      </c>
      <c r="E5" s="470">
        <f t="shared" ref="E5:P5" si="0">E4/D4-1</f>
        <v>0.32173903285654437</v>
      </c>
      <c r="F5" s="470">
        <f t="shared" si="0"/>
        <v>8.2785495770590245E-2</v>
      </c>
      <c r="G5" s="470">
        <f t="shared" si="0"/>
        <v>1.2597618475113315E-2</v>
      </c>
      <c r="H5" s="470">
        <f t="shared" si="0"/>
        <v>-5.3800408845939396E-2</v>
      </c>
      <c r="I5" s="470">
        <f t="shared" si="0"/>
        <v>6.4388359684441454E-2</v>
      </c>
      <c r="J5" s="470">
        <f t="shared" si="0"/>
        <v>8.1588038709148325E-2</v>
      </c>
      <c r="K5" s="470">
        <f t="shared" si="0"/>
        <v>-0.19292604501607724</v>
      </c>
      <c r="L5" s="470">
        <f t="shared" si="0"/>
        <v>-4.9649596162145815E-2</v>
      </c>
      <c r="M5" s="470">
        <f t="shared" si="0"/>
        <v>0.12759811675151989</v>
      </c>
      <c r="N5" s="470">
        <f t="shared" si="0"/>
        <v>-6.3959079339943381E-2</v>
      </c>
      <c r="O5" s="470">
        <f t="shared" si="0"/>
        <v>0.1551218484197463</v>
      </c>
      <c r="P5" s="470">
        <f t="shared" si="0"/>
        <v>2.3927409464540972E-2</v>
      </c>
      <c r="Q5" s="466">
        <f>AVERAGE(D5:P5)</f>
        <v>0.10289934443421472</v>
      </c>
      <c r="R5" s="472">
        <f>$Q$5</f>
        <v>0.10289934443421472</v>
      </c>
      <c r="S5" s="472">
        <f>$Q$5</f>
        <v>0.10289934443421472</v>
      </c>
      <c r="T5" s="472">
        <f>$Q$5</f>
        <v>0.10289934443421472</v>
      </c>
      <c r="U5" s="472">
        <f>$Q$5</f>
        <v>0.10289934443421472</v>
      </c>
    </row>
    <row r="6" spans="2:25" s="49" customFormat="1" ht="16.5" customHeight="1">
      <c r="B6" s="15"/>
      <c r="C6" s="22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50"/>
      <c r="R6" s="40"/>
      <c r="S6" s="40"/>
      <c r="T6" s="40"/>
      <c r="U6" s="40"/>
      <c r="V6" s="56"/>
    </row>
    <row r="7" spans="2:25" s="49" customFormat="1" ht="16.5" customHeight="1">
      <c r="B7" s="164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/>
      <c r="W7"/>
      <c r="X7" s="56"/>
      <c r="Y7" s="56"/>
    </row>
    <row r="8" spans="2:25" s="49" customFormat="1" ht="16.5" customHeight="1">
      <c r="B8" s="372" t="s">
        <v>93</v>
      </c>
      <c r="C8" s="373"/>
      <c r="D8" s="373"/>
      <c r="E8" s="373"/>
      <c r="F8" s="373"/>
      <c r="G8" s="373"/>
      <c r="H8" s="373"/>
      <c r="I8" s="373"/>
      <c r="J8" s="373"/>
      <c r="K8" s="373"/>
      <c r="L8" s="373"/>
      <c r="M8" s="373"/>
      <c r="N8" s="373"/>
      <c r="O8" s="373"/>
      <c r="P8" s="373"/>
      <c r="Q8" s="373"/>
      <c r="R8" s="373"/>
      <c r="S8" s="373"/>
      <c r="T8" s="373"/>
      <c r="U8" s="373"/>
      <c r="V8"/>
      <c r="W8"/>
      <c r="X8" s="56"/>
      <c r="Y8" s="56"/>
    </row>
    <row r="9" spans="2:25" s="119" customFormat="1" ht="16.5" customHeight="1">
      <c r="V9" s="165"/>
      <c r="W9" s="165"/>
      <c r="X9" s="165"/>
      <c r="Y9" s="165"/>
    </row>
    <row r="10" spans="2:25" s="49" customFormat="1" ht="16.5" customHeight="1">
      <c r="B10" s="341" t="s">
        <v>77</v>
      </c>
      <c r="C10" s="347">
        <v>2008</v>
      </c>
      <c r="D10" s="348">
        <v>2009</v>
      </c>
      <c r="E10" s="348">
        <v>2010</v>
      </c>
      <c r="F10" s="337">
        <v>2011</v>
      </c>
      <c r="G10" s="337">
        <v>2012</v>
      </c>
      <c r="H10" s="337">
        <v>2013</v>
      </c>
      <c r="I10" s="337">
        <v>2014</v>
      </c>
      <c r="J10" s="337">
        <v>2015</v>
      </c>
      <c r="K10" s="337">
        <v>2016</v>
      </c>
      <c r="L10" s="337">
        <v>2017</v>
      </c>
      <c r="M10" s="337">
        <v>2018</v>
      </c>
      <c r="N10" s="337">
        <v>2019</v>
      </c>
      <c r="O10" s="337">
        <v>2020</v>
      </c>
      <c r="P10" s="337">
        <v>2021</v>
      </c>
      <c r="Q10" s="337">
        <v>2022</v>
      </c>
      <c r="R10" s="337">
        <v>2023</v>
      </c>
      <c r="S10" s="337">
        <v>2024</v>
      </c>
      <c r="T10" s="337">
        <v>2025</v>
      </c>
      <c r="U10" s="337">
        <v>2026</v>
      </c>
      <c r="V10" s="56"/>
      <c r="W10" s="56"/>
      <c r="X10" s="56"/>
      <c r="Y10" s="56"/>
    </row>
    <row r="11" spans="2:25" s="49" customFormat="1" ht="16.5" customHeight="1">
      <c r="B11" s="205" t="s">
        <v>21</v>
      </c>
      <c r="C11" s="63">
        <v>893.1</v>
      </c>
      <c r="D11" s="162">
        <v>1013.5</v>
      </c>
      <c r="E11" s="162">
        <v>539.09</v>
      </c>
      <c r="F11" s="162">
        <v>367.75</v>
      </c>
      <c r="G11" s="162">
        <v>423.33</v>
      </c>
      <c r="H11" s="162">
        <v>387.05</v>
      </c>
      <c r="I11" s="162">
        <v>163.78</v>
      </c>
      <c r="J11" s="162">
        <v>183.74</v>
      </c>
      <c r="K11" s="162">
        <v>131.59</v>
      </c>
      <c r="L11" s="162">
        <v>150</v>
      </c>
      <c r="M11" s="162">
        <v>349.37</v>
      </c>
      <c r="N11" s="162">
        <v>254.09</v>
      </c>
      <c r="O11" s="162">
        <v>570.63</v>
      </c>
      <c r="P11" s="162">
        <v>744.99</v>
      </c>
      <c r="Q11" s="181"/>
      <c r="R11" s="162"/>
      <c r="S11" s="162"/>
      <c r="T11" s="162"/>
      <c r="U11" s="162"/>
      <c r="V11" s="56"/>
      <c r="W11" s="56"/>
      <c r="X11" s="56"/>
      <c r="Y11" s="56"/>
    </row>
    <row r="12" spans="2:25" s="49" customFormat="1" ht="16.5" customHeight="1">
      <c r="B12" s="205" t="s">
        <v>22</v>
      </c>
      <c r="C12" s="63">
        <v>1197.76</v>
      </c>
      <c r="D12" s="162">
        <v>826.38</v>
      </c>
      <c r="E12" s="162">
        <v>783.23</v>
      </c>
      <c r="F12" s="162">
        <v>405.11</v>
      </c>
      <c r="G12" s="162">
        <v>178.69</v>
      </c>
      <c r="H12" s="162">
        <v>212.38</v>
      </c>
      <c r="I12" s="162">
        <v>543.02</v>
      </c>
      <c r="J12" s="162">
        <v>645.99</v>
      </c>
      <c r="K12" s="162">
        <v>840.93</v>
      </c>
      <c r="L12" s="162">
        <v>707.87</v>
      </c>
      <c r="M12" s="162">
        <v>756.8</v>
      </c>
      <c r="N12" s="162">
        <v>783.88</v>
      </c>
      <c r="O12" s="162">
        <v>1189.1300000000001</v>
      </c>
      <c r="P12" s="162">
        <v>1388.22</v>
      </c>
      <c r="Q12" s="181"/>
      <c r="R12" s="162"/>
      <c r="S12" s="162"/>
      <c r="T12" s="162"/>
      <c r="U12" s="162"/>
      <c r="V12" s="56"/>
      <c r="W12" s="56"/>
      <c r="X12" s="56"/>
      <c r="Y12" s="56"/>
    </row>
    <row r="13" spans="2:25" s="49" customFormat="1" ht="16.5" customHeight="1">
      <c r="B13" s="206" t="s">
        <v>23</v>
      </c>
      <c r="C13" s="21">
        <v>0</v>
      </c>
      <c r="D13" s="22">
        <v>2.06</v>
      </c>
      <c r="E13" s="22">
        <v>71.709999999999994</v>
      </c>
      <c r="F13" s="22">
        <v>62.18</v>
      </c>
      <c r="G13" s="22">
        <v>9.15</v>
      </c>
      <c r="H13" s="22">
        <v>24.9</v>
      </c>
      <c r="I13" s="22">
        <v>25.46</v>
      </c>
      <c r="J13" s="22">
        <v>72.900000000000006</v>
      </c>
      <c r="K13" s="22">
        <v>56.76</v>
      </c>
      <c r="L13" s="22">
        <v>192.25</v>
      </c>
      <c r="M13" s="22">
        <v>163.93</v>
      </c>
      <c r="N13" s="22">
        <v>30.71</v>
      </c>
      <c r="O13" s="22">
        <v>314.69</v>
      </c>
      <c r="P13" s="22">
        <v>381.25</v>
      </c>
      <c r="Q13" s="181"/>
      <c r="R13" s="22"/>
      <c r="S13" s="22"/>
      <c r="T13" s="22"/>
      <c r="U13" s="22"/>
      <c r="V13" s="56"/>
    </row>
    <row r="14" spans="2:25" s="49" customFormat="1" ht="16.5" customHeight="1">
      <c r="B14" s="206" t="s">
        <v>24</v>
      </c>
      <c r="C14" s="21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4.76</v>
      </c>
      <c r="Q14" s="181"/>
      <c r="R14" s="22"/>
      <c r="S14" s="22"/>
      <c r="T14" s="22"/>
      <c r="U14" s="22"/>
      <c r="V14" s="56"/>
      <c r="W14" s="56"/>
      <c r="X14" s="56"/>
      <c r="Y14" s="56"/>
    </row>
    <row r="15" spans="2:25" s="49" customFormat="1" ht="16.5" customHeight="1">
      <c r="B15" s="204" t="s">
        <v>78</v>
      </c>
      <c r="C15" s="67" t="s">
        <v>90</v>
      </c>
      <c r="D15" s="52">
        <v>4.3899999999999997</v>
      </c>
      <c r="E15" s="52">
        <v>6.98</v>
      </c>
      <c r="F15" s="49">
        <v>-5.59</v>
      </c>
      <c r="G15" s="49">
        <v>0.62</v>
      </c>
      <c r="H15" s="49">
        <v>2.5099999999999998</v>
      </c>
      <c r="I15" s="38">
        <v>0.1</v>
      </c>
      <c r="J15" s="38">
        <v>0.03</v>
      </c>
      <c r="K15" s="38">
        <v>0.08</v>
      </c>
      <c r="L15" s="49">
        <v>0.98</v>
      </c>
      <c r="M15" s="49">
        <v>4.5999999999999996</v>
      </c>
      <c r="N15" s="49">
        <v>40.79</v>
      </c>
      <c r="O15" s="49">
        <v>24.01</v>
      </c>
      <c r="P15" s="49">
        <v>2.85</v>
      </c>
      <c r="Q15" s="50"/>
      <c r="V15" s="56"/>
    </row>
    <row r="16" spans="2:25" s="49" customFormat="1" ht="16.5" customHeight="1">
      <c r="B16" s="185"/>
      <c r="C16" s="41"/>
      <c r="D16" s="42"/>
      <c r="E16" s="42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86"/>
      <c r="R16" s="40"/>
      <c r="S16" s="40"/>
      <c r="T16" s="40"/>
      <c r="U16" s="40"/>
      <c r="V16" s="56"/>
    </row>
    <row r="17" spans="1:31" s="49" customFormat="1" ht="16.5" customHeight="1">
      <c r="B17" s="188" t="s">
        <v>79</v>
      </c>
      <c r="C17" s="189">
        <v>2090.86</v>
      </c>
      <c r="D17" s="189">
        <v>1846.33</v>
      </c>
      <c r="E17" s="189">
        <v>1401.01</v>
      </c>
      <c r="F17" s="189">
        <v>829.45</v>
      </c>
      <c r="G17" s="189">
        <v>611.79</v>
      </c>
      <c r="H17" s="189">
        <v>626.84</v>
      </c>
      <c r="I17" s="189">
        <v>732.36</v>
      </c>
      <c r="J17" s="189">
        <v>902.65</v>
      </c>
      <c r="K17" s="189">
        <v>1029.3599999999999</v>
      </c>
      <c r="L17" s="189">
        <v>1051.0999999999999</v>
      </c>
      <c r="M17" s="189">
        <v>1274.7</v>
      </c>
      <c r="N17" s="189">
        <v>1109.46</v>
      </c>
      <c r="O17" s="189">
        <v>2098.46</v>
      </c>
      <c r="P17" s="189">
        <v>2522.08</v>
      </c>
      <c r="Q17" s="190">
        <f>P17</f>
        <v>2522.08</v>
      </c>
      <c r="R17" s="190">
        <f>AVERAGE($C$17:$Q$17)</f>
        <v>1376.5686666666666</v>
      </c>
      <c r="S17" s="190">
        <f t="shared" ref="S17:U17" si="1">AVERAGE($C$17:$Q$17)</f>
        <v>1376.5686666666666</v>
      </c>
      <c r="T17" s="190">
        <f t="shared" si="1"/>
        <v>1376.5686666666666</v>
      </c>
      <c r="U17" s="190">
        <f t="shared" si="1"/>
        <v>1376.5686666666666</v>
      </c>
    </row>
    <row r="18" spans="1:31" ht="16.5" customHeight="1">
      <c r="B18" s="25" t="s">
        <v>94</v>
      </c>
      <c r="D18" s="30"/>
      <c r="E18" s="30"/>
    </row>
    <row r="19" spans="1:31" ht="15.75" customHeight="1"/>
    <row r="20" spans="1:31" s="1" customFormat="1" ht="15.75" customHeight="1">
      <c r="A20" s="25"/>
      <c r="B20" s="346" t="s">
        <v>70</v>
      </c>
      <c r="C20" s="344">
        <v>2008</v>
      </c>
      <c r="D20" s="344">
        <v>2009</v>
      </c>
      <c r="E20" s="344">
        <v>2010</v>
      </c>
      <c r="F20" s="345">
        <v>2011</v>
      </c>
      <c r="G20" s="345">
        <v>2012</v>
      </c>
      <c r="H20" s="345">
        <v>2013</v>
      </c>
      <c r="I20" s="345">
        <v>2014</v>
      </c>
      <c r="J20" s="345">
        <v>2015</v>
      </c>
      <c r="K20" s="345">
        <v>2016</v>
      </c>
      <c r="L20" s="345">
        <v>2017</v>
      </c>
      <c r="M20" s="345">
        <v>2018</v>
      </c>
      <c r="N20" s="345">
        <v>2019</v>
      </c>
      <c r="O20" s="337">
        <v>2020</v>
      </c>
      <c r="P20" s="337">
        <v>2021</v>
      </c>
      <c r="Q20" s="337">
        <v>2022</v>
      </c>
      <c r="R20" s="337">
        <v>2023</v>
      </c>
      <c r="S20" s="337">
        <v>2024</v>
      </c>
      <c r="T20" s="337">
        <v>2025</v>
      </c>
      <c r="U20" s="337">
        <v>2026</v>
      </c>
      <c r="W20"/>
      <c r="X20"/>
      <c r="Y20"/>
      <c r="Z20"/>
      <c r="AA20"/>
      <c r="AB20"/>
      <c r="AC20"/>
      <c r="AD20"/>
    </row>
    <row r="21" spans="1:31" ht="15">
      <c r="A21" s="1"/>
      <c r="B21" s="166"/>
      <c r="C21" s="167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W21"/>
      <c r="X21"/>
      <c r="Y21"/>
      <c r="Z21"/>
      <c r="AA21"/>
      <c r="AB21"/>
      <c r="AC21"/>
      <c r="AD21"/>
    </row>
    <row r="22" spans="1:31" s="38" customFormat="1" ht="15">
      <c r="A22" s="25"/>
      <c r="B22" s="169" t="s">
        <v>71</v>
      </c>
      <c r="C22" s="160">
        <v>7052.78</v>
      </c>
      <c r="D22" s="161">
        <v>8635.01</v>
      </c>
      <c r="E22" s="161">
        <v>9981.77</v>
      </c>
      <c r="F22" s="161">
        <v>10454.620000000001</v>
      </c>
      <c r="G22" s="161">
        <v>10536.91</v>
      </c>
      <c r="H22" s="161">
        <v>10095.459999999999</v>
      </c>
      <c r="I22" s="161">
        <v>11012.98</v>
      </c>
      <c r="J22" s="161">
        <v>12612.45</v>
      </c>
      <c r="K22" s="161">
        <v>13437.37</v>
      </c>
      <c r="L22" s="161">
        <v>13185.2</v>
      </c>
      <c r="M22" s="161">
        <v>13921.79</v>
      </c>
      <c r="N22" s="161">
        <v>13263.86</v>
      </c>
      <c r="O22" s="161">
        <v>13491.72</v>
      </c>
      <c r="P22" s="161">
        <v>14562.3</v>
      </c>
      <c r="Q22" s="161">
        <f>P22+Q24-Q29</f>
        <v>16454.218249714573</v>
      </c>
      <c r="R22" s="161">
        <f>Q22+R24-R29</f>
        <v>17118.755233761149</v>
      </c>
      <c r="S22" s="161">
        <f>R22+S24-S29</f>
        <v>17754.535373834166</v>
      </c>
      <c r="T22" s="161">
        <f>S22+T24-T29</f>
        <v>18362.803079342233</v>
      </c>
      <c r="U22" s="161">
        <f>T22+U24-U29</f>
        <v>18944.748909738191</v>
      </c>
      <c r="V22" s="68"/>
      <c r="W22"/>
      <c r="X22"/>
      <c r="Y22"/>
      <c r="Z22"/>
      <c r="AA22"/>
      <c r="AB22"/>
      <c r="AC22"/>
      <c r="AD22"/>
    </row>
    <row r="23" spans="1:31" s="38" customFormat="1" ht="14.5">
      <c r="B23" s="170"/>
      <c r="C23" s="171"/>
      <c r="D23" s="172"/>
      <c r="E23" s="172"/>
      <c r="F23" s="172"/>
      <c r="G23" s="172"/>
      <c r="H23" s="172"/>
      <c r="I23" s="172"/>
      <c r="J23" s="172"/>
      <c r="K23" s="172"/>
      <c r="L23" s="172"/>
      <c r="M23" s="172"/>
      <c r="N23" s="49"/>
      <c r="O23" s="49"/>
      <c r="P23" s="49"/>
      <c r="Q23" s="49"/>
      <c r="R23" s="49"/>
      <c r="S23" s="49"/>
      <c r="T23" s="49"/>
      <c r="U23" s="49"/>
      <c r="V23" s="68"/>
      <c r="W23"/>
      <c r="X23"/>
      <c r="Y23"/>
      <c r="Z23"/>
      <c r="AA23"/>
      <c r="AB23"/>
      <c r="AC23"/>
      <c r="AD23"/>
    </row>
    <row r="24" spans="1:31" s="38" customFormat="1" ht="14.5">
      <c r="B24" s="177" t="s">
        <v>72</v>
      </c>
      <c r="C24" s="69">
        <v>-2241.81</v>
      </c>
      <c r="D24" s="70">
        <v>-2033.82</v>
      </c>
      <c r="E24" s="70">
        <v>-1666.75</v>
      </c>
      <c r="F24" s="49">
        <v>-1205.6099999999999</v>
      </c>
      <c r="G24" s="49">
        <v>-1080.67</v>
      </c>
      <c r="H24" s="49">
        <v>-1058.75</v>
      </c>
      <c r="I24" s="49">
        <v>-1259.92</v>
      </c>
      <c r="J24" s="49">
        <v>-1243.1099999999999</v>
      </c>
      <c r="K24" s="49">
        <v>-917.6</v>
      </c>
      <c r="L24" s="49">
        <v>-949.36</v>
      </c>
      <c r="M24" s="49">
        <v>-923.44</v>
      </c>
      <c r="N24" s="49">
        <v>-1446.79</v>
      </c>
      <c r="O24" s="49">
        <v>-2571.81</v>
      </c>
      <c r="P24" s="49">
        <v>-2420.6</v>
      </c>
      <c r="Q24" s="49">
        <f>Q17</f>
        <v>2522.08</v>
      </c>
      <c r="R24" s="49">
        <f>R17</f>
        <v>1376.5686666666666</v>
      </c>
      <c r="S24" s="49">
        <f>S17</f>
        <v>1376.5686666666666</v>
      </c>
      <c r="T24" s="49">
        <f>T17</f>
        <v>1376.5686666666666</v>
      </c>
      <c r="U24" s="49">
        <f>U17</f>
        <v>1376.5686666666666</v>
      </c>
      <c r="V24" s="68"/>
      <c r="W24"/>
      <c r="X24"/>
      <c r="Y24"/>
      <c r="Z24"/>
      <c r="AA24"/>
      <c r="AB24"/>
      <c r="AC24"/>
      <c r="AD24"/>
    </row>
    <row r="25" spans="1:31" s="44" customFormat="1" ht="15">
      <c r="A25" s="38"/>
      <c r="B25" s="178"/>
      <c r="C25" s="48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162"/>
      <c r="W25"/>
      <c r="X25"/>
      <c r="Y25"/>
      <c r="Z25"/>
      <c r="AA25"/>
      <c r="AB25"/>
      <c r="AC25"/>
      <c r="AD25"/>
      <c r="AE25" s="38"/>
    </row>
    <row r="26" spans="1:31" s="44" customFormat="1" ht="15">
      <c r="B26" s="177" t="s">
        <v>73</v>
      </c>
      <c r="C26" s="48">
        <v>4810.97</v>
      </c>
      <c r="D26" s="49">
        <v>6601.2</v>
      </c>
      <c r="E26" s="49">
        <v>8315.02</v>
      </c>
      <c r="F26" s="49">
        <v>9249.01</v>
      </c>
      <c r="G26" s="49">
        <v>9456.23</v>
      </c>
      <c r="H26" s="49">
        <v>9036.7099999999991</v>
      </c>
      <c r="I26" s="49">
        <v>9753.0499999999993</v>
      </c>
      <c r="J26" s="49">
        <v>11369.35</v>
      </c>
      <c r="K26" s="49">
        <v>12519.78</v>
      </c>
      <c r="L26" s="49">
        <v>12235.84</v>
      </c>
      <c r="M26" s="49">
        <v>12998.36</v>
      </c>
      <c r="N26" s="49">
        <v>11817.07</v>
      </c>
      <c r="O26" s="49">
        <v>10919.91</v>
      </c>
      <c r="P26" s="49">
        <v>12141.7</v>
      </c>
      <c r="Q26" s="49"/>
      <c r="R26" s="49"/>
      <c r="S26" s="49"/>
      <c r="T26" s="49"/>
      <c r="U26" s="49"/>
      <c r="V26" s="162"/>
      <c r="W26"/>
      <c r="X26"/>
      <c r="Y26"/>
      <c r="Z26"/>
      <c r="AA26"/>
      <c r="AB26"/>
      <c r="AC26"/>
      <c r="AD26"/>
      <c r="AE26" s="38"/>
    </row>
    <row r="27" spans="1:31" s="44" customFormat="1" ht="15">
      <c r="B27" s="178"/>
      <c r="C27" s="48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184"/>
      <c r="W27"/>
      <c r="X27"/>
      <c r="Y27"/>
      <c r="Z27"/>
      <c r="AA27"/>
      <c r="AB27"/>
      <c r="AC27"/>
      <c r="AD27"/>
    </row>
    <row r="28" spans="1:31" s="44" customFormat="1" ht="15">
      <c r="B28" s="177" t="s">
        <v>74</v>
      </c>
      <c r="C28" s="174">
        <v>517.67999999999995</v>
      </c>
      <c r="D28" s="175">
        <v>829.94</v>
      </c>
      <c r="E28" s="49">
        <v>1306.5999999999999</v>
      </c>
      <c r="F28" s="49">
        <v>1763.51</v>
      </c>
      <c r="G28" s="49">
        <v>2240.9299999999998</v>
      </c>
      <c r="H28" s="49">
        <v>2487.61</v>
      </c>
      <c r="I28" s="49">
        <v>3145.58</v>
      </c>
      <c r="J28" s="49">
        <v>4023.28</v>
      </c>
      <c r="K28" s="49">
        <v>4724.93</v>
      </c>
      <c r="L28" s="49">
        <v>5025.0600000000004</v>
      </c>
      <c r="M28" s="49">
        <v>5673.43</v>
      </c>
      <c r="N28" s="49">
        <v>5698.67</v>
      </c>
      <c r="O28" s="49">
        <v>5653.82</v>
      </c>
      <c r="P28" s="49">
        <v>6263.65</v>
      </c>
      <c r="Q28" s="49">
        <f>P28+Q29</f>
        <v>6893.8117502854257</v>
      </c>
      <c r="R28" s="49">
        <f>Q28+R29</f>
        <v>7605.8434329055153</v>
      </c>
      <c r="S28" s="49">
        <f>R28+S29</f>
        <v>8346.6319594991655</v>
      </c>
      <c r="T28" s="49">
        <f>S28+T29</f>
        <v>9114.9329206577622</v>
      </c>
      <c r="U28" s="49">
        <f>T28+U29</f>
        <v>9909.5557569284683</v>
      </c>
      <c r="V28" s="184"/>
      <c r="W28"/>
      <c r="X28"/>
      <c r="Y28"/>
      <c r="Z28"/>
      <c r="AA28"/>
      <c r="AB28"/>
      <c r="AC28"/>
      <c r="AD28"/>
    </row>
    <row r="29" spans="1:31" s="38" customFormat="1" ht="15">
      <c r="A29" s="44"/>
      <c r="B29" s="177" t="s">
        <v>118</v>
      </c>
      <c r="C29" s="48"/>
      <c r="D29" s="49">
        <f>-DR!C43</f>
        <v>207.76</v>
      </c>
      <c r="E29" s="49">
        <f>-DR!D43</f>
        <v>314.35000000000002</v>
      </c>
      <c r="F29" s="49">
        <f>-DR!E43</f>
        <v>434.4</v>
      </c>
      <c r="G29" s="49">
        <f>-DR!F43</f>
        <v>468.49</v>
      </c>
      <c r="H29" s="49">
        <f>-DR!G43</f>
        <v>502.71</v>
      </c>
      <c r="I29" s="49">
        <f>-DR!H43</f>
        <v>464.67</v>
      </c>
      <c r="J29" s="49">
        <f>-DR!I43</f>
        <v>499.78</v>
      </c>
      <c r="K29" s="49">
        <f>-DR!J43</f>
        <v>587.47</v>
      </c>
      <c r="L29" s="49">
        <f>-DR!K43</f>
        <v>624.5</v>
      </c>
      <c r="M29" s="49">
        <f>-DR!L43</f>
        <v>582.87</v>
      </c>
      <c r="N29" s="49">
        <f>-DR!M43</f>
        <v>562.04</v>
      </c>
      <c r="O29" s="49">
        <f>-DR!N43</f>
        <v>608.95000000000005</v>
      </c>
      <c r="P29" s="49">
        <f>-DR!O43</f>
        <v>616.61</v>
      </c>
      <c r="Q29" s="49">
        <f>Q30*P22</f>
        <v>630.16175028542557</v>
      </c>
      <c r="R29" s="49">
        <f>R30*Q22</f>
        <v>712.03168262008933</v>
      </c>
      <c r="S29" s="49">
        <f>S30*R22</f>
        <v>740.78852659365043</v>
      </c>
      <c r="T29" s="49">
        <f>T30*S22</f>
        <v>768.30096115859726</v>
      </c>
      <c r="U29" s="49">
        <f>U30*T22</f>
        <v>794.6228362707061</v>
      </c>
      <c r="V29" s="49"/>
      <c r="W29"/>
      <c r="X29"/>
      <c r="Y29"/>
      <c r="Z29"/>
      <c r="AA29"/>
      <c r="AB29"/>
      <c r="AC29"/>
      <c r="AD29"/>
    </row>
    <row r="30" spans="1:31" s="38" customFormat="1" ht="15">
      <c r="A30" s="44"/>
      <c r="B30" s="461" t="s">
        <v>119</v>
      </c>
      <c r="C30" s="48"/>
      <c r="D30" s="462">
        <f>D29/C22</f>
        <v>2.9457887528038587E-2</v>
      </c>
      <c r="E30" s="462">
        <f t="shared" ref="E30:P30" si="2">E29/D22</f>
        <v>3.64041269205247E-2</v>
      </c>
      <c r="F30" s="462">
        <f t="shared" si="2"/>
        <v>4.3519335749070555E-2</v>
      </c>
      <c r="G30" s="462">
        <f t="shared" si="2"/>
        <v>4.481176742913659E-2</v>
      </c>
      <c r="H30" s="462">
        <f t="shared" si="2"/>
        <v>4.7709432841316853E-2</v>
      </c>
      <c r="I30" s="462">
        <f t="shared" si="2"/>
        <v>4.6027620336269975E-2</v>
      </c>
      <c r="J30" s="462">
        <f t="shared" si="2"/>
        <v>4.5380995879407755E-2</v>
      </c>
      <c r="K30" s="462">
        <f t="shared" si="2"/>
        <v>4.6578579102394858E-2</v>
      </c>
      <c r="L30" s="462">
        <f t="shared" si="2"/>
        <v>4.6474868221980936E-2</v>
      </c>
      <c r="M30" s="462">
        <f t="shared" si="2"/>
        <v>4.4206382914176501E-2</v>
      </c>
      <c r="N30" s="462">
        <f t="shared" si="2"/>
        <v>4.0371245364281459E-2</v>
      </c>
      <c r="O30" s="462">
        <f t="shared" si="2"/>
        <v>4.5910466485623344E-2</v>
      </c>
      <c r="P30" s="462">
        <f t="shared" si="2"/>
        <v>4.5702845893629579E-2</v>
      </c>
      <c r="Q30" s="462">
        <f>AVERAGE($D$30:$P$30)</f>
        <v>4.3273504205065517E-2</v>
      </c>
      <c r="R30" s="462">
        <f>AVERAGE($D$30:$P$30)</f>
        <v>4.3273504205065517E-2</v>
      </c>
      <c r="S30" s="462">
        <f>AVERAGE($D$30:$P$30)</f>
        <v>4.3273504205065517E-2</v>
      </c>
      <c r="T30" s="462">
        <f>AVERAGE($D$30:$P$30)</f>
        <v>4.3273504205065517E-2</v>
      </c>
      <c r="U30" s="462">
        <f>AVERAGE($D$30:$P$30)</f>
        <v>4.3273504205065517E-2</v>
      </c>
      <c r="V30" s="49"/>
      <c r="W30"/>
      <c r="X30"/>
      <c r="Y30"/>
      <c r="Z30"/>
      <c r="AA30"/>
      <c r="AB30"/>
      <c r="AC30"/>
      <c r="AD30"/>
    </row>
    <row r="31" spans="1:31" s="38" customFormat="1" ht="14.5">
      <c r="B31" s="177" t="s">
        <v>75</v>
      </c>
      <c r="C31" s="48">
        <v>-15.03</v>
      </c>
      <c r="D31" s="49">
        <v>-162.49</v>
      </c>
      <c r="E31" s="49">
        <v>-341.84</v>
      </c>
      <c r="F31" s="49">
        <v>-368</v>
      </c>
      <c r="G31" s="49">
        <v>-379.2</v>
      </c>
      <c r="H31" s="49">
        <v>-442.47</v>
      </c>
      <c r="I31" s="49">
        <v>-511.91</v>
      </c>
      <c r="J31" s="49">
        <v>-540.04999999999995</v>
      </c>
      <c r="K31" s="49">
        <v>-552.99</v>
      </c>
      <c r="L31" s="49">
        <v>-523.95000000000005</v>
      </c>
      <c r="M31" s="49">
        <v>-520.23</v>
      </c>
      <c r="N31" s="49">
        <v>-527.01</v>
      </c>
      <c r="O31" s="49">
        <v>-499.22</v>
      </c>
      <c r="P31" s="49">
        <v>-523.25</v>
      </c>
      <c r="Q31" s="49"/>
      <c r="R31" s="49"/>
      <c r="S31" s="49"/>
      <c r="T31" s="49"/>
      <c r="U31" s="49"/>
      <c r="V31" s="40"/>
      <c r="W31"/>
      <c r="X31"/>
      <c r="Y31"/>
      <c r="Z31"/>
      <c r="AA31"/>
      <c r="AB31"/>
      <c r="AC31"/>
      <c r="AD31"/>
    </row>
    <row r="32" spans="1:31" s="44" customFormat="1" ht="15">
      <c r="A32" s="38"/>
      <c r="B32" s="173"/>
      <c r="C32" s="48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162"/>
      <c r="W32"/>
      <c r="X32"/>
      <c r="Y32"/>
      <c r="Z32"/>
      <c r="AA32"/>
      <c r="AB32"/>
      <c r="AC32"/>
      <c r="AD32"/>
      <c r="AE32" s="38"/>
    </row>
    <row r="33" spans="1:31" ht="15">
      <c r="A33" s="44"/>
      <c r="B33" s="159" t="s">
        <v>76</v>
      </c>
      <c r="C33" s="160">
        <v>5313.62</v>
      </c>
      <c r="D33" s="161">
        <v>7268.65</v>
      </c>
      <c r="E33" s="161">
        <v>9279.7800000000007</v>
      </c>
      <c r="F33" s="161">
        <v>10644.52</v>
      </c>
      <c r="G33" s="161">
        <v>11317.96</v>
      </c>
      <c r="H33" s="161">
        <v>11081.85</v>
      </c>
      <c r="I33" s="161">
        <v>12386.72</v>
      </c>
      <c r="J33" s="161">
        <v>14852.58</v>
      </c>
      <c r="K33" s="161">
        <v>16691.72</v>
      </c>
      <c r="L33" s="161">
        <v>16736.95</v>
      </c>
      <c r="M33" s="161">
        <v>18151.560000000001</v>
      </c>
      <c r="N33" s="161">
        <v>16996.189999999999</v>
      </c>
      <c r="O33" s="161">
        <v>16074.51</v>
      </c>
      <c r="P33" s="161">
        <v>17882.099999999999</v>
      </c>
      <c r="Q33" s="161"/>
      <c r="R33" s="161"/>
      <c r="S33" s="161"/>
      <c r="T33" s="161"/>
      <c r="U33" s="161"/>
      <c r="W33"/>
      <c r="X33"/>
      <c r="Y33"/>
      <c r="Z33"/>
      <c r="AA33"/>
      <c r="AB33"/>
      <c r="AC33"/>
      <c r="AD33"/>
      <c r="AE33" s="112"/>
    </row>
  </sheetData>
  <pageMargins left="0.59055118110236227" right="0.59055118110236227" top="0.78740157480314965" bottom="0" header="0.39370078740157483" footer="0.39370078740157483"/>
  <pageSetup paperSize="9" scale="52" orientation="landscape" r:id="rId1"/>
  <headerFooter>
    <oddHeader>&amp;C&amp;"Calibri,Regular"&amp;16Asset Base</oddHeader>
  </headerFooter>
  <customProperties>
    <customPr name="EpmWorksheetKeyString_GU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F748-3F04-44CD-A37D-A9A0F04B31AB}">
  <sheetPr>
    <tabColor theme="8"/>
  </sheetPr>
  <dimension ref="A3:O66"/>
  <sheetViews>
    <sheetView zoomScale="55" zoomScaleNormal="55" workbookViewId="0">
      <selection activeCell="Q13" sqref="Q13"/>
    </sheetView>
  </sheetViews>
  <sheetFormatPr defaultRowHeight="12.5"/>
  <cols>
    <col min="1" max="1" width="38.1796875" bestFit="1" customWidth="1"/>
    <col min="2" max="2" width="15" customWidth="1"/>
    <col min="3" max="3" width="16.26953125" bestFit="1" customWidth="1"/>
    <col min="4" max="4" width="15" customWidth="1"/>
    <col min="5" max="5" width="16.26953125" bestFit="1" customWidth="1"/>
    <col min="6" max="15" width="15" customWidth="1"/>
    <col min="16" max="16" width="13.08984375" customWidth="1"/>
    <col min="17" max="19" width="15.54296875" customWidth="1"/>
  </cols>
  <sheetData>
    <row r="3" spans="1:15">
      <c r="A3" s="613" t="s">
        <v>692</v>
      </c>
    </row>
    <row r="4" spans="1:15" ht="15">
      <c r="B4" s="336">
        <v>2008</v>
      </c>
      <c r="C4" s="336">
        <v>2009</v>
      </c>
      <c r="D4" s="336">
        <v>2010</v>
      </c>
      <c r="E4" s="337">
        <v>2011</v>
      </c>
      <c r="F4" s="337">
        <v>2012</v>
      </c>
      <c r="G4" s="337">
        <v>2013</v>
      </c>
      <c r="H4" s="337">
        <v>2014</v>
      </c>
      <c r="I4" s="337">
        <v>2015</v>
      </c>
      <c r="J4" s="337">
        <v>2016</v>
      </c>
      <c r="K4" s="337">
        <v>2017</v>
      </c>
      <c r="L4" s="337">
        <v>2018</v>
      </c>
      <c r="M4" s="337">
        <v>2019</v>
      </c>
      <c r="N4" s="337">
        <v>2020</v>
      </c>
      <c r="O4" s="337">
        <v>2021</v>
      </c>
    </row>
    <row r="5" spans="1:15">
      <c r="A5" s="613" t="s">
        <v>364</v>
      </c>
    </row>
    <row r="7" spans="1:15">
      <c r="A7" t="s">
        <v>365</v>
      </c>
      <c r="B7" s="579">
        <f>Balanço!C17/Balanço!C43</f>
        <v>1.706749878599306</v>
      </c>
      <c r="C7" s="579">
        <f>Balanço!D17/Balanço!D43</f>
        <v>1.5680999336304162</v>
      </c>
      <c r="D7" s="579">
        <f>Balanço!E17/Balanço!E43</f>
        <v>1.4016178605773764</v>
      </c>
      <c r="E7" s="579">
        <f>Balanço!F17/Balanço!F43</f>
        <v>1.0362414447101509</v>
      </c>
      <c r="F7" s="579">
        <f>Balanço!G17/Balanço!G43</f>
        <v>1.2169928667529766</v>
      </c>
      <c r="G7" s="579">
        <f>Balanço!H17/Balanço!H43</f>
        <v>1.5051138268093165</v>
      </c>
      <c r="H7" s="579">
        <f>Balanço!I17/Balanço!I43</f>
        <v>1.7182588542043893</v>
      </c>
      <c r="I7" s="579">
        <f>Balanço!J17/Balanço!J43</f>
        <v>1.2929793308767903</v>
      </c>
      <c r="J7" s="579">
        <f>Balanço!K17/Balanço!K43</f>
        <v>1.16586836605338</v>
      </c>
      <c r="K7" s="579">
        <f>Balanço!L17/Balanço!L43</f>
        <v>0.96566490290696927</v>
      </c>
      <c r="L7" s="579">
        <f>Balanço!M17/Balanço!M43</f>
        <v>1.1857686829636951</v>
      </c>
      <c r="M7" s="579">
        <f>Balanço!N17/Balanço!N43</f>
        <v>1.0304527552070395</v>
      </c>
      <c r="N7" s="579">
        <f>Balanço!O17/Balanço!O43</f>
        <v>1.1072002448542351</v>
      </c>
      <c r="O7" s="579">
        <f>Balanço!P17/Balanço!P43</f>
        <v>2.3710798463531599</v>
      </c>
    </row>
    <row r="8" spans="1:15">
      <c r="A8" t="s">
        <v>366</v>
      </c>
      <c r="B8" s="579">
        <f>(Balanço!C17-Balanço!C10-Balanço!C11-Balanço!C9)/Balanço!C43</f>
        <v>0.61426952752648345</v>
      </c>
      <c r="C8" s="579">
        <f>(Balanço!D17-Balanço!D10-Balanço!D11-Balanço!D9)/Balanço!D43</f>
        <v>0.67440978477292113</v>
      </c>
      <c r="D8" s="579">
        <f>(Balanço!E17-Balanço!E10-Balanço!E11-Balanço!E9)/Balanço!E43</f>
        <v>0.53005675711349531</v>
      </c>
      <c r="E8" s="579">
        <f>(Balanço!F17-Balanço!F10-Balanço!F11-Balanço!F9)/Balanço!F43</f>
        <v>0.27763667848602286</v>
      </c>
      <c r="F8" s="579">
        <f>(Balanço!G17-Balanço!G10-Balanço!G11-Balanço!G9)/Balanço!G43</f>
        <v>0.37369583428527919</v>
      </c>
      <c r="G8" s="579">
        <f>(Balanço!H17-Balanço!H10-Balanço!H11-Balanço!H9)/Balanço!H43</f>
        <v>0.71483960973665395</v>
      </c>
      <c r="H8" s="579">
        <f>(Balanço!I17-Balanço!I10-Balanço!I11-Balanço!I9)/Balanço!I43</f>
        <v>0.78943651770840884</v>
      </c>
      <c r="I8" s="579">
        <f>(Balanço!J17-Balanço!J10-Balanço!J11-Balanço!J9)/Balanço!J43</f>
        <v>0.81905366163156723</v>
      </c>
      <c r="J8" s="579">
        <f>(Balanço!K17-Balanço!K10-Balanço!K11-Balanço!K9)/Balanço!K43</f>
        <v>0.73558090930893882</v>
      </c>
      <c r="K8" s="579">
        <f>(Balanço!L17-Balanço!L10-Balanço!L11-Balanço!L9)/Balanço!L43</f>
        <v>0.55989883177872368</v>
      </c>
      <c r="L8" s="579">
        <f>(Balanço!M17-Balanço!M10-Balanço!M11-Balanço!M9)/Balanço!M43</f>
        <v>0.65656483446211089</v>
      </c>
      <c r="M8" s="579">
        <f>(Balanço!N17-Balanço!N10-Balanço!N11-Balanço!N9)/Balanço!N43</f>
        <v>0.63429638434517244</v>
      </c>
      <c r="N8" s="579">
        <f>(Balanço!O17-Balanço!O10-Balanço!O11-Balanço!O9)/Balanço!O43</f>
        <v>0.50756392540947814</v>
      </c>
      <c r="O8" s="579">
        <f>(Balanço!P17-Balanço!P10-Balanço!P11-Balanço!P9)/Balanço!P43</f>
        <v>1.3109984771688972</v>
      </c>
    </row>
    <row r="9" spans="1:15">
      <c r="A9" t="s">
        <v>367</v>
      </c>
      <c r="B9" s="579">
        <f>Balanço!C15/Balanço!C43</f>
        <v>0.41308609557382064</v>
      </c>
      <c r="C9" s="579">
        <f>Balanço!D15/Balanço!D43</f>
        <v>0.52577747226699534</v>
      </c>
      <c r="D9" s="579">
        <f>Balanço!E15/Balanço!E43</f>
        <v>0.39946825561442872</v>
      </c>
      <c r="E9" s="579">
        <f>Balanço!F15/Balanço!F43</f>
        <v>0.18134740661334212</v>
      </c>
      <c r="F9" s="579">
        <f>Balanço!G15/Balanço!G43</f>
        <v>0.20802342209698849</v>
      </c>
      <c r="G9" s="579">
        <f>Balanço!H15/Balanço!H43</f>
        <v>0.23142217833621714</v>
      </c>
      <c r="H9" s="579">
        <f>Balanço!I15/Balanço!I43</f>
        <v>0.3337256464112407</v>
      </c>
      <c r="I9" s="579">
        <f>Balanço!J15/Balanço!J43</f>
        <v>0.35524699642906526</v>
      </c>
      <c r="J9" s="579">
        <f>Balanço!K15/Balanço!K43</f>
        <v>0.41334840853804783</v>
      </c>
      <c r="K9" s="579">
        <f>Balanço!L15/Balanço!L43</f>
        <v>0.2510187976247461</v>
      </c>
      <c r="L9" s="579">
        <f>Balanço!M15/Balanço!M43</f>
        <v>0.32063482835799206</v>
      </c>
      <c r="M9" s="579">
        <f>Balanço!N15/Balanço!N43</f>
        <v>0.25802788915303548</v>
      </c>
      <c r="N9" s="579">
        <f>Balanço!O15/Balanço!O43</f>
        <v>0.21351829430218794</v>
      </c>
      <c r="O9" s="579">
        <f>Balanço!P15/Balanço!P43</f>
        <v>0.45629474736913872</v>
      </c>
    </row>
    <row r="10" spans="1:15">
      <c r="B10" s="579"/>
      <c r="C10" s="579"/>
      <c r="D10" s="579"/>
      <c r="E10" s="579"/>
      <c r="F10" s="579"/>
      <c r="G10" s="579"/>
      <c r="H10" s="579"/>
      <c r="I10" s="579"/>
      <c r="J10" s="579"/>
      <c r="K10" s="579"/>
      <c r="L10" s="579"/>
      <c r="M10" s="579"/>
      <c r="N10" s="579"/>
      <c r="O10" s="579"/>
    </row>
    <row r="11" spans="1:15">
      <c r="A11" s="613" t="s">
        <v>368</v>
      </c>
      <c r="B11" s="579"/>
      <c r="C11" s="579"/>
      <c r="D11" s="579"/>
      <c r="E11" s="579"/>
      <c r="F11" s="579"/>
      <c r="G11" s="579"/>
      <c r="H11" s="579"/>
      <c r="I11" s="579"/>
      <c r="J11" s="579"/>
      <c r="K11" s="579"/>
      <c r="L11" s="579"/>
      <c r="M11" s="579"/>
      <c r="N11" s="579"/>
      <c r="O11" s="579"/>
    </row>
    <row r="12" spans="1:15">
      <c r="B12" s="579"/>
      <c r="C12" s="579"/>
      <c r="D12" s="579"/>
      <c r="E12" s="579"/>
      <c r="F12" s="579"/>
      <c r="G12" s="579"/>
      <c r="H12" s="579"/>
      <c r="I12" s="579"/>
      <c r="J12" s="579"/>
      <c r="K12" s="579"/>
      <c r="L12" s="579"/>
      <c r="M12" s="579"/>
      <c r="N12" s="579"/>
      <c r="O12" s="579"/>
    </row>
    <row r="13" spans="1:15">
      <c r="A13" t="s">
        <v>369</v>
      </c>
      <c r="B13" s="580">
        <f>(DR!C11+DR!C31)/DR!C11</f>
        <v>0.70447001358719019</v>
      </c>
      <c r="C13" s="580">
        <f>(DR!D11+DR!D31)/DR!D11</f>
        <v>0.68994590715902193</v>
      </c>
      <c r="D13" s="580">
        <f>(DR!E11+DR!E31)/DR!E11</f>
        <v>0.67506990977681636</v>
      </c>
      <c r="E13" s="580">
        <f>(DR!F11+DR!F31)/DR!F11</f>
        <v>0.67007849704817413</v>
      </c>
      <c r="F13" s="580">
        <f>(DR!G11+DR!G31)/DR!G11</f>
        <v>0.68044197175426979</v>
      </c>
      <c r="G13" s="580">
        <f>(DR!H11+DR!H31)/DR!H11</f>
        <v>0.66786948759828313</v>
      </c>
      <c r="H13" s="580">
        <f>(DR!I11+DR!I31)/DR!I11</f>
        <v>0.67167171871450837</v>
      </c>
      <c r="I13" s="580">
        <f>(DR!J11+DR!J31)/DR!J11</f>
        <v>0.63394201868071498</v>
      </c>
      <c r="J13" s="580">
        <f>(DR!K11+DR!K31)/DR!K11</f>
        <v>0.67677722247463279</v>
      </c>
      <c r="K13" s="580">
        <f>(DR!L11+DR!L31)/DR!L11</f>
        <v>0.69581160142076082</v>
      </c>
      <c r="L13" s="580">
        <f>(DR!M11+DR!M31)/DR!M11</f>
        <v>0.65301263047462998</v>
      </c>
      <c r="M13" s="580">
        <f>(DR!N11+DR!N31)/DR!N11</f>
        <v>0.68451499698415308</v>
      </c>
      <c r="N13" s="580">
        <f>(DR!O11+DR!O31)/DR!O11</f>
        <v>0.67165101834464824</v>
      </c>
      <c r="O13" s="580">
        <f>(DR!P11+DR!P31)/DR!P11</f>
        <v>0.61622839457005341</v>
      </c>
    </row>
    <row r="14" spans="1:15">
      <c r="A14" t="s">
        <v>370</v>
      </c>
      <c r="B14" s="580">
        <f>DR!C38/DR!C13</f>
        <v>0.7181821163812897</v>
      </c>
      <c r="C14" s="580">
        <f>DR!D38/DR!D13</f>
        <v>0.70714509149679361</v>
      </c>
      <c r="D14" s="580">
        <f>DR!E38/DR!E13</f>
        <v>0.69831581216259908</v>
      </c>
      <c r="E14" s="580">
        <f>DR!F38/DR!F13</f>
        <v>0.6942611651074676</v>
      </c>
      <c r="F14" s="580">
        <f>DR!G38/DR!G13</f>
        <v>0.69540225622464336</v>
      </c>
      <c r="G14" s="580">
        <f>DR!H38/DR!H13</f>
        <v>0.67798719903366689</v>
      </c>
      <c r="H14" s="580">
        <f>DR!I38/DR!I13</f>
        <v>0.68301093482962538</v>
      </c>
      <c r="I14" s="580">
        <f>DR!J38/DR!J13</f>
        <v>0.66855514131369942</v>
      </c>
      <c r="J14" s="580">
        <f>DR!K38/DR!K13</f>
        <v>0.68696978586095636</v>
      </c>
      <c r="K14" s="580">
        <f>DR!L38/DR!L13</f>
        <v>0.71083641585116508</v>
      </c>
      <c r="L14" s="580">
        <f>DR!M38/DR!M13</f>
        <v>0.68827833785157577</v>
      </c>
      <c r="M14" s="580">
        <f>DR!N38/DR!N13</f>
        <v>0.74122732056598517</v>
      </c>
      <c r="N14" s="580">
        <f>DR!O38/DR!O13</f>
        <v>0.74230651904753353</v>
      </c>
      <c r="O14" s="580">
        <f>DR!P38/DR!P13</f>
        <v>0.73537116809212044</v>
      </c>
    </row>
    <row r="15" spans="1:15">
      <c r="A15" t="s">
        <v>371</v>
      </c>
      <c r="B15" s="580">
        <f>DR!C56/DR!C11</f>
        <v>0.19300689678895136</v>
      </c>
      <c r="C15" s="580">
        <f>DR!D56/DR!D11</f>
        <v>0.16254070762267486</v>
      </c>
      <c r="D15" s="580">
        <f>DR!E56/DR!E11</f>
        <v>8.7627288555901447E-2</v>
      </c>
      <c r="E15" s="580">
        <f>DR!F56/DR!F11</f>
        <v>8.4784296847955257E-2</v>
      </c>
      <c r="F15" s="580">
        <f>DR!G56/DR!G11</f>
        <v>0.10586312881764777</v>
      </c>
      <c r="G15" s="580">
        <f>DR!H56/DR!H11</f>
        <v>0.12848406578797433</v>
      </c>
      <c r="H15" s="580">
        <f>DR!I56/DR!I11</f>
        <v>0.13933469621135575</v>
      </c>
      <c r="I15" s="580">
        <f>DR!J56/DR!J11</f>
        <v>0.15868265408357843</v>
      </c>
      <c r="J15" s="580">
        <f>DR!K56/DR!K11</f>
        <v>0.10668484022414056</v>
      </c>
      <c r="K15" s="580">
        <f>DR!L56/DR!L11</f>
        <v>0.24967846803014465</v>
      </c>
      <c r="L15" s="580">
        <f>DR!M56/DR!M11</f>
        <v>0.27828890368894732</v>
      </c>
      <c r="M15" s="580">
        <f>DR!N56/DR!N11</f>
        <v>0.34143225311180564</v>
      </c>
      <c r="N15" s="580">
        <f>DR!O56/DR!O11</f>
        <v>0.39453993933265924</v>
      </c>
      <c r="O15" s="580">
        <f>DR!P56/DR!P11</f>
        <v>0.46060102636459838</v>
      </c>
    </row>
    <row r="16" spans="1:15">
      <c r="A16" t="s">
        <v>372</v>
      </c>
      <c r="B16" s="580">
        <f>DR!C56/Balanço!C22</f>
        <v>1.1942668380769133E-2</v>
      </c>
      <c r="C16" s="580">
        <f>DR!D56/Balanço!D22</f>
        <v>1.0429607014816081E-2</v>
      </c>
      <c r="D16" s="580">
        <f>DR!E56/Balanço!E22</f>
        <v>6.469733505257049E-3</v>
      </c>
      <c r="E16" s="580">
        <f>DR!F56/Balanço!F22</f>
        <v>6.9467601589276451E-3</v>
      </c>
      <c r="F16" s="580">
        <f>DR!G56/Balanço!G22</f>
        <v>1.0227808362220033E-2</v>
      </c>
      <c r="G16" s="580">
        <f>DR!H56/Balanço!H22</f>
        <v>1.2951866047394961E-2</v>
      </c>
      <c r="H16" s="580">
        <f>DR!I56/Balanço!I22</f>
        <v>1.2425679224828727E-2</v>
      </c>
      <c r="I16" s="580">
        <f>DR!J56/Balanço!J22</f>
        <v>1.5600375186830842E-2</v>
      </c>
      <c r="J16" s="580">
        <f>DR!K56/Balanço!K22</f>
        <v>1.0523787129200985E-2</v>
      </c>
      <c r="K16" s="580">
        <f>DR!L56/Balanço!L22</f>
        <v>2.811979930719067E-2</v>
      </c>
      <c r="L16" s="580">
        <f>DR!M56/Balanço!M22</f>
        <v>2.6921592294986349E-2</v>
      </c>
      <c r="M16" s="580">
        <f>DR!N56/Balanço!N22</f>
        <v>3.5193710382559987E-2</v>
      </c>
      <c r="N16" s="580">
        <f>DR!O56/Balanço!O22</f>
        <v>3.7596592989420544E-2</v>
      </c>
      <c r="O16" s="580">
        <f>DR!P56/Balanço!P22</f>
        <v>3.6746343203710306E-2</v>
      </c>
    </row>
    <row r="17" spans="1:15">
      <c r="A17" t="s">
        <v>373</v>
      </c>
      <c r="B17" s="580">
        <f>DR!C56/Balanço!C31</f>
        <v>2.1621892406904673E-2</v>
      </c>
      <c r="C17" s="580">
        <f>DR!D56/Balanço!D31</f>
        <v>2.210960009760584E-2</v>
      </c>
      <c r="D17" s="580">
        <f>DR!E56/Balanço!E31</f>
        <v>1.5396281827603917E-2</v>
      </c>
      <c r="E17" s="580">
        <f>DR!F56/Balanço!F31</f>
        <v>1.6616150781208459E-2</v>
      </c>
      <c r="F17" s="580">
        <f>DR!G56/Balanço!G31</f>
        <v>2.366568501764707E-2</v>
      </c>
      <c r="G17" s="580">
        <f>DR!H56/Balanço!H31</f>
        <v>2.7774858276457797E-2</v>
      </c>
      <c r="H17" s="580">
        <f>DR!I56/Balanço!I31</f>
        <v>2.8099311930952994E-2</v>
      </c>
      <c r="I17" s="580">
        <f>DR!J56/Balanço!J31</f>
        <v>3.5921283093189899E-2</v>
      </c>
      <c r="J17" s="580">
        <f>DR!K56/Balanço!K31</f>
        <v>2.3254954106755439E-2</v>
      </c>
      <c r="K17" s="580">
        <f>DR!L56/Balanço!L31</f>
        <v>5.7783575992856377E-2</v>
      </c>
      <c r="L17" s="580">
        <f>DR!M56/Balanço!M31</f>
        <v>5.8131832955776619E-2</v>
      </c>
      <c r="M17" s="580">
        <f>DR!N56/Balanço!N31</f>
        <v>7.4708147863750338E-2</v>
      </c>
      <c r="N17" s="580">
        <f>DR!O56/Balanço!O31</f>
        <v>7.9181755670044526E-2</v>
      </c>
      <c r="O17" s="580">
        <f>DR!P56/Balanço!P31</f>
        <v>7.9566305746193333E-2</v>
      </c>
    </row>
    <row r="18" spans="1:15">
      <c r="B18" s="579"/>
      <c r="C18" s="579"/>
      <c r="D18" s="579"/>
      <c r="E18" s="579"/>
      <c r="F18" s="579"/>
      <c r="G18" s="579"/>
      <c r="H18" s="579"/>
      <c r="I18" s="579"/>
      <c r="J18" s="579"/>
      <c r="K18" s="579"/>
      <c r="L18" s="579"/>
      <c r="M18" s="579"/>
      <c r="N18" s="579"/>
      <c r="O18" s="579"/>
    </row>
    <row r="19" spans="1:15">
      <c r="A19" s="613" t="s">
        <v>374</v>
      </c>
      <c r="B19" s="579"/>
      <c r="C19" s="579"/>
      <c r="D19" s="579"/>
      <c r="E19" s="579"/>
      <c r="F19" s="579"/>
      <c r="G19" s="579"/>
      <c r="H19" s="579"/>
      <c r="I19" s="579"/>
      <c r="J19" s="579"/>
      <c r="K19" s="579"/>
      <c r="L19" s="579"/>
      <c r="M19" s="579"/>
      <c r="N19" s="579"/>
      <c r="O19" s="579"/>
    </row>
    <row r="20" spans="1:15">
      <c r="B20" s="579"/>
      <c r="C20" s="579"/>
      <c r="D20" s="579"/>
      <c r="E20" s="579"/>
      <c r="F20" s="579"/>
      <c r="G20" s="579"/>
      <c r="H20" s="579"/>
      <c r="I20" s="579"/>
      <c r="J20" s="579"/>
      <c r="K20" s="579"/>
      <c r="L20" s="579"/>
      <c r="M20" s="579"/>
      <c r="N20" s="579"/>
      <c r="O20" s="579"/>
    </row>
    <row r="21" spans="1:15">
      <c r="A21" t="s">
        <v>375</v>
      </c>
      <c r="B21" s="579">
        <f>Balanço!C31/Balanço!C22</f>
        <v>0.55234149518547215</v>
      </c>
      <c r="C21" s="579">
        <f>Balanço!D31/Balanço!D22</f>
        <v>0.47172300578812643</v>
      </c>
      <c r="D21" s="579">
        <f>Balanço!E31/Balanço!E22</f>
        <v>0.42021402165148053</v>
      </c>
      <c r="E21" s="579">
        <f>Balanço!F31/Balanço!F22</f>
        <v>0.41807276850086583</v>
      </c>
      <c r="F21" s="579">
        <f>Balanço!G31/Balanço!G22</f>
        <v>0.4321788426827004</v>
      </c>
      <c r="G21" s="579">
        <f>Balanço!H31/Balanço!H22</f>
        <v>0.46631618849242051</v>
      </c>
      <c r="H21" s="579">
        <f>Balanço!I31/Balanço!I22</f>
        <v>0.44220581825497057</v>
      </c>
      <c r="I21" s="579">
        <f>Balanço!J31/Balanço!J22</f>
        <v>0.43429337271608826</v>
      </c>
      <c r="J21" s="579">
        <f>Balanço!K31/Balanço!K22</f>
        <v>0.45253957848679999</v>
      </c>
      <c r="K21" s="579">
        <f>Balanço!L31/Balanço!L22</f>
        <v>0.48663999802758912</v>
      </c>
      <c r="L21" s="579">
        <f>Balanço!M31/Balanço!M22</f>
        <v>0.46311273748183307</v>
      </c>
      <c r="M21" s="579">
        <f>Balanço!N31/Balanço!N22</f>
        <v>0.47108262470573942</v>
      </c>
      <c r="N21" s="579">
        <f>Balanço!O31/Balanço!O22</f>
        <v>0.47481383396053972</v>
      </c>
      <c r="O21" s="579">
        <f>Balanço!P31/Balanço!P22</f>
        <v>0.4618329688565232</v>
      </c>
    </row>
    <row r="22" spans="1:15">
      <c r="A22" t="s">
        <v>376</v>
      </c>
      <c r="B22" s="579">
        <f>Balanço!C36/Balanço!C31</f>
        <v>0.2817416201198048</v>
      </c>
      <c r="C22" s="579">
        <f>Balanço!D36/Balanço!D31</f>
        <v>0.5018141547240289</v>
      </c>
      <c r="D22" s="579">
        <f>Balanço!E36/Balanço!E31</f>
        <v>0.65515591887286762</v>
      </c>
      <c r="E22" s="579">
        <f>Balanço!F36/Balanço!F31</f>
        <v>0.70156021658571288</v>
      </c>
      <c r="F22" s="579">
        <f>Balanço!G36/Balanço!G31</f>
        <v>0.67393191310231826</v>
      </c>
      <c r="G22" s="579">
        <f>Balanço!H36/Balanço!H31</f>
        <v>0.6020179593123699</v>
      </c>
      <c r="H22" s="579">
        <f>Balanço!I36/Balanço!I31</f>
        <v>0.61634306149656592</v>
      </c>
      <c r="I22" s="579">
        <f>Balanço!J36/Balanço!J31</f>
        <v>0.6175303002146586</v>
      </c>
      <c r="J22" s="579">
        <f>Balanço!K36/Balanço!K31</f>
        <v>0.44976436053828001</v>
      </c>
      <c r="K22" s="579">
        <f>Balanço!L36/Balanço!L31</f>
        <v>0.40999347700803662</v>
      </c>
      <c r="L22" s="579">
        <f>Balanço!M36/Balanço!M31</f>
        <v>0.44937333792967593</v>
      </c>
      <c r="M22" s="579">
        <f>Balanço!N36/Balanço!N31</f>
        <v>0.409917573517943</v>
      </c>
      <c r="N22" s="579">
        <f>Balanço!O36/Balanço!O31</f>
        <v>0.4576296146839629</v>
      </c>
      <c r="O22" s="579">
        <f>Balanço!P36/Balanço!P31</f>
        <v>0.39714847600617598</v>
      </c>
    </row>
    <row r="23" spans="1:15">
      <c r="B23" s="579"/>
      <c r="C23" s="579"/>
      <c r="D23" s="579"/>
      <c r="E23" s="579"/>
      <c r="F23" s="579"/>
      <c r="G23" s="579"/>
      <c r="H23" s="579"/>
      <c r="I23" s="579"/>
      <c r="J23" s="579"/>
      <c r="K23" s="579"/>
      <c r="L23" s="579"/>
      <c r="M23" s="579"/>
      <c r="N23" s="579"/>
      <c r="O23" s="579"/>
    </row>
    <row r="24" spans="1:15">
      <c r="A24" s="613" t="s">
        <v>359</v>
      </c>
      <c r="B24" s="579"/>
      <c r="C24" s="579"/>
      <c r="D24" s="579"/>
      <c r="E24" s="579"/>
      <c r="F24" s="579"/>
      <c r="G24" s="579"/>
      <c r="H24" s="579"/>
      <c r="I24" s="579"/>
      <c r="J24" s="579"/>
      <c r="K24" s="579"/>
      <c r="L24" s="579"/>
      <c r="M24" s="579"/>
      <c r="N24" s="579"/>
      <c r="O24" s="579"/>
    </row>
    <row r="25" spans="1:15">
      <c r="B25" s="579"/>
      <c r="C25" s="579"/>
      <c r="D25" s="579"/>
      <c r="E25" s="579"/>
      <c r="F25" s="579"/>
      <c r="G25" s="579"/>
      <c r="H25" s="579"/>
      <c r="I25" s="579"/>
      <c r="J25" s="579"/>
      <c r="K25" s="579"/>
      <c r="L25" s="579"/>
      <c r="M25" s="579"/>
      <c r="N25" s="579"/>
      <c r="O25" s="579"/>
    </row>
    <row r="26" spans="1:15">
      <c r="A26" t="s">
        <v>693</v>
      </c>
      <c r="B26" s="579">
        <f>DR!C11/Balanço!C22</f>
        <v>6.1876899631354461E-2</v>
      </c>
      <c r="C26" s="579">
        <f>DR!D11/Balanço!D22</f>
        <v>6.4166122858450775E-2</v>
      </c>
      <c r="D26" s="579">
        <f>DR!E11/Balanço!E22</f>
        <v>7.3832405542592017E-2</v>
      </c>
      <c r="E26" s="579">
        <f>DR!F11/Balanço!F22</f>
        <v>8.1934514021922686E-2</v>
      </c>
      <c r="F26" s="579">
        <f>DR!G11/Balanço!G22</f>
        <v>9.6613509126843619E-2</v>
      </c>
      <c r="G26" s="579">
        <f>DR!H11/Balanço!H22</f>
        <v>0.10080523190142705</v>
      </c>
      <c r="H26" s="579">
        <f>DR!I11/Balanço!I22</f>
        <v>8.9178643673793273E-2</v>
      </c>
      <c r="I26" s="579">
        <f>DR!J11/Balanço!J22</f>
        <v>9.8311786357027378E-2</v>
      </c>
      <c r="J26" s="579">
        <f>DR!K11/Balanço!K22</f>
        <v>9.8643697708980321E-2</v>
      </c>
      <c r="K26" s="579">
        <f>DR!L11/Balanço!L22</f>
        <v>0.11262404615441511</v>
      </c>
      <c r="L26" s="579">
        <f>DR!M11/Balanço!M22</f>
        <v>9.6739726011776245E-2</v>
      </c>
      <c r="M26" s="579">
        <f>DR!N11/Balanço!N22</f>
        <v>0.10307670134208273</v>
      </c>
      <c r="N26" s="579">
        <f>DR!O11/Balanço!O22</f>
        <v>9.529223594704489E-2</v>
      </c>
      <c r="O26" s="579">
        <f>DR!P11/Balanço!P22</f>
        <v>7.9779117067409602E-2</v>
      </c>
    </row>
    <row r="27" spans="1:15">
      <c r="A27" t="s">
        <v>377</v>
      </c>
      <c r="B27" s="579">
        <f>Balanço!C17-Balanço!C43</f>
        <v>392.96000000000015</v>
      </c>
      <c r="C27" s="579">
        <f>Balanço!D17-Balanço!D43</f>
        <v>479.34000000000003</v>
      </c>
      <c r="D27" s="579">
        <f>Balanço!E17-Balanço!E43</f>
        <v>425.98</v>
      </c>
      <c r="E27" s="579">
        <f>Balanço!F17-Balanço!F43</f>
        <v>43.950000000000045</v>
      </c>
      <c r="F27" s="579">
        <f>Balanço!G17-Balanço!G43</f>
        <v>256.44000000000005</v>
      </c>
      <c r="G27" s="579">
        <f>Balanço!H17-Balanço!H43</f>
        <v>557.58000000000015</v>
      </c>
      <c r="H27" s="579">
        <f>Balanço!I17-Balanço!I43</f>
        <v>793.36000000000013</v>
      </c>
      <c r="I27" s="579">
        <f>Balanço!J17-Balanço!J43</f>
        <v>360.17999999999961</v>
      </c>
      <c r="J27" s="579">
        <f>Balanço!K17-Balanço!K43</f>
        <v>242.05999999999995</v>
      </c>
      <c r="K27" s="579">
        <f>Balanço!L17-Balanço!L43</f>
        <v>-53.079999999999927</v>
      </c>
      <c r="L27" s="579">
        <f>Balanço!M17-Balanço!M43</f>
        <v>319.55000000000018</v>
      </c>
      <c r="M27" s="579">
        <f>Balanço!N17-Balanço!N43</f>
        <v>68.6599999999994</v>
      </c>
      <c r="N27" s="579">
        <f>Balanço!O17-Balanço!O43</f>
        <v>238.16999999999962</v>
      </c>
      <c r="O27" s="579">
        <f>Balanço!P17-Balanço!P43</f>
        <v>3016.1699999999992</v>
      </c>
    </row>
    <row r="30" spans="1:15">
      <c r="A30" s="613" t="s">
        <v>691</v>
      </c>
    </row>
    <row r="32" spans="1:15" ht="15">
      <c r="B32" s="618">
        <v>2021</v>
      </c>
      <c r="C32" s="619"/>
      <c r="D32" s="619"/>
      <c r="E32" s="619"/>
      <c r="G32" s="618">
        <v>2020</v>
      </c>
      <c r="H32" s="619"/>
      <c r="I32" s="619"/>
      <c r="J32" s="619"/>
    </row>
    <row r="33" spans="1:10">
      <c r="A33" s="613" t="s">
        <v>364</v>
      </c>
    </row>
    <row r="34" spans="1:10">
      <c r="B34" t="s">
        <v>360</v>
      </c>
      <c r="C34" t="s">
        <v>361</v>
      </c>
      <c r="D34" t="s">
        <v>363</v>
      </c>
      <c r="E34" t="s">
        <v>362</v>
      </c>
      <c r="G34" t="s">
        <v>360</v>
      </c>
      <c r="H34" t="s">
        <v>361</v>
      </c>
      <c r="I34" t="s">
        <v>363</v>
      </c>
      <c r="J34" t="s">
        <v>362</v>
      </c>
    </row>
    <row r="35" spans="1:10">
      <c r="A35" t="s">
        <v>365</v>
      </c>
      <c r="B35" s="579">
        <f>Balanço!P17/Balanço!P43</f>
        <v>2.3710798463531599</v>
      </c>
      <c r="C35" s="579">
        <f>Endesa!B19/Endesa!B57</f>
        <v>0.73644292756920748</v>
      </c>
      <c r="D35" s="579">
        <f>Galp!C25/Galp!C55</f>
        <v>1.6467348912108037</v>
      </c>
      <c r="E35" s="579">
        <f>Iberdrola!B22/Iberdrola!B66</f>
        <v>0.91912132070026631</v>
      </c>
      <c r="G35" s="579">
        <f>Balanço!O17/Balanço!O43</f>
        <v>1.1072002448542351</v>
      </c>
      <c r="H35" s="579">
        <f>Endesa!C19/Endesa!C57</f>
        <v>0.72869666861484517</v>
      </c>
      <c r="I35" s="579">
        <f>Galp!B25/Galp!B55</f>
        <v>1.6430452607579027</v>
      </c>
      <c r="J35" s="579">
        <f>Iberdrola!C22/Iberdrola!C66</f>
        <v>0.83502484701682433</v>
      </c>
    </row>
    <row r="36" spans="1:10">
      <c r="A36" t="s">
        <v>366</v>
      </c>
      <c r="B36" s="579">
        <f>(Balanço!P17-Balanço!P10-Balanço!P11-Balanço!P9)/Balanço!P43</f>
        <v>1.3109984771688972</v>
      </c>
      <c r="C36" s="579">
        <f>(Endesa!B19-Endesa!B20-Endesa!B21)/Endesa!B57</f>
        <v>0.31140184553153838</v>
      </c>
      <c r="D36" s="579">
        <f>(Galp!C25-Galp!C17-Galp!C18-Galp!C19)/Galp!C55</f>
        <v>0.75982026517702195</v>
      </c>
      <c r="E36" s="579">
        <f>(Iberdrola!B22-Iberdrola!B25-Iberdrola!B26)/Iberdrola!B66</f>
        <v>0.36087841469797122</v>
      </c>
      <c r="G36" s="579">
        <f>(Balanço!O17-Balanço!O10-Balanço!O11-Balanço!O9)/Balanço!O43</f>
        <v>0.50756392540947814</v>
      </c>
      <c r="H36" s="579">
        <f>(Endesa!C19-Endesa!C20-Endesa!C21)/Endesa!C57</f>
        <v>0.21168907071887785</v>
      </c>
      <c r="I36" s="579">
        <f>(Galp!B25-Galp!B17-Galp!B18-Galp!B19)/Galp!B55</f>
        <v>0.76696870874541057</v>
      </c>
      <c r="J36" s="579">
        <f>(Iberdrola!C22-Iberdrola!C25-Iberdrola!C26)/Iberdrola!C66</f>
        <v>0.27132343780895474</v>
      </c>
    </row>
    <row r="37" spans="1:10">
      <c r="A37" t="s">
        <v>367</v>
      </c>
      <c r="B37" s="579">
        <f>Balanço!P15/Balanço!P43</f>
        <v>0.45629474736913872</v>
      </c>
      <c r="C37" s="579">
        <f>Endesa!B28/Endesa!B57</f>
        <v>4.4431803817469348E-2</v>
      </c>
      <c r="D37" s="579">
        <f>Galp!C22/Galp!C55</f>
        <v>0.53742716812371372</v>
      </c>
      <c r="E37" s="579">
        <f>Iberdrola!B33/Iberdrola!B66</f>
        <v>0.16559121523867001</v>
      </c>
      <c r="G37" s="579">
        <f>Balanço!O15/Balanço!O43</f>
        <v>0.21351829430218794</v>
      </c>
      <c r="H37" s="579">
        <f>Endesa!C28/Endesa!C57</f>
        <v>4.7106954997077732E-2</v>
      </c>
      <c r="I37" s="579">
        <f>Galp!B22/Galp!B55</f>
        <v>0.62645506380450222</v>
      </c>
      <c r="J37" s="579">
        <f>Iberdrola!C33/Iberdrola!C66</f>
        <v>0.19113509789346078</v>
      </c>
    </row>
    <row r="38" spans="1:10">
      <c r="B38" s="579"/>
      <c r="C38" s="579"/>
      <c r="D38" s="579"/>
      <c r="E38" s="579"/>
    </row>
    <row r="39" spans="1:10">
      <c r="A39" s="613" t="s">
        <v>368</v>
      </c>
      <c r="B39" s="579"/>
      <c r="C39" s="579"/>
      <c r="D39" s="579"/>
      <c r="E39" s="579"/>
    </row>
    <row r="40" spans="1:10">
      <c r="B40" s="579"/>
      <c r="C40" s="579"/>
      <c r="D40" s="579"/>
      <c r="E40" s="579"/>
    </row>
    <row r="41" spans="1:10">
      <c r="A41" t="s">
        <v>369</v>
      </c>
      <c r="B41" s="580">
        <f>(DR!P11+DR!P31)/DR!P11</f>
        <v>0.61622839457005341</v>
      </c>
      <c r="C41" s="580">
        <f>Endesa!F18/Endesa!F6</f>
        <v>0.29082731231159387</v>
      </c>
      <c r="D41" s="580">
        <f>(Galp!G6+Galp!G7+Galp!G10+Galp!G12)/(Galp!G6+Galp!G7)</f>
        <v>0.25157209890825222</v>
      </c>
      <c r="E41" s="580">
        <f>Iberdrola!F4/Iberdrola!F2</f>
        <v>0.43621072498829061</v>
      </c>
      <c r="G41" s="580">
        <f>(DR!O11+DR!O31)/DR!O11</f>
        <v>0.67165101834464824</v>
      </c>
      <c r="H41" s="580">
        <f>Endesa!G18/Endesa!G6</f>
        <v>0.35225806451612901</v>
      </c>
      <c r="I41" s="580">
        <f>(Galp!F6+Galp!F7+Galp!F10+Galp!F12)/(Galp!F6+Galp!F7)</f>
        <v>0.22527037433355296</v>
      </c>
      <c r="J41" s="580">
        <f>Iberdrola!G4/Iberdrola!G2</f>
        <v>0.48710440329262927</v>
      </c>
    </row>
    <row r="42" spans="1:10">
      <c r="A42" t="s">
        <v>370</v>
      </c>
      <c r="B42" s="580">
        <f>DR!P38/DR!P13</f>
        <v>0.73537116809212044</v>
      </c>
      <c r="C42" s="580">
        <f>Endesa!F25/Endesa!F6</f>
        <v>0.20469878941576153</v>
      </c>
      <c r="D42" s="580">
        <f>Galp!G16/(Galp!G6+Galp!G7)</f>
        <v>0.16738429612576425</v>
      </c>
      <c r="E42" s="580">
        <f>Iberdrola!F11/Iberdrola!F2</f>
        <v>0.30694538208622457</v>
      </c>
      <c r="G42" s="580">
        <f>DR!O38/DR!O13</f>
        <v>0.74230651904753353</v>
      </c>
      <c r="H42" s="580">
        <f>Endesa!G25/Endesa!G6</f>
        <v>0.22340175953079178</v>
      </c>
      <c r="I42" s="580">
        <f>Galp!F16/(Galp!F6+Galp!F7)</f>
        <v>9.7796994113189636E-2</v>
      </c>
      <c r="J42" s="580">
        <f>Iberdrola!G11/Iberdrola!G2</f>
        <v>0.30285729900746522</v>
      </c>
    </row>
    <row r="43" spans="1:10">
      <c r="A43" t="s">
        <v>371</v>
      </c>
      <c r="B43" s="580">
        <f>DR!P56/DR!P11</f>
        <v>0.46060102636459838</v>
      </c>
      <c r="C43" s="580">
        <f>Endesa!F48/Endesa!F6</f>
        <v>6.9716254366237615E-2</v>
      </c>
      <c r="D43" s="580">
        <f>Galp!G34/(Galp!G6+Galp!G7)</f>
        <v>2.3748528952869541E-4</v>
      </c>
      <c r="E43" s="580">
        <f>Iberdrola!F21/Iberdrola!F2</f>
        <v>9.932088144055734E-2</v>
      </c>
      <c r="G43" s="580">
        <f>DR!O56/DR!O11</f>
        <v>0.39453993933265924</v>
      </c>
      <c r="H43" s="580">
        <f>Endesa!G48/Endesa!G6</f>
        <v>8.2111436950146624E-2</v>
      </c>
      <c r="I43" s="580">
        <f>Galp!F34/(Galp!F6+Galp!F7)</f>
        <v>-4.8412013545946368E-2</v>
      </c>
      <c r="J43" s="580">
        <f>Iberdrola!G21/Iberdrola!G2</f>
        <v>0.10893636042219131</v>
      </c>
    </row>
    <row r="44" spans="1:10">
      <c r="A44" t="s">
        <v>372</v>
      </c>
      <c r="B44" s="580">
        <f>DR!P56/Balanço!P22</f>
        <v>3.6746343203710306E-2</v>
      </c>
      <c r="C44" s="580">
        <f>Endesa!F48/Endesa!B30</f>
        <v>3.6454163330664528E-2</v>
      </c>
      <c r="D44" s="580">
        <f>Galp!G34/Galp!C26</f>
        <v>7.0688068670287052E-5</v>
      </c>
      <c r="E44" s="580">
        <f>Iberdrola!F21/Iberdrola!B35</f>
        <v>2.7405447412616222E-2</v>
      </c>
      <c r="G44" s="580">
        <f>DR!O56/Balanço!O22</f>
        <v>3.7596592989420544E-2</v>
      </c>
      <c r="H44" s="580">
        <f>Endesa!G48/Endesa!C30</f>
        <v>4.366539829081155E-2</v>
      </c>
      <c r="I44" s="580">
        <f>Galp!F34/Galp!B26</f>
        <v>-1.0583005997218472E-2</v>
      </c>
      <c r="J44" s="580">
        <f>Iberdrola!G21/Iberdrola!C35</f>
        <v>2.9470741472753262E-2</v>
      </c>
    </row>
    <row r="45" spans="1:10">
      <c r="A45" t="s">
        <v>373</v>
      </c>
      <c r="B45" s="580">
        <f>DR!P56/Balanço!P31</f>
        <v>7.9566305746193333E-2</v>
      </c>
      <c r="C45" s="580">
        <f>Endesa!F48/Endesa!B34</f>
        <v>0.26280663780663782</v>
      </c>
      <c r="D45" s="580">
        <f>Galp!G34/Galp!C36</f>
        <v>2.3145676170610984E-4</v>
      </c>
      <c r="E45" s="580">
        <f>Iberdrola!F21/Iberdrola!B39</f>
        <v>6.9215028069042825E-2</v>
      </c>
      <c r="G45" s="580">
        <f>DR!O56/Balanço!O31</f>
        <v>7.9181755670044526E-2</v>
      </c>
      <c r="H45" s="580">
        <f>Endesa!G48/Endesa!C34</f>
        <v>0.18754186202277295</v>
      </c>
      <c r="I45" s="580">
        <f>Galp!F34/Galp!B36</f>
        <v>-2.9818134170453793E-2</v>
      </c>
      <c r="J45" s="580">
        <f>Iberdrola!G21/Iberdrola!C39</f>
        <v>7.6467349905470078E-2</v>
      </c>
    </row>
    <row r="46" spans="1:10">
      <c r="B46" s="579"/>
      <c r="C46" s="579"/>
      <c r="D46" s="579"/>
      <c r="E46" s="579"/>
    </row>
    <row r="47" spans="1:10">
      <c r="A47" s="613" t="s">
        <v>374</v>
      </c>
      <c r="B47" s="579"/>
      <c r="C47" s="579"/>
      <c r="D47" s="579"/>
      <c r="E47" s="579"/>
    </row>
    <row r="48" spans="1:10">
      <c r="B48" s="579"/>
      <c r="C48" s="579"/>
      <c r="D48" s="579"/>
      <c r="E48" s="579"/>
    </row>
    <row r="49" spans="1:10">
      <c r="A49" t="s">
        <v>375</v>
      </c>
      <c r="B49" s="579">
        <f>Balanço!P31/Balanço!P22</f>
        <v>0.4618329688565232</v>
      </c>
      <c r="C49" s="579">
        <f>Endesa!B34/Endesa!B30</f>
        <v>0.13871096877502001</v>
      </c>
      <c r="D49" s="579">
        <f>Galp!C36/Galp!C26</f>
        <v>0.30540507068893757</v>
      </c>
      <c r="E49" s="579">
        <f>Iberdrola!B39/Iberdrola!B35</f>
        <v>0.39594648990503856</v>
      </c>
      <c r="G49" s="579">
        <f>Balanço!O31/Balanço!O22</f>
        <v>0.47481383396053972</v>
      </c>
      <c r="H49" s="579">
        <f>Endesa!C34/Endesa!C30</f>
        <v>0.23283014160064874</v>
      </c>
      <c r="I49" s="579">
        <f>Galp!B36/Galp!B26</f>
        <v>0.35491845119219317</v>
      </c>
      <c r="J49" s="579">
        <f>Iberdrola!C39/Iberdrola!C35</f>
        <v>0.38540294006769388</v>
      </c>
    </row>
    <row r="50" spans="1:10">
      <c r="A50" t="s">
        <v>376</v>
      </c>
      <c r="B50" s="579">
        <f>Balanço!P36/Balanço!P31</f>
        <v>0.39714847600617598</v>
      </c>
      <c r="C50" s="579">
        <f>(Endesa!B51+Endesa!B62)/Endesa!B34</f>
        <v>1.871933621933622</v>
      </c>
      <c r="D50" s="579">
        <f>(Galp!C39+Galp!C40+Galp!C48+Galp!C49)/Galp!C36</f>
        <v>0.85384818589799194</v>
      </c>
      <c r="E50" s="579">
        <f>(Iberdrola!B57+Iberdrola!B71)/Iberdrola!B39</f>
        <v>0.73340705321602462</v>
      </c>
      <c r="G50" s="579">
        <f>Balanço!O36/Balanço!O31</f>
        <v>0.4576296146839629</v>
      </c>
      <c r="H50" s="579">
        <f>(Endesa!C51+Endesa!C62)/Endesa!C34</f>
        <v>0.97427997320830539</v>
      </c>
      <c r="I50" s="579">
        <f>(Galp!B39+Galp!B40+Galp!B48+Galp!B49)/Galp!B36</f>
        <v>0.76469160150453785</v>
      </c>
      <c r="J50" s="579">
        <f>(Iberdrola!C57+Iberdrola!C71)/Iberdrola!C39</f>
        <v>0.80556587365713761</v>
      </c>
    </row>
    <row r="51" spans="1:10">
      <c r="B51" s="579"/>
      <c r="C51" s="579"/>
      <c r="D51" s="579"/>
      <c r="E51" s="579"/>
      <c r="G51" s="579"/>
      <c r="H51" s="579"/>
      <c r="I51" s="579"/>
      <c r="J51" s="579"/>
    </row>
    <row r="52" spans="1:10">
      <c r="A52" s="613" t="s">
        <v>359</v>
      </c>
      <c r="B52" s="579"/>
      <c r="C52" s="579"/>
      <c r="D52" s="579"/>
      <c r="E52" s="579"/>
      <c r="G52" s="579"/>
      <c r="H52" s="579"/>
      <c r="I52" s="579"/>
      <c r="J52" s="579"/>
    </row>
    <row r="53" spans="1:10">
      <c r="B53" s="579"/>
      <c r="C53" s="579"/>
      <c r="D53" s="579"/>
      <c r="E53" s="579"/>
      <c r="G53" s="579"/>
      <c r="H53" s="579"/>
      <c r="I53" s="579"/>
      <c r="J53" s="579"/>
    </row>
    <row r="54" spans="1:10">
      <c r="A54" t="s">
        <v>693</v>
      </c>
      <c r="B54" s="579">
        <f>DR!P11/Balanço!P22</f>
        <v>7.9779117067409602E-2</v>
      </c>
      <c r="C54" s="579">
        <f>Endesa!F6/Endesa!B30</f>
        <v>0.5228933146517214</v>
      </c>
      <c r="D54" s="579">
        <f>Galp!G6/Galp!C26</f>
        <v>0.28843299319160343</v>
      </c>
      <c r="E54" s="579">
        <f>Iberdrola!F2/Iberdrola!B35</f>
        <v>0.27592835479433536</v>
      </c>
      <c r="G54" s="579">
        <f>DR!O11/Balanço!O22</f>
        <v>9.529223594704489E-2</v>
      </c>
      <c r="H54" s="579">
        <f>Endesa!G6/Endesa!C30</f>
        <v>0.53178217204166922</v>
      </c>
      <c r="I54" s="579">
        <f>Galp!F6/Galp!B26</f>
        <v>0.20689427968091839</v>
      </c>
      <c r="J54" s="579">
        <f>Iberdrola!G2/Iberdrola!C35</f>
        <v>0.27053172474770698</v>
      </c>
    </row>
    <row r="55" spans="1:10">
      <c r="A55" t="s">
        <v>377</v>
      </c>
      <c r="B55" s="579">
        <f>Balanço!P17-Balanço!P43</f>
        <v>3016.1699999999992</v>
      </c>
      <c r="C55" s="579">
        <f>Endesa!B19-Endesa!B57</f>
        <v>-4170</v>
      </c>
      <c r="D55" s="579">
        <f>Galp!C25-Galp!C55</f>
        <v>7787.3429835199968</v>
      </c>
      <c r="E55" s="579">
        <f>Iberdrola!B22-Iberdrola!B66</f>
        <v>-1969.6630296142866</v>
      </c>
      <c r="G55" s="579">
        <f>Balanço!O17-Balanço!O43</f>
        <v>238.16999999999962</v>
      </c>
      <c r="H55" s="579">
        <f>Endesa!C19-Endesa!C57</f>
        <v>-2321</v>
      </c>
      <c r="I55" s="579">
        <f>Galp!B25-Galp!B55</f>
        <v>6718.7992201399975</v>
      </c>
      <c r="J55" s="579">
        <f>Iberdrola!C22-Iberdrola!C66</f>
        <v>-2958.0588335811699</v>
      </c>
    </row>
    <row r="57" spans="1:10">
      <c r="A57" s="613" t="s">
        <v>378</v>
      </c>
    </row>
    <row r="59" spans="1:10">
      <c r="A59" t="s">
        <v>379</v>
      </c>
      <c r="B59">
        <f>B64/(DR!P56*1000000/Rácios!B66)</f>
        <v>24.619656935077447</v>
      </c>
      <c r="C59">
        <f>C64/(Endesa!F48*1000000/Rácios!C66)</f>
        <v>13.021850267673301</v>
      </c>
      <c r="D59">
        <f>D64/(Galp!G34*1000000/Rácios!D66)</f>
        <v>2792.6281119466439</v>
      </c>
      <c r="E59">
        <f>E64/(Iberdrola!F21*1000000/Rácios!E66)</f>
        <v>17.765970391645961</v>
      </c>
    </row>
    <row r="60" spans="1:10">
      <c r="A60" t="s">
        <v>380</v>
      </c>
      <c r="B60">
        <f>Rácios!B64/(Balanço!P31/Rácios!B66*1000000)</f>
        <v>1.9588951510627612</v>
      </c>
      <c r="C60">
        <f>Rácios!C64/(Endesa!B34/Rácios!C66*1000000)</f>
        <v>3.4222286868686869</v>
      </c>
      <c r="D60">
        <f>Rácios!D64/(Galp!C36/Rácios!D66*1000000)</f>
        <v>0.64637265944061795</v>
      </c>
      <c r="E60">
        <f>Rácios!E64/(Iberdrola!B39/Rácios!E66*1000000)</f>
        <v>1.2296721393315591</v>
      </c>
    </row>
    <row r="61" spans="1:10">
      <c r="A61" t="s">
        <v>381</v>
      </c>
      <c r="B61" s="453">
        <f>B65/B64</f>
        <v>4.3373493975903616E-3</v>
      </c>
      <c r="C61" s="453">
        <f t="shared" ref="C61:E61" si="0">C65/C64</f>
        <v>8.0357142857142849E-2</v>
      </c>
      <c r="D61" s="453">
        <f t="shared" si="0"/>
        <v>3.9565554693560899E-2</v>
      </c>
      <c r="E61" s="453">
        <f t="shared" si="0"/>
        <v>3.3396911898274297E-2</v>
      </c>
    </row>
    <row r="62" spans="1:10">
      <c r="A62" t="s">
        <v>673</v>
      </c>
      <c r="B62" s="584">
        <f>B64/(DR!P11*1000000/B66)</f>
        <v>11.339839253040974</v>
      </c>
      <c r="C62" s="584">
        <f>C64/(Endesa!F6*1000000/C66)</f>
        <v>0.90783462558017136</v>
      </c>
      <c r="D62" s="584">
        <f>D64/((Galp!G6+Galp!G7)*1000000/D66)</f>
        <v>0.66320809571162287</v>
      </c>
      <c r="E62" s="584">
        <f>E64/((Iberdrola!F2)*1000000/E66)</f>
        <v>1.7645318389451203</v>
      </c>
    </row>
    <row r="64" spans="1:10">
      <c r="A64" t="s">
        <v>382</v>
      </c>
      <c r="B64" s="579">
        <v>20.75</v>
      </c>
      <c r="C64" s="579">
        <v>17.920000000000002</v>
      </c>
      <c r="D64" s="579">
        <v>12.89</v>
      </c>
      <c r="E64" s="579">
        <v>11.01</v>
      </c>
    </row>
    <row r="65" spans="1:5">
      <c r="A65" t="s">
        <v>383</v>
      </c>
      <c r="B65" s="579">
        <v>0.09</v>
      </c>
      <c r="C65" s="579">
        <v>1.44</v>
      </c>
      <c r="D65" s="579">
        <v>0.51</v>
      </c>
      <c r="E65" s="579">
        <v>0.36770000000000003</v>
      </c>
    </row>
    <row r="66" spans="1:5">
      <c r="A66" t="s">
        <v>384</v>
      </c>
      <c r="B66" s="579">
        <v>960558162</v>
      </c>
      <c r="C66" s="579">
        <v>1058752000</v>
      </c>
      <c r="D66" s="579">
        <v>829250635</v>
      </c>
      <c r="E66" s="579">
        <v>6268568161</v>
      </c>
    </row>
  </sheetData>
  <mergeCells count="2">
    <mergeCell ref="G32:J32"/>
    <mergeCell ref="B32:E32"/>
  </mergeCells>
  <conditionalFormatting sqref="B59:E59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:E6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:E6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E6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O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O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O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O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O1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O1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O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O1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O2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O2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O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O2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E35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E36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E37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5:J3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:J3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:J3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E41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E42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E4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E44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E44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E45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:E49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E50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:E54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E55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1:J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2:J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:J4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4:J4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J4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J4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0:J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4:J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:J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3D9B3-EA1C-4817-A55E-D8BE611B5750}">
  <sheetPr>
    <tabColor theme="8"/>
  </sheetPr>
  <dimension ref="A2:Q259"/>
  <sheetViews>
    <sheetView zoomScale="55" zoomScaleNormal="55" workbookViewId="0">
      <selection activeCell="J35" sqref="J35"/>
    </sheetView>
  </sheetViews>
  <sheetFormatPr defaultRowHeight="12.5"/>
  <cols>
    <col min="1" max="1" width="9.7265625" bestFit="1" customWidth="1"/>
    <col min="4" max="4" width="15.26953125" bestFit="1" customWidth="1"/>
    <col min="9" max="9" width="48.26953125" bestFit="1" customWidth="1"/>
    <col min="10" max="10" width="12.08984375" bestFit="1" customWidth="1"/>
    <col min="11" max="11" width="14.1796875" bestFit="1" customWidth="1"/>
    <col min="12" max="13" width="11.81640625" bestFit="1" customWidth="1"/>
    <col min="14" max="14" width="13.7265625" bestFit="1" customWidth="1"/>
    <col min="15" max="15" width="11.81640625" bestFit="1" customWidth="1"/>
    <col min="16" max="16" width="12.08984375" bestFit="1" customWidth="1"/>
    <col min="17" max="17" width="12.36328125" bestFit="1" customWidth="1"/>
  </cols>
  <sheetData>
    <row r="2" spans="1:14">
      <c r="A2" t="s">
        <v>385</v>
      </c>
      <c r="B2" t="s">
        <v>386</v>
      </c>
      <c r="D2" t="s">
        <v>360</v>
      </c>
    </row>
    <row r="3" spans="1:14">
      <c r="A3" t="s">
        <v>387</v>
      </c>
      <c r="B3">
        <v>5726.11</v>
      </c>
      <c r="C3" s="453">
        <f>B3/B4-1</f>
        <v>-1.2358221106082423E-2</v>
      </c>
      <c r="D3">
        <v>20.58</v>
      </c>
      <c r="E3" s="453">
        <f>D3/D4-1</f>
        <v>-1.766109785202874E-2</v>
      </c>
      <c r="I3" t="s">
        <v>644</v>
      </c>
    </row>
    <row r="4" spans="1:14" ht="13" thickBot="1">
      <c r="A4" t="s">
        <v>388</v>
      </c>
      <c r="B4">
        <v>5797.76</v>
      </c>
      <c r="C4" s="453">
        <f t="shared" ref="C4:C67" si="0">B4/B5-1</f>
        <v>1.1776038867210792E-2</v>
      </c>
      <c r="D4">
        <v>20.95</v>
      </c>
      <c r="E4" s="453">
        <f t="shared" ref="E4:E67" si="1">D4/D5-1</f>
        <v>1.4036786060019235E-2</v>
      </c>
    </row>
    <row r="5" spans="1:14">
      <c r="A5" t="s">
        <v>389</v>
      </c>
      <c r="B5">
        <v>5730.28</v>
      </c>
      <c r="C5" s="453">
        <f t="shared" si="0"/>
        <v>-4.6378483163046491E-3</v>
      </c>
      <c r="D5">
        <v>20.66</v>
      </c>
      <c r="E5" s="453">
        <f t="shared" si="1"/>
        <v>-5.7747834456208791E-3</v>
      </c>
      <c r="I5" s="583" t="s">
        <v>645</v>
      </c>
      <c r="J5" s="583"/>
    </row>
    <row r="6" spans="1:14">
      <c r="A6" t="s">
        <v>390</v>
      </c>
      <c r="B6">
        <v>5756.98</v>
      </c>
      <c r="C6" s="453">
        <f t="shared" si="0"/>
        <v>-4.1859966304458318E-3</v>
      </c>
      <c r="D6">
        <v>20.78</v>
      </c>
      <c r="E6" s="453">
        <f t="shared" si="1"/>
        <v>-7.6408787010506796E-3</v>
      </c>
      <c r="I6" t="s">
        <v>646</v>
      </c>
      <c r="J6">
        <v>0.5766369093305822</v>
      </c>
    </row>
    <row r="7" spans="1:14">
      <c r="A7" t="s">
        <v>391</v>
      </c>
      <c r="B7">
        <v>5781.18</v>
      </c>
      <c r="C7" s="453">
        <f t="shared" si="0"/>
        <v>3.0606189945763251E-3</v>
      </c>
      <c r="D7">
        <v>20.94</v>
      </c>
      <c r="E7" s="453">
        <f t="shared" si="1"/>
        <v>-4.2796005706133844E-3</v>
      </c>
      <c r="I7" t="s">
        <v>647</v>
      </c>
      <c r="J7">
        <v>0.33251012520232609</v>
      </c>
    </row>
    <row r="8" spans="1:14">
      <c r="A8" t="s">
        <v>392</v>
      </c>
      <c r="B8">
        <v>5763.54</v>
      </c>
      <c r="C8" s="453">
        <f t="shared" si="0"/>
        <v>-3.434208883154044E-4</v>
      </c>
      <c r="D8">
        <v>21.03</v>
      </c>
      <c r="E8" s="453">
        <f t="shared" si="1"/>
        <v>1.4285714285715567E-3</v>
      </c>
      <c r="I8" t="s">
        <v>648</v>
      </c>
      <c r="J8">
        <v>0.32987182530194004</v>
      </c>
    </row>
    <row r="9" spans="1:14">
      <c r="A9" t="s">
        <v>393</v>
      </c>
      <c r="B9">
        <v>5765.52</v>
      </c>
      <c r="C9" s="453">
        <f t="shared" si="0"/>
        <v>4.8066030666058523E-3</v>
      </c>
      <c r="D9">
        <v>21</v>
      </c>
      <c r="E9" s="453">
        <f t="shared" si="1"/>
        <v>-3.3222591362126463E-3</v>
      </c>
      <c r="I9" t="s">
        <v>649</v>
      </c>
      <c r="J9">
        <v>1.9053934369629957E-2</v>
      </c>
    </row>
    <row r="10" spans="1:14" ht="13" thickBot="1">
      <c r="A10" t="s">
        <v>394</v>
      </c>
      <c r="B10">
        <v>5737.94</v>
      </c>
      <c r="C10" s="453">
        <f t="shared" si="0"/>
        <v>5.7209962666291414E-3</v>
      </c>
      <c r="D10">
        <v>21.07</v>
      </c>
      <c r="E10" s="453">
        <f t="shared" si="1"/>
        <v>-2.1365536460752454E-2</v>
      </c>
      <c r="I10" s="581" t="s">
        <v>650</v>
      </c>
      <c r="J10" s="581">
        <v>255</v>
      </c>
    </row>
    <row r="11" spans="1:14">
      <c r="A11" t="s">
        <v>395</v>
      </c>
      <c r="B11">
        <v>5705.3</v>
      </c>
      <c r="C11" s="453">
        <f t="shared" si="0"/>
        <v>2.8017211074709003E-3</v>
      </c>
      <c r="D11">
        <v>21.53</v>
      </c>
      <c r="E11" s="453">
        <f t="shared" si="1"/>
        <v>4.6663555762949116E-3</v>
      </c>
    </row>
    <row r="12" spans="1:14" ht="13" thickBot="1">
      <c r="A12" t="s">
        <v>396</v>
      </c>
      <c r="B12">
        <v>5689.36</v>
      </c>
      <c r="C12" s="453">
        <f t="shared" si="0"/>
        <v>-7.4216228475723067E-3</v>
      </c>
      <c r="D12">
        <v>21.43</v>
      </c>
      <c r="E12" s="453">
        <f t="shared" si="1"/>
        <v>-7.8703703703704164E-3</v>
      </c>
      <c r="I12" t="s">
        <v>651</v>
      </c>
    </row>
    <row r="13" spans="1:14">
      <c r="A13" t="s">
        <v>397</v>
      </c>
      <c r="B13">
        <v>5731.9</v>
      </c>
      <c r="C13" s="453">
        <f t="shared" si="0"/>
        <v>-9.5812418464410465E-3</v>
      </c>
      <c r="D13">
        <v>21.6</v>
      </c>
      <c r="E13" s="453">
        <f t="shared" si="1"/>
        <v>-3.1390134529147962E-2</v>
      </c>
      <c r="I13" s="582"/>
      <c r="J13" s="582" t="s">
        <v>656</v>
      </c>
      <c r="K13" s="582" t="s">
        <v>657</v>
      </c>
      <c r="L13" s="582" t="s">
        <v>658</v>
      </c>
      <c r="M13" s="582" t="s">
        <v>659</v>
      </c>
      <c r="N13" s="582" t="s">
        <v>660</v>
      </c>
    </row>
    <row r="14" spans="1:14">
      <c r="A14" t="s">
        <v>398</v>
      </c>
      <c r="B14">
        <v>5787.35</v>
      </c>
      <c r="C14" s="453">
        <f t="shared" si="0"/>
        <v>-9.839376494247265E-4</v>
      </c>
      <c r="D14">
        <v>22.3</v>
      </c>
      <c r="E14" s="453">
        <f t="shared" si="1"/>
        <v>8.5933966530982175E-3</v>
      </c>
      <c r="I14" t="s">
        <v>652</v>
      </c>
      <c r="J14">
        <v>1</v>
      </c>
      <c r="K14">
        <v>4.5756209874552853E-2</v>
      </c>
      <c r="L14">
        <v>4.5756209874552853E-2</v>
      </c>
      <c r="M14">
        <v>126.0319667046456</v>
      </c>
      <c r="N14">
        <v>5.3449775646577894E-24</v>
      </c>
    </row>
    <row r="15" spans="1:14">
      <c r="A15" t="s">
        <v>399</v>
      </c>
      <c r="B15">
        <v>5793.05</v>
      </c>
      <c r="C15" s="453">
        <f t="shared" si="0"/>
        <v>3.9321636778295588E-3</v>
      </c>
      <c r="D15">
        <v>22.11</v>
      </c>
      <c r="E15" s="453">
        <f t="shared" si="1"/>
        <v>9.1282519397535289E-3</v>
      </c>
      <c r="I15" t="s">
        <v>653</v>
      </c>
      <c r="J15">
        <v>253</v>
      </c>
      <c r="K15">
        <v>9.1852260985427939E-2</v>
      </c>
      <c r="L15">
        <v>3.6305241496216575E-4</v>
      </c>
    </row>
    <row r="16" spans="1:14" ht="13" thickBot="1">
      <c r="A16" t="s">
        <v>400</v>
      </c>
      <c r="B16">
        <v>5770.36</v>
      </c>
      <c r="C16" s="453">
        <f t="shared" si="0"/>
        <v>3.2233275728377198E-3</v>
      </c>
      <c r="D16">
        <v>21.91</v>
      </c>
      <c r="E16" s="453">
        <f t="shared" si="1"/>
        <v>1.7649790989317182E-2</v>
      </c>
      <c r="I16" s="581" t="s">
        <v>654</v>
      </c>
      <c r="J16" s="581">
        <v>254</v>
      </c>
      <c r="K16" s="581">
        <v>0.13760847085998079</v>
      </c>
      <c r="L16" s="581"/>
      <c r="M16" s="581"/>
      <c r="N16" s="581"/>
    </row>
    <row r="17" spans="1:17" ht="13" thickBot="1">
      <c r="A17" t="s">
        <v>401</v>
      </c>
      <c r="B17">
        <v>5751.82</v>
      </c>
      <c r="C17" s="453">
        <f t="shared" si="0"/>
        <v>1.0877945965326319E-3</v>
      </c>
      <c r="D17">
        <v>21.53</v>
      </c>
      <c r="E17" s="453">
        <f t="shared" si="1"/>
        <v>6.5451145395045707E-3</v>
      </c>
    </row>
    <row r="18" spans="1:17">
      <c r="A18" t="s">
        <v>402</v>
      </c>
      <c r="B18">
        <v>5745.57</v>
      </c>
      <c r="C18" s="453">
        <f t="shared" si="0"/>
        <v>-9.3281169445847967E-3</v>
      </c>
      <c r="D18">
        <v>21.39</v>
      </c>
      <c r="E18" s="453">
        <f t="shared" si="1"/>
        <v>-2.1947873799725626E-2</v>
      </c>
      <c r="I18" s="582"/>
      <c r="J18" s="582" t="s">
        <v>661</v>
      </c>
      <c r="K18" s="582" t="s">
        <v>649</v>
      </c>
      <c r="L18" s="582" t="s">
        <v>662</v>
      </c>
      <c r="M18" s="582" t="s">
        <v>663</v>
      </c>
      <c r="N18" s="582" t="s">
        <v>664</v>
      </c>
      <c r="O18" s="582" t="s">
        <v>665</v>
      </c>
      <c r="P18" s="582" t="s">
        <v>666</v>
      </c>
      <c r="Q18" s="582" t="s">
        <v>667</v>
      </c>
    </row>
    <row r="19" spans="1:17">
      <c r="A19" t="s">
        <v>403</v>
      </c>
      <c r="B19">
        <v>5799.67</v>
      </c>
      <c r="C19" s="453">
        <f t="shared" si="0"/>
        <v>-9.0743202375622722E-3</v>
      </c>
      <c r="D19">
        <v>21.87</v>
      </c>
      <c r="E19" s="453">
        <f t="shared" si="1"/>
        <v>-4.5516613563949537E-3</v>
      </c>
      <c r="I19" t="s">
        <v>655</v>
      </c>
      <c r="J19">
        <v>-1.3557658464452864E-4</v>
      </c>
      <c r="K19">
        <v>1.1933468314643386E-3</v>
      </c>
      <c r="L19">
        <v>-0.11361037803080649</v>
      </c>
      <c r="M19">
        <v>0.90963676058024556</v>
      </c>
      <c r="N19">
        <v>-2.4857357006952078E-3</v>
      </c>
      <c r="O19">
        <v>2.2145825314061505E-3</v>
      </c>
      <c r="P19">
        <v>-2.4857357006952078E-3</v>
      </c>
      <c r="Q19">
        <v>2.2145825314061505E-3</v>
      </c>
    </row>
    <row r="20" spans="1:17" ht="13" thickBot="1">
      <c r="A20" t="s">
        <v>404</v>
      </c>
      <c r="B20">
        <v>5852.78</v>
      </c>
      <c r="C20" s="453">
        <f t="shared" si="0"/>
        <v>-2.1635094885832373E-3</v>
      </c>
      <c r="D20">
        <v>21.97</v>
      </c>
      <c r="E20" s="453">
        <f t="shared" si="1"/>
        <v>-7.2300045187528861E-3</v>
      </c>
      <c r="I20" s="581" t="s">
        <v>680</v>
      </c>
      <c r="J20" s="581">
        <v>1.2225548679424771</v>
      </c>
      <c r="K20" s="581">
        <v>0.10890003079321113</v>
      </c>
      <c r="L20" s="581">
        <v>11.226395980217589</v>
      </c>
      <c r="M20" s="581">
        <v>5.344977564657713E-24</v>
      </c>
      <c r="N20" s="581">
        <v>1.008088802119171</v>
      </c>
      <c r="O20" s="581">
        <v>1.4370209337657833</v>
      </c>
      <c r="P20" s="581">
        <v>1.008088802119171</v>
      </c>
      <c r="Q20" s="581">
        <v>1.4370209337657833</v>
      </c>
    </row>
    <row r="21" spans="1:17">
      <c r="A21" t="s">
        <v>405</v>
      </c>
      <c r="B21">
        <v>5865.47</v>
      </c>
      <c r="C21" s="453">
        <f t="shared" si="0"/>
        <v>1.5196608253638111E-3</v>
      </c>
      <c r="D21">
        <v>22.13</v>
      </c>
      <c r="E21" s="453">
        <f t="shared" si="1"/>
        <v>4.5392646391284597E-3</v>
      </c>
    </row>
    <row r="22" spans="1:17">
      <c r="A22" t="s">
        <v>406</v>
      </c>
      <c r="B22">
        <v>5856.57</v>
      </c>
      <c r="C22" s="453">
        <f t="shared" si="0"/>
        <v>-1.1921251579574244E-2</v>
      </c>
      <c r="D22">
        <v>22.03</v>
      </c>
      <c r="E22" s="453">
        <f t="shared" si="1"/>
        <v>-2.565236620964173E-2</v>
      </c>
    </row>
    <row r="23" spans="1:17" ht="13" thickBot="1">
      <c r="A23" t="s">
        <v>407</v>
      </c>
      <c r="B23">
        <v>5927.23</v>
      </c>
      <c r="C23" s="453">
        <f t="shared" si="0"/>
        <v>1.1008598442012074E-2</v>
      </c>
      <c r="D23">
        <v>22.61</v>
      </c>
      <c r="E23" s="453">
        <f t="shared" si="1"/>
        <v>2.5396825396825307E-2</v>
      </c>
    </row>
    <row r="24" spans="1:17">
      <c r="A24" t="s">
        <v>408</v>
      </c>
      <c r="B24">
        <v>5862.69</v>
      </c>
      <c r="C24" s="453">
        <f t="shared" si="0"/>
        <v>5.5347642193872559E-3</v>
      </c>
      <c r="D24">
        <v>22.05</v>
      </c>
      <c r="E24" s="453">
        <f t="shared" si="1"/>
        <v>1.4726184997698955E-2</v>
      </c>
      <c r="I24" s="595" t="s">
        <v>681</v>
      </c>
      <c r="J24" s="606">
        <v>2.8299999999999999E-2</v>
      </c>
      <c r="L24" t="s">
        <v>668</v>
      </c>
    </row>
    <row r="25" spans="1:17">
      <c r="A25" t="s">
        <v>409</v>
      </c>
      <c r="B25">
        <v>5830.42</v>
      </c>
      <c r="C25" s="453">
        <f t="shared" si="0"/>
        <v>2.0038633660779404E-3</v>
      </c>
      <c r="D25">
        <v>21.73</v>
      </c>
      <c r="E25" s="453">
        <f t="shared" si="1"/>
        <v>-1.8961625282166938E-2</v>
      </c>
      <c r="I25" s="597" t="s">
        <v>669</v>
      </c>
      <c r="J25" s="599">
        <f>J20</f>
        <v>1.2225548679424771</v>
      </c>
    </row>
    <row r="26" spans="1:17">
      <c r="A26" t="s">
        <v>410</v>
      </c>
      <c r="B26">
        <v>5818.76</v>
      </c>
      <c r="C26" s="453">
        <f t="shared" si="0"/>
        <v>-1.0069837273198878E-2</v>
      </c>
      <c r="D26">
        <v>22.15</v>
      </c>
      <c r="E26" s="453">
        <f t="shared" si="1"/>
        <v>-1.9477644975652963E-2</v>
      </c>
      <c r="I26" s="597" t="s">
        <v>670</v>
      </c>
      <c r="J26" s="607">
        <v>4.2999999999999997E-2</v>
      </c>
    </row>
    <row r="27" spans="1:17">
      <c r="A27" t="s">
        <v>411</v>
      </c>
      <c r="B27">
        <v>5877.95</v>
      </c>
      <c r="C27" s="453">
        <f t="shared" si="0"/>
        <v>-3.6904008761728946E-4</v>
      </c>
      <c r="D27">
        <v>22.59</v>
      </c>
      <c r="E27" s="453">
        <f t="shared" si="1"/>
        <v>-1.4397905759162333E-2</v>
      </c>
      <c r="I27" s="597"/>
      <c r="J27" s="599"/>
    </row>
    <row r="28" spans="1:17">
      <c r="A28" t="s">
        <v>412</v>
      </c>
      <c r="B28">
        <v>5880.12</v>
      </c>
      <c r="C28" s="453">
        <f t="shared" si="0"/>
        <v>1.5926360596649758E-3</v>
      </c>
      <c r="D28">
        <v>22.92</v>
      </c>
      <c r="E28" s="453">
        <f t="shared" si="1"/>
        <v>9.6916299559473007E-3</v>
      </c>
      <c r="I28" s="597" t="s">
        <v>115</v>
      </c>
      <c r="J28" s="598">
        <f>J26*J20+J24</f>
        <v>8.0869859321526516E-2</v>
      </c>
    </row>
    <row r="29" spans="1:17">
      <c r="A29" t="s">
        <v>413</v>
      </c>
      <c r="B29">
        <v>5870.77</v>
      </c>
      <c r="C29" s="453">
        <f t="shared" si="0"/>
        <v>4.1323091500888864E-3</v>
      </c>
      <c r="D29">
        <v>22.7</v>
      </c>
      <c r="E29" s="453">
        <f t="shared" si="1"/>
        <v>2.2062134173795434E-2</v>
      </c>
      <c r="I29" s="597" t="s">
        <v>682</v>
      </c>
      <c r="J29" s="598">
        <f>DR!Q49</f>
        <v>7.5206339519022516E-2</v>
      </c>
    </row>
    <row r="30" spans="1:17">
      <c r="A30" t="s">
        <v>414</v>
      </c>
      <c r="B30">
        <v>5846.61</v>
      </c>
      <c r="C30" s="453">
        <f t="shared" si="0"/>
        <v>1.3955609818700143E-2</v>
      </c>
      <c r="D30">
        <v>22.21</v>
      </c>
      <c r="E30" s="453">
        <f t="shared" si="1"/>
        <v>-5.8191584601611224E-3</v>
      </c>
      <c r="I30" s="597" t="s">
        <v>695</v>
      </c>
      <c r="J30" s="598">
        <v>0.25</v>
      </c>
    </row>
    <row r="31" spans="1:17">
      <c r="A31" t="s">
        <v>415</v>
      </c>
      <c r="B31">
        <v>5766.14</v>
      </c>
      <c r="C31" s="453">
        <f t="shared" si="0"/>
        <v>2.0811582339241852E-5</v>
      </c>
      <c r="D31">
        <v>22.34</v>
      </c>
      <c r="E31" s="453">
        <f t="shared" si="1"/>
        <v>1.7937219730941312E-3</v>
      </c>
      <c r="I31" s="597" t="s">
        <v>677</v>
      </c>
      <c r="J31" s="598">
        <f>1-J32</f>
        <v>0.3359694329916646</v>
      </c>
    </row>
    <row r="32" spans="1:17">
      <c r="A32" t="s">
        <v>416</v>
      </c>
      <c r="B32">
        <v>5766.02</v>
      </c>
      <c r="C32" s="453">
        <f t="shared" si="0"/>
        <v>4.8044332528820455E-3</v>
      </c>
      <c r="D32">
        <v>22.3</v>
      </c>
      <c r="E32" s="453">
        <f t="shared" si="1"/>
        <v>1.4097316962255579E-2</v>
      </c>
      <c r="I32" s="597" t="s">
        <v>678</v>
      </c>
      <c r="J32" s="598">
        <f>AVERAGE(Balanço!C32:P32)</f>
        <v>0.6640305670083354</v>
      </c>
    </row>
    <row r="33" spans="1:10">
      <c r="A33" t="s">
        <v>417</v>
      </c>
      <c r="B33">
        <v>5738.45</v>
      </c>
      <c r="C33" s="453">
        <f t="shared" si="0"/>
        <v>-1.0229812893255419E-2</v>
      </c>
      <c r="D33">
        <v>21.99</v>
      </c>
      <c r="E33" s="453">
        <f t="shared" si="1"/>
        <v>9.1033227127890193E-4</v>
      </c>
      <c r="I33" s="597"/>
      <c r="J33" s="599"/>
    </row>
    <row r="34" spans="1:10">
      <c r="A34" t="s">
        <v>418</v>
      </c>
      <c r="B34">
        <v>5797.76</v>
      </c>
      <c r="C34" s="453">
        <f t="shared" si="0"/>
        <v>-3.5268154849885658E-3</v>
      </c>
      <c r="D34">
        <v>21.97</v>
      </c>
      <c r="E34" s="453">
        <f t="shared" si="1"/>
        <v>-4.5310376076121983E-3</v>
      </c>
      <c r="I34" s="608"/>
      <c r="J34" s="609"/>
    </row>
    <row r="35" spans="1:10" ht="13" thickBot="1">
      <c r="A35" t="s">
        <v>419</v>
      </c>
      <c r="B35">
        <v>5818.28</v>
      </c>
      <c r="C35" s="453">
        <f t="shared" si="0"/>
        <v>6.6507031336506817E-3</v>
      </c>
      <c r="D35">
        <v>22.07</v>
      </c>
      <c r="E35" s="453">
        <f t="shared" si="1"/>
        <v>8.2229328460483586E-3</v>
      </c>
      <c r="I35" s="600" t="s">
        <v>683</v>
      </c>
      <c r="J35" s="610">
        <f>J31*(1-J30)*J29+J28*J32</f>
        <v>7.2650331973346027E-2</v>
      </c>
    </row>
    <row r="36" spans="1:10">
      <c r="A36" t="s">
        <v>420</v>
      </c>
      <c r="B36">
        <v>5779.84</v>
      </c>
      <c r="C36" s="453">
        <f t="shared" si="0"/>
        <v>7.0565605104420115E-3</v>
      </c>
      <c r="D36">
        <v>21.89</v>
      </c>
      <c r="E36" s="453">
        <f t="shared" si="1"/>
        <v>-4.5475216007274666E-3</v>
      </c>
    </row>
    <row r="37" spans="1:10">
      <c r="A37" t="s">
        <v>421</v>
      </c>
      <c r="B37">
        <v>5739.34</v>
      </c>
      <c r="C37" s="453">
        <f t="shared" si="0"/>
        <v>-1.6611580301869822E-2</v>
      </c>
      <c r="D37">
        <v>21.99</v>
      </c>
      <c r="E37" s="453">
        <f t="shared" si="1"/>
        <v>-3.4679543459174789E-2</v>
      </c>
    </row>
    <row r="38" spans="1:10">
      <c r="A38" t="s">
        <v>422</v>
      </c>
      <c r="B38">
        <v>5836.29</v>
      </c>
      <c r="C38" s="453">
        <f t="shared" si="0"/>
        <v>7.9669646434641361E-3</v>
      </c>
      <c r="D38">
        <v>22.78</v>
      </c>
      <c r="E38" s="453">
        <f t="shared" si="1"/>
        <v>5.4629629629629584E-2</v>
      </c>
    </row>
    <row r="39" spans="1:10">
      <c r="A39" t="s">
        <v>423</v>
      </c>
      <c r="B39">
        <v>5790.16</v>
      </c>
      <c r="C39" s="453">
        <f t="shared" si="0"/>
        <v>3.4208948395437755E-3</v>
      </c>
      <c r="D39">
        <v>21.6</v>
      </c>
      <c r="E39" s="453">
        <f t="shared" si="1"/>
        <v>3.2512772875057383E-3</v>
      </c>
    </row>
    <row r="40" spans="1:10">
      <c r="A40" t="s">
        <v>424</v>
      </c>
      <c r="B40">
        <v>5770.42</v>
      </c>
      <c r="C40" s="453">
        <f t="shared" si="0"/>
        <v>8.5855966642789383E-4</v>
      </c>
      <c r="D40">
        <v>21.53</v>
      </c>
      <c r="E40" s="453">
        <f t="shared" si="1"/>
        <v>1.6045304388862647E-2</v>
      </c>
    </row>
    <row r="41" spans="1:10">
      <c r="A41" t="s">
        <v>425</v>
      </c>
      <c r="B41">
        <v>5765.47</v>
      </c>
      <c r="C41" s="453">
        <f t="shared" si="0"/>
        <v>5.3200022319248585E-3</v>
      </c>
      <c r="D41">
        <v>21.19</v>
      </c>
      <c r="E41" s="453">
        <f t="shared" si="1"/>
        <v>-6.0975609756097615E-3</v>
      </c>
    </row>
    <row r="42" spans="1:10">
      <c r="A42" t="s">
        <v>426</v>
      </c>
      <c r="B42">
        <v>5734.96</v>
      </c>
      <c r="C42" s="453">
        <f t="shared" si="0"/>
        <v>-7.3181441186509488E-4</v>
      </c>
      <c r="D42">
        <v>21.32</v>
      </c>
      <c r="E42" s="453">
        <f t="shared" si="1"/>
        <v>1.4091122592767569E-3</v>
      </c>
    </row>
    <row r="43" spans="1:10">
      <c r="A43" t="s">
        <v>427</v>
      </c>
      <c r="B43">
        <v>5739.16</v>
      </c>
      <c r="C43" s="453">
        <f t="shared" si="0"/>
        <v>8.8069465008522307E-4</v>
      </c>
      <c r="D43">
        <v>21.29</v>
      </c>
      <c r="E43" s="453">
        <f t="shared" si="1"/>
        <v>-5.1401869158878011E-3</v>
      </c>
    </row>
    <row r="44" spans="1:10">
      <c r="A44" t="s">
        <v>428</v>
      </c>
      <c r="B44">
        <v>5734.11</v>
      </c>
      <c r="C44" s="453">
        <f t="shared" si="0"/>
        <v>-1.6096651978750653E-2</v>
      </c>
      <c r="D44">
        <v>21.4</v>
      </c>
      <c r="E44" s="453">
        <f t="shared" si="1"/>
        <v>-1.1547344110854452E-2</v>
      </c>
    </row>
    <row r="45" spans="1:10">
      <c r="A45" t="s">
        <v>429</v>
      </c>
      <c r="B45">
        <v>5827.92</v>
      </c>
      <c r="C45" s="453">
        <f t="shared" si="0"/>
        <v>1.9173597655238961E-2</v>
      </c>
      <c r="D45">
        <v>21.65</v>
      </c>
      <c r="E45" s="453">
        <f t="shared" si="1"/>
        <v>1.5954950727357975E-2</v>
      </c>
    </row>
    <row r="46" spans="1:10">
      <c r="A46" t="s">
        <v>430</v>
      </c>
      <c r="B46">
        <v>5718.28</v>
      </c>
      <c r="C46" s="453">
        <f t="shared" si="0"/>
        <v>1.0727182422197279E-2</v>
      </c>
      <c r="D46">
        <v>21.31</v>
      </c>
      <c r="E46" s="453">
        <f t="shared" si="1"/>
        <v>5.6630486078337317E-3</v>
      </c>
    </row>
    <row r="47" spans="1:10">
      <c r="A47" t="s">
        <v>431</v>
      </c>
      <c r="B47">
        <v>5657.59</v>
      </c>
      <c r="C47" s="453">
        <f t="shared" si="0"/>
        <v>-3.1697200990911112E-3</v>
      </c>
      <c r="D47">
        <v>21.19</v>
      </c>
      <c r="E47" s="453">
        <f t="shared" si="1"/>
        <v>-2.3052097740894451E-2</v>
      </c>
    </row>
    <row r="48" spans="1:10">
      <c r="A48" t="s">
        <v>432</v>
      </c>
      <c r="B48">
        <v>5675.58</v>
      </c>
      <c r="C48" s="453">
        <f t="shared" si="0"/>
        <v>-3.0231222300488581E-3</v>
      </c>
      <c r="D48">
        <v>21.69</v>
      </c>
      <c r="E48" s="453">
        <f t="shared" si="1"/>
        <v>-9.2123445416858463E-4</v>
      </c>
    </row>
    <row r="49" spans="1:5">
      <c r="A49" t="s">
        <v>433</v>
      </c>
      <c r="B49">
        <v>5692.79</v>
      </c>
      <c r="C49" s="453">
        <f t="shared" si="0"/>
        <v>7.2703788240706668E-3</v>
      </c>
      <c r="D49">
        <v>21.71</v>
      </c>
      <c r="E49" s="453">
        <f t="shared" si="1"/>
        <v>4.9806576402321223E-2</v>
      </c>
    </row>
    <row r="50" spans="1:5">
      <c r="A50" t="s">
        <v>434</v>
      </c>
      <c r="B50">
        <v>5651.7</v>
      </c>
      <c r="C50" s="453">
        <f t="shared" si="0"/>
        <v>1.5886197450443174E-2</v>
      </c>
      <c r="D50">
        <v>20.68</v>
      </c>
      <c r="E50" s="453">
        <f t="shared" si="1"/>
        <v>8.2886396879569002E-3</v>
      </c>
    </row>
    <row r="51" spans="1:5">
      <c r="A51" t="s">
        <v>435</v>
      </c>
      <c r="B51">
        <v>5563.32</v>
      </c>
      <c r="C51" s="453">
        <f t="shared" si="0"/>
        <v>1.299722866600872E-2</v>
      </c>
      <c r="D51">
        <v>20.51</v>
      </c>
      <c r="E51" s="453">
        <f t="shared" si="1"/>
        <v>3.4291477559253769E-2</v>
      </c>
    </row>
    <row r="52" spans="1:5">
      <c r="A52" t="s">
        <v>436</v>
      </c>
      <c r="B52">
        <v>5491.94</v>
      </c>
      <c r="C52" s="453">
        <f t="shared" si="0"/>
        <v>4.657476108940406E-3</v>
      </c>
      <c r="D52">
        <v>19.829999999999998</v>
      </c>
      <c r="E52" s="453">
        <f t="shared" si="1"/>
        <v>-1.6369047619047672E-2</v>
      </c>
    </row>
    <row r="53" spans="1:5">
      <c r="A53" t="s">
        <v>437</v>
      </c>
      <c r="B53">
        <v>5466.48</v>
      </c>
      <c r="C53" s="453">
        <f t="shared" si="0"/>
        <v>7.4028207013603353E-3</v>
      </c>
      <c r="D53">
        <v>20.16</v>
      </c>
      <c r="E53" s="453">
        <f t="shared" si="1"/>
        <v>1.4903129657228842E-3</v>
      </c>
    </row>
    <row r="54" spans="1:5">
      <c r="A54" t="s">
        <v>438</v>
      </c>
      <c r="B54">
        <v>5426.31</v>
      </c>
      <c r="C54" s="453">
        <f t="shared" si="0"/>
        <v>4.8759439849779262E-3</v>
      </c>
      <c r="D54">
        <v>20.13</v>
      </c>
      <c r="E54" s="453">
        <f t="shared" si="1"/>
        <v>-7.8856579595859566E-3</v>
      </c>
    </row>
    <row r="55" spans="1:5">
      <c r="A55" t="s">
        <v>439</v>
      </c>
      <c r="B55">
        <v>5399.98</v>
      </c>
      <c r="C55" s="453">
        <f t="shared" si="0"/>
        <v>-4.7734192425930022E-3</v>
      </c>
      <c r="D55">
        <v>20.29</v>
      </c>
      <c r="E55" s="453">
        <f t="shared" si="1"/>
        <v>1.0961634280019839E-2</v>
      </c>
    </row>
    <row r="56" spans="1:5">
      <c r="A56" t="s">
        <v>440</v>
      </c>
      <c r="B56">
        <v>5425.88</v>
      </c>
      <c r="C56" s="453">
        <f t="shared" si="0"/>
        <v>1.6082397003745363E-2</v>
      </c>
      <c r="D56">
        <v>20.07</v>
      </c>
      <c r="E56" s="453">
        <f t="shared" si="1"/>
        <v>2.4502297090352343E-2</v>
      </c>
    </row>
    <row r="57" spans="1:5">
      <c r="A57" t="s">
        <v>441</v>
      </c>
      <c r="B57">
        <v>5340</v>
      </c>
      <c r="C57" s="453">
        <f t="shared" si="0"/>
        <v>1.6376219080465049E-2</v>
      </c>
      <c r="D57">
        <v>19.59</v>
      </c>
      <c r="E57" s="453">
        <f t="shared" si="1"/>
        <v>2.5654450261779926E-2</v>
      </c>
    </row>
    <row r="58" spans="1:5">
      <c r="A58" t="s">
        <v>442</v>
      </c>
      <c r="B58">
        <v>5253.96</v>
      </c>
      <c r="C58" s="453">
        <f t="shared" si="0"/>
        <v>1.2269087602210238E-2</v>
      </c>
      <c r="D58">
        <v>19.100000000000001</v>
      </c>
      <c r="E58" s="453">
        <f t="shared" si="1"/>
        <v>-9.8496630378432926E-3</v>
      </c>
    </row>
    <row r="59" spans="1:5">
      <c r="A59" t="s">
        <v>443</v>
      </c>
      <c r="B59">
        <v>5190.28</v>
      </c>
      <c r="C59" s="453">
        <f t="shared" si="0"/>
        <v>-1.8628044168809588E-2</v>
      </c>
      <c r="D59">
        <v>19.29</v>
      </c>
      <c r="E59" s="453">
        <f t="shared" si="1"/>
        <v>-3.8384845463609207E-2</v>
      </c>
    </row>
    <row r="60" spans="1:5">
      <c r="A60" t="s">
        <v>444</v>
      </c>
      <c r="B60">
        <v>5288.8</v>
      </c>
      <c r="C60" s="453">
        <f t="shared" si="0"/>
        <v>-4.5754746278543479E-3</v>
      </c>
      <c r="D60">
        <v>20.059999999999999</v>
      </c>
      <c r="E60" s="453">
        <f t="shared" si="1"/>
        <v>-2.6686074721009256E-2</v>
      </c>
    </row>
    <row r="61" spans="1:5">
      <c r="A61" t="s">
        <v>445</v>
      </c>
      <c r="B61">
        <v>5313.11</v>
      </c>
      <c r="C61" s="453">
        <f t="shared" si="0"/>
        <v>-7.7670084225073266E-3</v>
      </c>
      <c r="D61">
        <v>20.61</v>
      </c>
      <c r="E61" s="453">
        <f t="shared" si="1"/>
        <v>-1.7635843660629202E-2</v>
      </c>
    </row>
    <row r="62" spans="1:5">
      <c r="A62" t="s">
        <v>446</v>
      </c>
      <c r="B62">
        <v>5354.7</v>
      </c>
      <c r="C62" s="453">
        <f t="shared" si="0"/>
        <v>-9.7056136470398124E-3</v>
      </c>
      <c r="D62">
        <v>20.98</v>
      </c>
      <c r="E62" s="453">
        <f t="shared" si="1"/>
        <v>-2.6450116009280711E-2</v>
      </c>
    </row>
    <row r="63" spans="1:5">
      <c r="A63" t="s">
        <v>447</v>
      </c>
      <c r="B63">
        <v>5407.18</v>
      </c>
      <c r="C63" s="453">
        <f t="shared" si="0"/>
        <v>-6.7798291358150964E-3</v>
      </c>
      <c r="D63">
        <v>21.55</v>
      </c>
      <c r="E63" s="453">
        <f t="shared" si="1"/>
        <v>-1.8223234624145768E-2</v>
      </c>
    </row>
    <row r="64" spans="1:5">
      <c r="A64" t="s">
        <v>448</v>
      </c>
      <c r="B64">
        <v>5444.09</v>
      </c>
      <c r="C64" s="453">
        <f t="shared" si="0"/>
        <v>-1.4895746062995596E-2</v>
      </c>
      <c r="D64">
        <v>21.95</v>
      </c>
      <c r="E64" s="453">
        <f t="shared" si="1"/>
        <v>-1.3483146067415741E-2</v>
      </c>
    </row>
    <row r="65" spans="1:5">
      <c r="A65" t="s">
        <v>449</v>
      </c>
      <c r="B65">
        <v>5526.41</v>
      </c>
      <c r="C65" s="453">
        <f t="shared" si="0"/>
        <v>2.3837754319400384E-2</v>
      </c>
      <c r="D65">
        <v>22.25</v>
      </c>
      <c r="E65" s="453">
        <f t="shared" si="1"/>
        <v>2.2988505747126409E-2</v>
      </c>
    </row>
    <row r="66" spans="1:5">
      <c r="A66" t="s">
        <v>450</v>
      </c>
      <c r="B66">
        <v>5397.74</v>
      </c>
      <c r="C66" s="453">
        <f t="shared" si="0"/>
        <v>1.7911427256749324E-2</v>
      </c>
      <c r="D66">
        <v>21.75</v>
      </c>
      <c r="E66" s="453">
        <f t="shared" si="1"/>
        <v>3.3745247148289081E-2</v>
      </c>
    </row>
    <row r="67" spans="1:5">
      <c r="A67" t="s">
        <v>451</v>
      </c>
      <c r="B67">
        <v>5302.76</v>
      </c>
      <c r="C67" s="453">
        <f t="shared" si="0"/>
        <v>1.9613104123286096E-3</v>
      </c>
      <c r="D67">
        <v>21.04</v>
      </c>
      <c r="E67" s="453">
        <f t="shared" si="1"/>
        <v>5.7361376673039643E-3</v>
      </c>
    </row>
    <row r="68" spans="1:5">
      <c r="A68" t="s">
        <v>452</v>
      </c>
      <c r="B68">
        <v>5292.38</v>
      </c>
      <c r="C68" s="453">
        <f t="shared" ref="C68:C131" si="2">B68/B69-1</f>
        <v>-1.7225178918282569E-2</v>
      </c>
      <c r="D68">
        <v>20.92</v>
      </c>
      <c r="E68" s="453">
        <f t="shared" ref="E68:E131" si="3">D68/D69-1</f>
        <v>-9.4696969696969058E-3</v>
      </c>
    </row>
    <row r="69" spans="1:5">
      <c r="A69" t="s">
        <v>453</v>
      </c>
      <c r="B69">
        <v>5385.14</v>
      </c>
      <c r="C69" s="453">
        <f t="shared" si="2"/>
        <v>-1.0810085984727991E-2</v>
      </c>
      <c r="D69">
        <v>21.12</v>
      </c>
      <c r="E69" s="453">
        <f t="shared" si="3"/>
        <v>-7.9849694692343265E-3</v>
      </c>
    </row>
    <row r="70" spans="1:5">
      <c r="A70" t="s">
        <v>454</v>
      </c>
      <c r="B70">
        <v>5443.99</v>
      </c>
      <c r="C70" s="453">
        <f t="shared" si="2"/>
        <v>5.1810123099818028E-3</v>
      </c>
      <c r="D70">
        <v>21.29</v>
      </c>
      <c r="E70" s="453">
        <f t="shared" si="3"/>
        <v>-1.5718908922792374E-2</v>
      </c>
    </row>
    <row r="71" spans="1:5">
      <c r="A71" t="s">
        <v>455</v>
      </c>
      <c r="B71">
        <v>5415.93</v>
      </c>
      <c r="C71" s="453">
        <f t="shared" si="2"/>
        <v>-1.3031577566223862E-2</v>
      </c>
      <c r="D71">
        <v>21.63</v>
      </c>
      <c r="E71" s="453">
        <f t="shared" si="3"/>
        <v>-3.9520426287744215E-2</v>
      </c>
    </row>
    <row r="72" spans="1:5">
      <c r="A72" t="s">
        <v>456</v>
      </c>
      <c r="B72">
        <v>5487.44</v>
      </c>
      <c r="C72" s="453">
        <f t="shared" si="2"/>
        <v>-3.3668331974437637E-2</v>
      </c>
      <c r="D72">
        <v>22.52</v>
      </c>
      <c r="E72" s="453">
        <f t="shared" si="3"/>
        <v>-2.1720243266724615E-2</v>
      </c>
    </row>
    <row r="73" spans="1:5">
      <c r="A73" t="s">
        <v>457</v>
      </c>
      <c r="B73">
        <v>5678.63</v>
      </c>
      <c r="C73" s="453">
        <f t="shared" si="2"/>
        <v>-1.819203471735964E-2</v>
      </c>
      <c r="D73">
        <v>23.02</v>
      </c>
      <c r="E73" s="453">
        <f t="shared" si="3"/>
        <v>-4.9153242461792646E-2</v>
      </c>
    </row>
    <row r="74" spans="1:5">
      <c r="A74" t="s">
        <v>458</v>
      </c>
      <c r="B74">
        <v>5783.85</v>
      </c>
      <c r="C74" s="453">
        <f t="shared" si="2"/>
        <v>1.9887845027259932E-3</v>
      </c>
      <c r="D74">
        <v>24.21</v>
      </c>
      <c r="E74" s="453">
        <f t="shared" si="3"/>
        <v>3.2849829351535798E-2</v>
      </c>
    </row>
    <row r="75" spans="1:5">
      <c r="A75" t="s">
        <v>459</v>
      </c>
      <c r="B75">
        <v>5772.37</v>
      </c>
      <c r="C75" s="453">
        <f t="shared" si="2"/>
        <v>-1.1463683209146369E-2</v>
      </c>
      <c r="D75">
        <v>23.44</v>
      </c>
      <c r="E75" s="453">
        <f t="shared" si="3"/>
        <v>-1.3052631578947316E-2</v>
      </c>
    </row>
    <row r="76" spans="1:5">
      <c r="A76" t="s">
        <v>460</v>
      </c>
      <c r="B76">
        <v>5839.31</v>
      </c>
      <c r="C76" s="453">
        <f t="shared" si="2"/>
        <v>-1.0606431260916649E-3</v>
      </c>
      <c r="D76">
        <v>23.75</v>
      </c>
      <c r="E76" s="453">
        <f t="shared" si="3"/>
        <v>-2.7038099139696903E-2</v>
      </c>
    </row>
    <row r="77" spans="1:5">
      <c r="A77" t="s">
        <v>461</v>
      </c>
      <c r="B77">
        <v>5845.51</v>
      </c>
      <c r="C77" s="453">
        <f t="shared" si="2"/>
        <v>-1.1607734657161695E-2</v>
      </c>
      <c r="D77">
        <v>24.41</v>
      </c>
      <c r="E77" s="453">
        <f t="shared" si="3"/>
        <v>3.7006578947367252E-3</v>
      </c>
    </row>
    <row r="78" spans="1:5">
      <c r="A78" t="s">
        <v>462</v>
      </c>
      <c r="B78">
        <v>5914.16</v>
      </c>
      <c r="C78" s="453">
        <f t="shared" si="2"/>
        <v>-1.0119472033367827E-2</v>
      </c>
      <c r="D78">
        <v>24.32</v>
      </c>
      <c r="E78" s="453">
        <f t="shared" si="3"/>
        <v>-1.8167137666532107E-2</v>
      </c>
    </row>
    <row r="79" spans="1:5">
      <c r="A79" t="s">
        <v>463</v>
      </c>
      <c r="B79">
        <v>5974.62</v>
      </c>
      <c r="C79" s="453">
        <f t="shared" si="2"/>
        <v>-8.4474037095554344E-3</v>
      </c>
      <c r="D79">
        <v>24.77</v>
      </c>
      <c r="E79" s="453">
        <f t="shared" si="3"/>
        <v>-1.4717581543357228E-2</v>
      </c>
    </row>
    <row r="80" spans="1:5">
      <c r="A80" t="s">
        <v>464</v>
      </c>
      <c r="B80">
        <v>6025.52</v>
      </c>
      <c r="C80" s="453">
        <f t="shared" si="2"/>
        <v>-9.0827611725526891E-3</v>
      </c>
      <c r="D80">
        <v>25.14</v>
      </c>
      <c r="E80" s="453">
        <f t="shared" si="3"/>
        <v>-7.9491255961838814E-4</v>
      </c>
    </row>
    <row r="81" spans="1:5">
      <c r="A81" t="s">
        <v>465</v>
      </c>
      <c r="B81">
        <v>6080.75</v>
      </c>
      <c r="C81" s="453">
        <f t="shared" si="2"/>
        <v>1.5837085174450261E-2</v>
      </c>
      <c r="D81">
        <v>25.16</v>
      </c>
      <c r="E81" s="453">
        <f t="shared" si="3"/>
        <v>1.5923566878981443E-3</v>
      </c>
    </row>
    <row r="82" spans="1:5">
      <c r="A82" t="s">
        <v>466</v>
      </c>
      <c r="B82">
        <v>5985.95</v>
      </c>
      <c r="C82" s="453">
        <f t="shared" si="2"/>
        <v>3.3944046800877814E-3</v>
      </c>
      <c r="D82">
        <v>25.12</v>
      </c>
      <c r="E82" s="453">
        <f t="shared" si="3"/>
        <v>-2.3828435266083359E-3</v>
      </c>
    </row>
    <row r="83" spans="1:5">
      <c r="A83" t="s">
        <v>467</v>
      </c>
      <c r="B83">
        <v>5965.7</v>
      </c>
      <c r="C83" s="453">
        <f t="shared" si="2"/>
        <v>4.6834818428767022E-3</v>
      </c>
      <c r="D83">
        <v>25.18</v>
      </c>
      <c r="E83" s="453">
        <f t="shared" si="3"/>
        <v>2.3577235772357596E-2</v>
      </c>
    </row>
    <row r="84" spans="1:5">
      <c r="A84" t="s">
        <v>468</v>
      </c>
      <c r="B84">
        <v>5937.89</v>
      </c>
      <c r="C84" s="453">
        <f t="shared" si="2"/>
        <v>-4.8101176719029803E-3</v>
      </c>
      <c r="D84">
        <v>24.6</v>
      </c>
      <c r="E84" s="453">
        <f t="shared" si="3"/>
        <v>3.4047919293821005E-2</v>
      </c>
    </row>
    <row r="85" spans="1:5">
      <c r="A85" t="s">
        <v>469</v>
      </c>
      <c r="B85">
        <v>5966.59</v>
      </c>
      <c r="C85" s="453">
        <f t="shared" si="2"/>
        <v>-6.2904289549593484E-3</v>
      </c>
      <c r="D85">
        <v>23.79</v>
      </c>
      <c r="E85" s="453">
        <f t="shared" si="3"/>
        <v>-1.3272501036914131E-2</v>
      </c>
    </row>
    <row r="86" spans="1:5">
      <c r="A86" t="s">
        <v>470</v>
      </c>
      <c r="B86">
        <v>6004.36</v>
      </c>
      <c r="C86" s="453">
        <f t="shared" si="2"/>
        <v>-3.6638699126401164E-5</v>
      </c>
      <c r="D86">
        <v>24.11</v>
      </c>
      <c r="E86" s="453">
        <f t="shared" si="3"/>
        <v>1.2599748005039935E-2</v>
      </c>
    </row>
    <row r="87" spans="1:5">
      <c r="A87" t="s">
        <v>471</v>
      </c>
      <c r="B87">
        <v>6004.58</v>
      </c>
      <c r="C87" s="453">
        <f t="shared" si="2"/>
        <v>7.1537237102750062E-3</v>
      </c>
      <c r="D87">
        <v>23.81</v>
      </c>
      <c r="E87" s="453">
        <f t="shared" si="3"/>
        <v>-8.742714404662788E-3</v>
      </c>
    </row>
    <row r="88" spans="1:5">
      <c r="A88" t="s">
        <v>472</v>
      </c>
      <c r="B88">
        <v>5961.93</v>
      </c>
      <c r="C88" s="453">
        <f t="shared" si="2"/>
        <v>-5.5560744857585664E-3</v>
      </c>
      <c r="D88">
        <v>24.02</v>
      </c>
      <c r="E88" s="453">
        <f t="shared" si="3"/>
        <v>-6.2060405461316082E-3</v>
      </c>
    </row>
    <row r="89" spans="1:5">
      <c r="A89" t="s">
        <v>473</v>
      </c>
      <c r="B89">
        <v>5995.24</v>
      </c>
      <c r="C89" s="453">
        <f t="shared" si="2"/>
        <v>-4.2055888488778947E-3</v>
      </c>
      <c r="D89">
        <v>24.17</v>
      </c>
      <c r="E89" s="453">
        <f t="shared" si="3"/>
        <v>-1.1451942740286158E-2</v>
      </c>
    </row>
    <row r="90" spans="1:5">
      <c r="A90" t="s">
        <v>474</v>
      </c>
      <c r="B90">
        <v>6020.56</v>
      </c>
      <c r="C90" s="453">
        <f t="shared" si="2"/>
        <v>-1.5004245558524087E-2</v>
      </c>
      <c r="D90">
        <v>24.45</v>
      </c>
      <c r="E90" s="453">
        <f t="shared" si="3"/>
        <v>-1.4510278113663788E-2</v>
      </c>
    </row>
    <row r="91" spans="1:5">
      <c r="A91" t="s">
        <v>475</v>
      </c>
      <c r="B91">
        <v>6112.27</v>
      </c>
      <c r="C91" s="453">
        <f t="shared" si="2"/>
        <v>-1.4760213029349489E-2</v>
      </c>
      <c r="D91">
        <v>24.81</v>
      </c>
      <c r="E91" s="453">
        <f t="shared" si="3"/>
        <v>-4.0603248259860836E-2</v>
      </c>
    </row>
    <row r="92" spans="1:5">
      <c r="A92" t="s">
        <v>476</v>
      </c>
      <c r="B92">
        <v>6203.84</v>
      </c>
      <c r="C92" s="453">
        <f t="shared" si="2"/>
        <v>-6.4826914700079064E-3</v>
      </c>
      <c r="D92">
        <v>25.86</v>
      </c>
      <c r="E92" s="453">
        <f t="shared" si="3"/>
        <v>-2.0825444907232149E-2</v>
      </c>
    </row>
    <row r="93" spans="1:5">
      <c r="A93" t="s">
        <v>477</v>
      </c>
      <c r="B93">
        <v>6244.32</v>
      </c>
      <c r="C93" s="453">
        <f t="shared" si="2"/>
        <v>-1.0973928122371968E-3</v>
      </c>
      <c r="D93">
        <v>26.41</v>
      </c>
      <c r="E93" s="453">
        <f t="shared" si="3"/>
        <v>4.1825095057033135E-3</v>
      </c>
    </row>
    <row r="94" spans="1:5">
      <c r="A94" t="s">
        <v>478</v>
      </c>
      <c r="B94">
        <v>6251.18</v>
      </c>
      <c r="C94" s="453">
        <f t="shared" si="2"/>
        <v>-2.5195588936918201E-3</v>
      </c>
      <c r="D94">
        <v>26.3</v>
      </c>
      <c r="E94" s="453">
        <f t="shared" si="3"/>
        <v>1.3487475915221703E-2</v>
      </c>
    </row>
    <row r="95" spans="1:5">
      <c r="A95" t="s">
        <v>479</v>
      </c>
      <c r="B95">
        <v>6266.97</v>
      </c>
      <c r="C95" s="453">
        <f t="shared" si="2"/>
        <v>-3.9397458146173125E-4</v>
      </c>
      <c r="D95">
        <v>25.95</v>
      </c>
      <c r="E95" s="453">
        <f t="shared" si="3"/>
        <v>-8.7853323147440987E-3</v>
      </c>
    </row>
    <row r="96" spans="1:5">
      <c r="A96" t="s">
        <v>480</v>
      </c>
      <c r="B96">
        <v>6269.44</v>
      </c>
      <c r="C96" s="453">
        <f t="shared" si="2"/>
        <v>9.435573869687186E-4</v>
      </c>
      <c r="D96">
        <v>26.18</v>
      </c>
      <c r="E96" s="453">
        <f t="shared" si="3"/>
        <v>4.2194092827003704E-3</v>
      </c>
    </row>
    <row r="97" spans="1:5">
      <c r="A97" t="s">
        <v>481</v>
      </c>
      <c r="B97">
        <v>6263.53</v>
      </c>
      <c r="C97" s="453">
        <f t="shared" si="2"/>
        <v>-9.8250471713912102E-4</v>
      </c>
      <c r="D97">
        <v>26.07</v>
      </c>
      <c r="E97" s="453">
        <f t="shared" si="3"/>
        <v>3.4642032332563577E-3</v>
      </c>
    </row>
    <row r="98" spans="1:5">
      <c r="A98" t="s">
        <v>482</v>
      </c>
      <c r="B98">
        <v>6269.69</v>
      </c>
      <c r="C98" s="453">
        <f t="shared" si="2"/>
        <v>1.4675925261231626E-4</v>
      </c>
      <c r="D98">
        <v>25.98</v>
      </c>
      <c r="E98" s="453">
        <f t="shared" si="3"/>
        <v>-2.1468926553672274E-2</v>
      </c>
    </row>
    <row r="99" spans="1:5">
      <c r="A99" t="s">
        <v>483</v>
      </c>
      <c r="B99">
        <v>6268.77</v>
      </c>
      <c r="C99" s="453">
        <f t="shared" si="2"/>
        <v>5.3468646107805995E-3</v>
      </c>
      <c r="D99">
        <v>26.55</v>
      </c>
      <c r="E99" s="453">
        <f t="shared" si="3"/>
        <v>4.9205147615443146E-3</v>
      </c>
    </row>
    <row r="100" spans="1:5">
      <c r="A100" t="s">
        <v>484</v>
      </c>
      <c r="B100">
        <v>6235.43</v>
      </c>
      <c r="C100" s="453">
        <f t="shared" si="2"/>
        <v>6.6025993901071001E-3</v>
      </c>
      <c r="D100">
        <v>26.42</v>
      </c>
      <c r="E100" s="453">
        <f t="shared" si="3"/>
        <v>1.0325047801147402E-2</v>
      </c>
    </row>
    <row r="101" spans="1:5">
      <c r="A101" t="s">
        <v>485</v>
      </c>
      <c r="B101">
        <v>6194.53</v>
      </c>
      <c r="C101" s="453">
        <f t="shared" si="2"/>
        <v>4.3386831869540732E-3</v>
      </c>
      <c r="D101">
        <v>26.15</v>
      </c>
      <c r="E101" s="453">
        <f t="shared" si="3"/>
        <v>2.5088200705605468E-2</v>
      </c>
    </row>
    <row r="102" spans="1:5">
      <c r="A102" t="s">
        <v>486</v>
      </c>
      <c r="B102">
        <v>6167.77</v>
      </c>
      <c r="C102" s="453">
        <f t="shared" si="2"/>
        <v>-1.1456505188924826E-2</v>
      </c>
      <c r="D102">
        <v>25.51</v>
      </c>
      <c r="E102" s="453">
        <f t="shared" si="3"/>
        <v>-1.9223375624759731E-2</v>
      </c>
    </row>
    <row r="103" spans="1:5">
      <c r="A103" t="s">
        <v>487</v>
      </c>
      <c r="B103">
        <v>6239.25</v>
      </c>
      <c r="C103" s="453">
        <f t="shared" si="2"/>
        <v>4.6713170505487955E-3</v>
      </c>
      <c r="D103">
        <v>26.01</v>
      </c>
      <c r="E103" s="453">
        <f t="shared" si="3"/>
        <v>-5.3537284894836779E-3</v>
      </c>
    </row>
    <row r="104" spans="1:5">
      <c r="A104" t="s">
        <v>488</v>
      </c>
      <c r="B104">
        <v>6210.24</v>
      </c>
      <c r="C104" s="453">
        <f t="shared" si="2"/>
        <v>-4.9510185639163318E-3</v>
      </c>
      <c r="D104">
        <v>26.15</v>
      </c>
      <c r="E104" s="453">
        <f t="shared" si="3"/>
        <v>-1.5065913370998163E-2</v>
      </c>
    </row>
    <row r="105" spans="1:5">
      <c r="A105" t="s">
        <v>489</v>
      </c>
      <c r="B105">
        <v>6241.14</v>
      </c>
      <c r="C105" s="453">
        <f t="shared" si="2"/>
        <v>1.3385941838375048E-2</v>
      </c>
      <c r="D105">
        <v>26.55</v>
      </c>
      <c r="E105" s="453">
        <f t="shared" si="3"/>
        <v>2.6285272516428204E-2</v>
      </c>
    </row>
    <row r="106" spans="1:5">
      <c r="A106" t="s">
        <v>490</v>
      </c>
      <c r="B106">
        <v>6158.7</v>
      </c>
      <c r="C106" s="453">
        <f t="shared" si="2"/>
        <v>1.3460810610673279E-2</v>
      </c>
      <c r="D106">
        <v>25.87</v>
      </c>
      <c r="E106" s="453">
        <f t="shared" si="3"/>
        <v>2.4960380348653111E-2</v>
      </c>
    </row>
    <row r="107" spans="1:5">
      <c r="A107" t="s">
        <v>491</v>
      </c>
      <c r="B107">
        <v>6076.9</v>
      </c>
      <c r="C107" s="453">
        <f t="shared" si="2"/>
        <v>6.7960264286233141E-3</v>
      </c>
      <c r="D107">
        <v>25.24</v>
      </c>
      <c r="E107" s="453">
        <f t="shared" si="3"/>
        <v>1.0004001600640189E-2</v>
      </c>
    </row>
    <row r="108" spans="1:5">
      <c r="A108" t="s">
        <v>492</v>
      </c>
      <c r="B108">
        <v>6035.88</v>
      </c>
      <c r="C108" s="453">
        <f t="shared" si="2"/>
        <v>9.5852473424984375E-4</v>
      </c>
      <c r="D108">
        <v>24.99</v>
      </c>
      <c r="E108" s="453">
        <f t="shared" si="3"/>
        <v>5.2292839903458344E-3</v>
      </c>
    </row>
    <row r="109" spans="1:5">
      <c r="A109" t="s">
        <v>493</v>
      </c>
      <c r="B109">
        <v>6030.1</v>
      </c>
      <c r="C109" s="453">
        <f t="shared" si="2"/>
        <v>-8.104458192213948E-3</v>
      </c>
      <c r="D109">
        <v>24.86</v>
      </c>
      <c r="E109" s="453">
        <f t="shared" si="3"/>
        <v>-3.268482490272373E-2</v>
      </c>
    </row>
    <row r="110" spans="1:5">
      <c r="A110" t="s">
        <v>494</v>
      </c>
      <c r="B110">
        <v>6079.37</v>
      </c>
      <c r="C110" s="453">
        <f t="shared" si="2"/>
        <v>-2.889950614975545E-3</v>
      </c>
      <c r="D110">
        <v>25.7</v>
      </c>
      <c r="E110" s="453">
        <f t="shared" si="3"/>
        <v>5.8708414872796766E-3</v>
      </c>
    </row>
    <row r="111" spans="1:5">
      <c r="A111" t="s">
        <v>495</v>
      </c>
      <c r="B111">
        <v>6096.99</v>
      </c>
      <c r="C111" s="453">
        <f t="shared" si="2"/>
        <v>-4.2853200026783389E-3</v>
      </c>
      <c r="D111">
        <v>25.55</v>
      </c>
      <c r="E111" s="453">
        <f t="shared" si="3"/>
        <v>9.8814229249011287E-3</v>
      </c>
    </row>
    <row r="112" spans="1:5">
      <c r="A112" t="s">
        <v>496</v>
      </c>
      <c r="B112">
        <v>6123.23</v>
      </c>
      <c r="C112" s="453">
        <f t="shared" si="2"/>
        <v>-6.0853276889715202E-3</v>
      </c>
      <c r="D112">
        <v>25.3</v>
      </c>
      <c r="E112" s="453">
        <f t="shared" si="3"/>
        <v>3.5700119000396935E-3</v>
      </c>
    </row>
    <row r="113" spans="1:5">
      <c r="A113" t="s">
        <v>497</v>
      </c>
      <c r="B113">
        <v>6160.72</v>
      </c>
      <c r="C113" s="453">
        <f t="shared" si="2"/>
        <v>7.1933977687388406E-3</v>
      </c>
      <c r="D113">
        <v>25.21</v>
      </c>
      <c r="E113" s="453">
        <f t="shared" si="3"/>
        <v>4.6492320464923242E-2</v>
      </c>
    </row>
    <row r="114" spans="1:5">
      <c r="A114" t="s">
        <v>498</v>
      </c>
      <c r="B114">
        <v>6116.72</v>
      </c>
      <c r="C114" s="453">
        <f t="shared" si="2"/>
        <v>1.9626669867210955E-2</v>
      </c>
      <c r="D114">
        <v>24.09</v>
      </c>
      <c r="E114" s="453">
        <f t="shared" si="3"/>
        <v>-7.4165636588380268E-3</v>
      </c>
    </row>
    <row r="115" spans="1:5">
      <c r="A115" t="s">
        <v>499</v>
      </c>
      <c r="B115">
        <v>5998.98</v>
      </c>
      <c r="C115" s="453">
        <f t="shared" si="2"/>
        <v>-6.0307200213249867E-4</v>
      </c>
      <c r="D115">
        <v>24.27</v>
      </c>
      <c r="E115" s="453">
        <f t="shared" si="3"/>
        <v>7.8903654485049657E-3</v>
      </c>
    </row>
    <row r="116" spans="1:5">
      <c r="A116" t="s">
        <v>500</v>
      </c>
      <c r="B116">
        <v>6002.6</v>
      </c>
      <c r="C116" s="453">
        <f t="shared" si="2"/>
        <v>1.1032322177494169E-2</v>
      </c>
      <c r="D116">
        <v>24.08</v>
      </c>
      <c r="E116" s="453">
        <f t="shared" si="3"/>
        <v>3.3333333333331883E-3</v>
      </c>
    </row>
    <row r="117" spans="1:5">
      <c r="A117" t="s">
        <v>501</v>
      </c>
      <c r="B117">
        <v>5937.1</v>
      </c>
      <c r="C117" s="453">
        <f t="shared" si="2"/>
        <v>8.9250209870543884E-3</v>
      </c>
      <c r="D117">
        <v>24</v>
      </c>
      <c r="E117" s="453">
        <f t="shared" si="3"/>
        <v>3.6269430051813378E-2</v>
      </c>
    </row>
    <row r="118" spans="1:5">
      <c r="A118" t="s">
        <v>502</v>
      </c>
      <c r="B118">
        <v>5884.58</v>
      </c>
      <c r="C118" s="453">
        <f t="shared" si="2"/>
        <v>-9.4166840613280067E-3</v>
      </c>
      <c r="D118">
        <v>23.16</v>
      </c>
      <c r="E118" s="453">
        <f t="shared" si="3"/>
        <v>-3.1367628607277265E-2</v>
      </c>
    </row>
    <row r="119" spans="1:5">
      <c r="A119" t="s">
        <v>503</v>
      </c>
      <c r="B119">
        <v>5940.52</v>
      </c>
      <c r="C119" s="453">
        <f t="shared" si="2"/>
        <v>-6.0285616283641819E-3</v>
      </c>
      <c r="D119">
        <v>23.91</v>
      </c>
      <c r="E119" s="453">
        <f t="shared" si="3"/>
        <v>-4.180602006689238E-4</v>
      </c>
    </row>
    <row r="120" spans="1:5">
      <c r="A120" t="s">
        <v>504</v>
      </c>
      <c r="B120">
        <v>5976.55</v>
      </c>
      <c r="C120" s="453">
        <f t="shared" si="2"/>
        <v>1.4947307390036357E-3</v>
      </c>
      <c r="D120">
        <v>23.92</v>
      </c>
      <c r="E120" s="453">
        <f t="shared" si="3"/>
        <v>-1.7255546425636759E-2</v>
      </c>
    </row>
    <row r="121" spans="1:5">
      <c r="A121" t="s">
        <v>505</v>
      </c>
      <c r="B121">
        <v>5967.63</v>
      </c>
      <c r="C121" s="453">
        <f t="shared" si="2"/>
        <v>8.9540075777685413E-3</v>
      </c>
      <c r="D121">
        <v>24.34</v>
      </c>
      <c r="E121" s="453">
        <f t="shared" si="3"/>
        <v>1.2479201331114798E-2</v>
      </c>
    </row>
    <row r="122" spans="1:5">
      <c r="A122" t="s">
        <v>506</v>
      </c>
      <c r="B122">
        <v>5914.67</v>
      </c>
      <c r="C122" s="453">
        <f t="shared" si="2"/>
        <v>2.829847528642726E-2</v>
      </c>
      <c r="D122">
        <v>24.04</v>
      </c>
      <c r="E122" s="453">
        <f t="shared" si="3"/>
        <v>2.297872340425533E-2</v>
      </c>
    </row>
    <row r="123" spans="1:5">
      <c r="A123" t="s">
        <v>507</v>
      </c>
      <c r="B123">
        <v>5751.9</v>
      </c>
      <c r="C123" s="453">
        <f t="shared" si="2"/>
        <v>-1.901794348339958E-2</v>
      </c>
      <c r="D123">
        <v>23.5</v>
      </c>
      <c r="E123" s="453">
        <f t="shared" si="3"/>
        <v>-3.727980335927894E-2</v>
      </c>
    </row>
    <row r="124" spans="1:5">
      <c r="A124" t="s">
        <v>508</v>
      </c>
      <c r="B124">
        <v>5863.41</v>
      </c>
      <c r="C124" s="453">
        <f t="shared" si="2"/>
        <v>-9.6528031132191439E-3</v>
      </c>
      <c r="D124">
        <v>24.41</v>
      </c>
      <c r="E124" s="453">
        <f t="shared" si="3"/>
        <v>4.9403046521203642E-3</v>
      </c>
    </row>
    <row r="125" spans="1:5">
      <c r="A125" t="s">
        <v>509</v>
      </c>
      <c r="B125">
        <v>5920.56</v>
      </c>
      <c r="C125" s="453">
        <f t="shared" si="2"/>
        <v>-1.3404432594567472E-2</v>
      </c>
      <c r="D125">
        <v>24.29</v>
      </c>
      <c r="E125" s="453">
        <f t="shared" si="3"/>
        <v>-1.8585858585858595E-2</v>
      </c>
    </row>
    <row r="126" spans="1:5">
      <c r="A126" t="s">
        <v>510</v>
      </c>
      <c r="B126">
        <v>6001</v>
      </c>
      <c r="C126" s="453">
        <f t="shared" si="2"/>
        <v>9.357189440553082E-4</v>
      </c>
      <c r="D126">
        <v>24.75</v>
      </c>
      <c r="E126" s="453">
        <f t="shared" si="3"/>
        <v>2.0618556701030855E-2</v>
      </c>
    </row>
    <row r="127" spans="1:5">
      <c r="A127" t="s">
        <v>511</v>
      </c>
      <c r="B127">
        <v>5995.39</v>
      </c>
      <c r="C127" s="453">
        <f t="shared" si="2"/>
        <v>4.7258424819722755E-3</v>
      </c>
      <c r="D127">
        <v>24.25</v>
      </c>
      <c r="E127" s="453">
        <f t="shared" si="3"/>
        <v>3.7251655629138014E-3</v>
      </c>
    </row>
    <row r="128" spans="1:5">
      <c r="A128" t="s">
        <v>512</v>
      </c>
      <c r="B128">
        <v>5967.19</v>
      </c>
      <c r="C128" s="453">
        <f t="shared" si="2"/>
        <v>1.4122829528440128E-2</v>
      </c>
      <c r="D128">
        <v>24.16</v>
      </c>
      <c r="E128" s="453">
        <f t="shared" si="3"/>
        <v>1.6407236011779514E-2</v>
      </c>
    </row>
    <row r="129" spans="1:5">
      <c r="A129" t="s">
        <v>513</v>
      </c>
      <c r="B129">
        <v>5884.09</v>
      </c>
      <c r="C129" s="453">
        <f t="shared" si="2"/>
        <v>7.9429603600367216E-4</v>
      </c>
      <c r="D129">
        <v>23.77</v>
      </c>
      <c r="E129" s="453">
        <f t="shared" si="3"/>
        <v>2.5452976704055219E-2</v>
      </c>
    </row>
    <row r="130" spans="1:5">
      <c r="A130" t="s">
        <v>514</v>
      </c>
      <c r="B130">
        <v>5879.42</v>
      </c>
      <c r="C130" s="453">
        <f t="shared" si="2"/>
        <v>-2.8870818818640287E-2</v>
      </c>
      <c r="D130">
        <v>23.18</v>
      </c>
      <c r="E130" s="453">
        <f t="shared" si="3"/>
        <v>-1.7226528854435985E-3</v>
      </c>
    </row>
    <row r="131" spans="1:5">
      <c r="A131" t="s">
        <v>515</v>
      </c>
      <c r="B131">
        <v>6054.21</v>
      </c>
      <c r="C131" s="453">
        <f t="shared" si="2"/>
        <v>4.0649398934200498E-4</v>
      </c>
      <c r="D131">
        <v>23.22</v>
      </c>
      <c r="E131" s="453">
        <f t="shared" si="3"/>
        <v>-2.4779504409911834E-2</v>
      </c>
    </row>
    <row r="132" spans="1:5">
      <c r="A132" t="s">
        <v>516</v>
      </c>
      <c r="B132">
        <v>6051.75</v>
      </c>
      <c r="C132" s="453">
        <f t="shared" ref="C132:C195" si="4">B132/B133-1</f>
        <v>1.1762487096005358E-3</v>
      </c>
      <c r="D132">
        <v>23.81</v>
      </c>
      <c r="E132" s="453">
        <f t="shared" ref="E132:E195" si="5">D132/D133-1</f>
        <v>5.7282415630550476E-2</v>
      </c>
    </row>
    <row r="133" spans="1:5">
      <c r="A133" t="s">
        <v>517</v>
      </c>
      <c r="B133">
        <v>6044.64</v>
      </c>
      <c r="C133" s="453">
        <f t="shared" si="4"/>
        <v>-1.4212815507380294E-2</v>
      </c>
      <c r="D133">
        <v>22.52</v>
      </c>
      <c r="E133" s="453">
        <f t="shared" si="5"/>
        <v>-4.8608042421564024E-3</v>
      </c>
    </row>
    <row r="134" spans="1:5">
      <c r="A134" t="s">
        <v>518</v>
      </c>
      <c r="B134">
        <v>6131.79</v>
      </c>
      <c r="C134" s="453">
        <f t="shared" si="4"/>
        <v>-6.5969921474409166E-3</v>
      </c>
      <c r="D134">
        <v>22.63</v>
      </c>
      <c r="E134" s="453">
        <f t="shared" si="5"/>
        <v>-1.3083296990841764E-2</v>
      </c>
    </row>
    <row r="135" spans="1:5">
      <c r="A135" t="s">
        <v>519</v>
      </c>
      <c r="B135">
        <v>6172.51</v>
      </c>
      <c r="C135" s="453">
        <f t="shared" si="4"/>
        <v>1.9417203143218709E-2</v>
      </c>
      <c r="D135">
        <v>22.93</v>
      </c>
      <c r="E135" s="453">
        <f t="shared" si="5"/>
        <v>1.3704686118479081E-2</v>
      </c>
    </row>
    <row r="136" spans="1:5">
      <c r="A136" t="s">
        <v>520</v>
      </c>
      <c r="B136">
        <v>6054.94</v>
      </c>
      <c r="C136" s="453">
        <f t="shared" si="4"/>
        <v>4.0593918208560176E-3</v>
      </c>
      <c r="D136">
        <v>22.62</v>
      </c>
      <c r="E136" s="453">
        <f t="shared" si="5"/>
        <v>-1.0065645514223176E-2</v>
      </c>
    </row>
    <row r="137" spans="1:5">
      <c r="A137" t="s">
        <v>521</v>
      </c>
      <c r="B137">
        <v>6030.46</v>
      </c>
      <c r="C137" s="453">
        <f t="shared" si="4"/>
        <v>1.8399023222117394E-2</v>
      </c>
      <c r="D137">
        <v>22.85</v>
      </c>
      <c r="E137" s="453">
        <f t="shared" si="5"/>
        <v>1.5555555555555545E-2</v>
      </c>
    </row>
    <row r="138" spans="1:5">
      <c r="A138" t="s">
        <v>522</v>
      </c>
      <c r="B138">
        <v>5921.51</v>
      </c>
      <c r="C138" s="453">
        <f t="shared" si="4"/>
        <v>-1.6887555898126294E-6</v>
      </c>
      <c r="D138">
        <v>22.5</v>
      </c>
      <c r="E138" s="453">
        <f t="shared" si="5"/>
        <v>3.4007352941176405E-2</v>
      </c>
    </row>
    <row r="139" spans="1:5">
      <c r="A139" t="s">
        <v>523</v>
      </c>
      <c r="B139">
        <v>5921.52</v>
      </c>
      <c r="C139" s="453">
        <f t="shared" si="4"/>
        <v>-5.2112207561813007E-3</v>
      </c>
      <c r="D139">
        <v>21.76</v>
      </c>
      <c r="E139" s="453">
        <f t="shared" si="5"/>
        <v>-2.1142600089968488E-2</v>
      </c>
    </row>
    <row r="140" spans="1:5">
      <c r="A140" t="s">
        <v>524</v>
      </c>
      <c r="B140">
        <v>5952.54</v>
      </c>
      <c r="C140" s="453">
        <f t="shared" si="4"/>
        <v>-7.8885042509254655E-3</v>
      </c>
      <c r="D140">
        <v>22.23</v>
      </c>
      <c r="E140" s="453">
        <f t="shared" si="5"/>
        <v>-2.070484581497789E-2</v>
      </c>
    </row>
    <row r="141" spans="1:5">
      <c r="A141" t="s">
        <v>525</v>
      </c>
      <c r="B141">
        <v>5999.87</v>
      </c>
      <c r="C141" s="453">
        <f t="shared" si="4"/>
        <v>2.0082458451991414E-2</v>
      </c>
      <c r="D141">
        <v>22.7</v>
      </c>
      <c r="E141" s="453">
        <f t="shared" si="5"/>
        <v>3.9377289377289459E-2</v>
      </c>
    </row>
    <row r="142" spans="1:5">
      <c r="A142" t="s">
        <v>526</v>
      </c>
      <c r="B142">
        <v>5881.75</v>
      </c>
      <c r="C142" s="453">
        <f t="shared" si="4"/>
        <v>-1.1225536482143417E-3</v>
      </c>
      <c r="D142">
        <v>21.84</v>
      </c>
      <c r="E142" s="453">
        <f t="shared" si="5"/>
        <v>1.8656716417910335E-2</v>
      </c>
    </row>
    <row r="143" spans="1:5">
      <c r="A143" t="s">
        <v>527</v>
      </c>
      <c r="B143">
        <v>5888.36</v>
      </c>
      <c r="C143" s="453">
        <f t="shared" si="4"/>
        <v>-2.0589971973420496E-2</v>
      </c>
      <c r="D143">
        <v>21.44</v>
      </c>
      <c r="E143" s="453">
        <f t="shared" si="5"/>
        <v>-1.6513761467889854E-2</v>
      </c>
    </row>
    <row r="144" spans="1:5">
      <c r="A144" t="s">
        <v>528</v>
      </c>
      <c r="B144">
        <v>6012.15</v>
      </c>
      <c r="C144" s="453">
        <f t="shared" si="4"/>
        <v>4.2074775846172585E-3</v>
      </c>
      <c r="D144">
        <v>21.8</v>
      </c>
      <c r="E144" s="453">
        <f t="shared" si="5"/>
        <v>7.3937153419594281E-3</v>
      </c>
    </row>
    <row r="145" spans="1:5">
      <c r="A145" t="s">
        <v>529</v>
      </c>
      <c r="B145">
        <v>5986.96</v>
      </c>
      <c r="C145" s="453">
        <f t="shared" si="4"/>
        <v>-4.8420153288930567E-3</v>
      </c>
      <c r="D145">
        <v>21.64</v>
      </c>
      <c r="E145" s="453">
        <f t="shared" si="5"/>
        <v>-3.7366548042704673E-2</v>
      </c>
    </row>
    <row r="146" spans="1:5">
      <c r="A146" t="s">
        <v>530</v>
      </c>
      <c r="B146">
        <v>6016.09</v>
      </c>
      <c r="C146" s="453">
        <f t="shared" si="4"/>
        <v>-1.1805268102944133E-2</v>
      </c>
      <c r="D146">
        <v>22.48</v>
      </c>
      <c r="E146" s="453">
        <f t="shared" si="5"/>
        <v>-1.9624945486262479E-2</v>
      </c>
    </row>
    <row r="147" spans="1:5">
      <c r="A147" t="s">
        <v>531</v>
      </c>
      <c r="B147">
        <v>6087.96</v>
      </c>
      <c r="C147" s="453">
        <f t="shared" si="4"/>
        <v>-3.3922430824551264E-2</v>
      </c>
      <c r="D147">
        <v>22.93</v>
      </c>
      <c r="E147" s="453">
        <f t="shared" si="5"/>
        <v>-1.1211729193618014E-2</v>
      </c>
    </row>
    <row r="148" spans="1:5">
      <c r="A148" t="s">
        <v>532</v>
      </c>
      <c r="B148">
        <v>6301.73</v>
      </c>
      <c r="C148" s="453">
        <f t="shared" si="4"/>
        <v>-5.2392137548699091E-3</v>
      </c>
      <c r="D148">
        <v>23.19</v>
      </c>
      <c r="E148" s="453">
        <f t="shared" si="5"/>
        <v>-6.4267352185088944E-3</v>
      </c>
    </row>
    <row r="149" spans="1:5">
      <c r="A149" t="s">
        <v>533</v>
      </c>
      <c r="B149">
        <v>6334.92</v>
      </c>
      <c r="C149" s="453">
        <f t="shared" si="4"/>
        <v>-2.2506737058626269E-3</v>
      </c>
      <c r="D149">
        <v>23.34</v>
      </c>
      <c r="E149" s="453">
        <f t="shared" si="5"/>
        <v>-1.0178117048346036E-2</v>
      </c>
    </row>
    <row r="150" spans="1:5">
      <c r="A150" t="s">
        <v>534</v>
      </c>
      <c r="B150">
        <v>6349.21</v>
      </c>
      <c r="C150" s="453">
        <f t="shared" si="4"/>
        <v>1.2089196078025166E-2</v>
      </c>
      <c r="D150">
        <v>23.58</v>
      </c>
      <c r="E150" s="453">
        <f t="shared" si="5"/>
        <v>2.0337516226741625E-2</v>
      </c>
    </row>
    <row r="151" spans="1:5">
      <c r="A151" t="s">
        <v>535</v>
      </c>
      <c r="B151">
        <v>6273.37</v>
      </c>
      <c r="C151" s="453">
        <f t="shared" si="4"/>
        <v>8.2027150601140519E-3</v>
      </c>
      <c r="D151">
        <v>23.11</v>
      </c>
      <c r="E151" s="453">
        <f t="shared" si="5"/>
        <v>1.3596491228070162E-2</v>
      </c>
    </row>
    <row r="152" spans="1:5">
      <c r="A152" t="s">
        <v>536</v>
      </c>
      <c r="B152">
        <v>6222.33</v>
      </c>
      <c r="C152" s="453">
        <f t="shared" si="4"/>
        <v>5.2781574432199108E-3</v>
      </c>
      <c r="D152">
        <v>22.8</v>
      </c>
      <c r="E152" s="453">
        <f t="shared" si="5"/>
        <v>8.7796312554866418E-4</v>
      </c>
    </row>
    <row r="153" spans="1:5">
      <c r="A153" t="s">
        <v>537</v>
      </c>
      <c r="B153">
        <v>6189.66</v>
      </c>
      <c r="C153" s="453">
        <f t="shared" si="4"/>
        <v>-6.6584819816566387E-3</v>
      </c>
      <c r="D153">
        <v>22.78</v>
      </c>
      <c r="E153" s="453">
        <f t="shared" si="5"/>
        <v>1.0647737355812037E-2</v>
      </c>
    </row>
    <row r="154" spans="1:5">
      <c r="A154" t="s">
        <v>538</v>
      </c>
      <c r="B154">
        <v>6231.15</v>
      </c>
      <c r="C154" s="453">
        <f t="shared" si="4"/>
        <v>-4.2109468637635539E-3</v>
      </c>
      <c r="D154">
        <v>22.54</v>
      </c>
      <c r="E154" s="453">
        <f t="shared" si="5"/>
        <v>-1.3134851138353776E-2</v>
      </c>
    </row>
    <row r="155" spans="1:5">
      <c r="A155" t="s">
        <v>539</v>
      </c>
      <c r="B155">
        <v>6257.5</v>
      </c>
      <c r="C155" s="453">
        <f t="shared" si="4"/>
        <v>-5.9539506082624261E-3</v>
      </c>
      <c r="D155">
        <v>22.84</v>
      </c>
      <c r="E155" s="453">
        <f t="shared" si="5"/>
        <v>-4.3591979075850995E-3</v>
      </c>
    </row>
    <row r="156" spans="1:5">
      <c r="A156" t="s">
        <v>540</v>
      </c>
      <c r="B156">
        <v>6294.98</v>
      </c>
      <c r="C156" s="453">
        <f t="shared" si="4"/>
        <v>8.6945096078656636E-3</v>
      </c>
      <c r="D156">
        <v>22.94</v>
      </c>
      <c r="E156" s="453">
        <f t="shared" si="5"/>
        <v>8.3516483516483664E-3</v>
      </c>
    </row>
    <row r="157" spans="1:5">
      <c r="A157" t="s">
        <v>541</v>
      </c>
      <c r="B157">
        <v>6240.72</v>
      </c>
      <c r="C157" s="453">
        <f t="shared" si="4"/>
        <v>-1.0217061001024597E-2</v>
      </c>
      <c r="D157">
        <v>22.75</v>
      </c>
      <c r="E157" s="453">
        <f t="shared" si="5"/>
        <v>-2.6529738981600381E-2</v>
      </c>
    </row>
    <row r="158" spans="1:5">
      <c r="A158" t="s">
        <v>542</v>
      </c>
      <c r="B158">
        <v>6305.14</v>
      </c>
      <c r="C158" s="453">
        <f t="shared" si="4"/>
        <v>1.9450786115728258E-2</v>
      </c>
      <c r="D158">
        <v>23.37</v>
      </c>
      <c r="E158" s="453">
        <f t="shared" si="5"/>
        <v>1.7414018284719335E-2</v>
      </c>
    </row>
    <row r="159" spans="1:5">
      <c r="A159" t="s">
        <v>543</v>
      </c>
      <c r="B159">
        <v>6184.84</v>
      </c>
      <c r="C159" s="453">
        <f t="shared" si="4"/>
        <v>8.7980557503792856E-3</v>
      </c>
      <c r="D159">
        <v>22.97</v>
      </c>
      <c r="E159" s="453">
        <f t="shared" si="5"/>
        <v>-1.3043478260870156E-3</v>
      </c>
    </row>
    <row r="160" spans="1:5">
      <c r="A160" t="s">
        <v>544</v>
      </c>
      <c r="B160">
        <v>6130.9</v>
      </c>
      <c r="C160" s="453">
        <f t="shared" si="4"/>
        <v>8.4529838753450992E-3</v>
      </c>
      <c r="D160">
        <v>23</v>
      </c>
      <c r="E160" s="453">
        <f t="shared" si="5"/>
        <v>3.0927835051546504E-2</v>
      </c>
    </row>
    <row r="161" spans="1:5">
      <c r="A161" t="s">
        <v>545</v>
      </c>
      <c r="B161">
        <v>6079.51</v>
      </c>
      <c r="C161" s="453">
        <f t="shared" si="4"/>
        <v>2.6743070614541731E-2</v>
      </c>
      <c r="D161">
        <v>22.31</v>
      </c>
      <c r="E161" s="453">
        <f t="shared" si="5"/>
        <v>2.3394495412843996E-2</v>
      </c>
    </row>
    <row r="162" spans="1:5">
      <c r="A162" t="s">
        <v>546</v>
      </c>
      <c r="B162">
        <v>5921.16</v>
      </c>
      <c r="C162" s="453">
        <f t="shared" si="4"/>
        <v>2.7842133073201492E-3</v>
      </c>
      <c r="D162">
        <v>21.8</v>
      </c>
      <c r="E162" s="453">
        <f t="shared" si="5"/>
        <v>1.3953488372093092E-2</v>
      </c>
    </row>
    <row r="163" spans="1:5">
      <c r="A163" t="s">
        <v>547</v>
      </c>
      <c r="B163">
        <v>5904.72</v>
      </c>
      <c r="C163" s="453">
        <f t="shared" si="4"/>
        <v>1.3066692287631909E-2</v>
      </c>
      <c r="D163">
        <v>21.5</v>
      </c>
      <c r="E163" s="453">
        <f t="shared" si="5"/>
        <v>4.4703595724004064E-2</v>
      </c>
    </row>
    <row r="164" spans="1:5">
      <c r="A164" t="s">
        <v>548</v>
      </c>
      <c r="B164">
        <v>5828.56</v>
      </c>
      <c r="C164" s="453">
        <f t="shared" si="4"/>
        <v>-9.3760230920980625E-4</v>
      </c>
      <c r="D164">
        <v>20.58</v>
      </c>
      <c r="E164" s="453">
        <f t="shared" si="5"/>
        <v>-7.7145612343297865E-3</v>
      </c>
    </row>
    <row r="165" spans="1:5">
      <c r="A165" t="s">
        <v>549</v>
      </c>
      <c r="B165">
        <v>5834.03</v>
      </c>
      <c r="C165" s="453">
        <f t="shared" si="4"/>
        <v>1.6119537122832428E-2</v>
      </c>
      <c r="D165">
        <v>20.74</v>
      </c>
      <c r="E165" s="453">
        <f t="shared" si="5"/>
        <v>1.1214041930765362E-2</v>
      </c>
    </row>
    <row r="166" spans="1:5">
      <c r="A166" t="s">
        <v>550</v>
      </c>
      <c r="B166">
        <v>5741.48</v>
      </c>
      <c r="C166" s="453">
        <f t="shared" si="4"/>
        <v>6.3732226491290955E-3</v>
      </c>
      <c r="D166">
        <v>20.51</v>
      </c>
      <c r="E166" s="453">
        <f t="shared" si="5"/>
        <v>5.8852378616969236E-3</v>
      </c>
    </row>
    <row r="167" spans="1:5">
      <c r="A167" t="s">
        <v>551</v>
      </c>
      <c r="B167">
        <v>5705.12</v>
      </c>
      <c r="C167" s="453">
        <f t="shared" si="4"/>
        <v>8.8112192301368353E-3</v>
      </c>
      <c r="D167">
        <v>20.39</v>
      </c>
      <c r="E167" s="453">
        <f t="shared" si="5"/>
        <v>1.4427860696517358E-2</v>
      </c>
    </row>
    <row r="168" spans="1:5">
      <c r="A168" t="s">
        <v>552</v>
      </c>
      <c r="B168">
        <v>5655.29</v>
      </c>
      <c r="C168" s="453">
        <f t="shared" si="4"/>
        <v>-2.325922804302627E-2</v>
      </c>
      <c r="D168">
        <v>20.100000000000001</v>
      </c>
      <c r="E168" s="453">
        <f t="shared" si="5"/>
        <v>-3.9655996177735187E-2</v>
      </c>
    </row>
    <row r="169" spans="1:5">
      <c r="A169" t="s">
        <v>553</v>
      </c>
      <c r="B169">
        <v>5789.96</v>
      </c>
      <c r="C169" s="453">
        <f t="shared" si="4"/>
        <v>1.2050298722954933E-2</v>
      </c>
      <c r="D169">
        <v>20.93</v>
      </c>
      <c r="E169" s="453">
        <f t="shared" si="5"/>
        <v>1.7996108949416501E-2</v>
      </c>
    </row>
    <row r="170" spans="1:5">
      <c r="A170" t="s">
        <v>554</v>
      </c>
      <c r="B170">
        <v>5721.02</v>
      </c>
      <c r="C170" s="453">
        <f t="shared" si="4"/>
        <v>1.1152508342288314E-2</v>
      </c>
      <c r="D170">
        <v>20.56</v>
      </c>
      <c r="E170" s="453">
        <f t="shared" si="5"/>
        <v>2.4414549078226155E-2</v>
      </c>
    </row>
    <row r="171" spans="1:5">
      <c r="A171" t="s">
        <v>555</v>
      </c>
      <c r="B171">
        <v>5657.92</v>
      </c>
      <c r="C171" s="453">
        <f t="shared" si="4"/>
        <v>-2.7228697331116547E-2</v>
      </c>
      <c r="D171">
        <v>20.07</v>
      </c>
      <c r="E171" s="453">
        <f t="shared" si="5"/>
        <v>-5.0165641268338779E-2</v>
      </c>
    </row>
    <row r="172" spans="1:5">
      <c r="A172" t="s">
        <v>556</v>
      </c>
      <c r="B172">
        <v>5816.29</v>
      </c>
      <c r="C172" s="453">
        <f t="shared" si="4"/>
        <v>4.6256073484629567E-3</v>
      </c>
      <c r="D172">
        <v>21.13</v>
      </c>
      <c r="E172" s="453">
        <f t="shared" si="5"/>
        <v>2.6226323457989364E-2</v>
      </c>
    </row>
    <row r="173" spans="1:5">
      <c r="A173" t="s">
        <v>557</v>
      </c>
      <c r="B173">
        <v>5789.51</v>
      </c>
      <c r="C173" s="453">
        <f t="shared" si="4"/>
        <v>-7.231192383669871E-3</v>
      </c>
      <c r="D173">
        <v>20.59</v>
      </c>
      <c r="E173" s="453">
        <f t="shared" si="5"/>
        <v>-3.649976602714089E-2</v>
      </c>
    </row>
    <row r="174" spans="1:5">
      <c r="A174" t="s">
        <v>558</v>
      </c>
      <c r="B174">
        <v>5831.68</v>
      </c>
      <c r="C174" s="453">
        <f t="shared" si="4"/>
        <v>-8.79420473126169E-3</v>
      </c>
      <c r="D174">
        <v>21.37</v>
      </c>
      <c r="E174" s="453">
        <f t="shared" si="5"/>
        <v>-1.0189902732746559E-2</v>
      </c>
    </row>
    <row r="175" spans="1:5">
      <c r="A175" t="s">
        <v>559</v>
      </c>
      <c r="B175">
        <v>5883.42</v>
      </c>
      <c r="C175" s="453">
        <f t="shared" si="4"/>
        <v>3.2501415329209138E-3</v>
      </c>
      <c r="D175">
        <v>21.59</v>
      </c>
      <c r="E175" s="453">
        <f t="shared" si="5"/>
        <v>-6.4427059364933204E-3</v>
      </c>
    </row>
    <row r="176" spans="1:5">
      <c r="A176" t="s">
        <v>560</v>
      </c>
      <c r="B176">
        <v>5864.36</v>
      </c>
      <c r="C176" s="453">
        <f t="shared" si="4"/>
        <v>-1.1070807637761249E-2</v>
      </c>
      <c r="D176">
        <v>21.73</v>
      </c>
      <c r="E176" s="453">
        <f t="shared" si="5"/>
        <v>-4.0194346289752603E-2</v>
      </c>
    </row>
    <row r="177" spans="1:5">
      <c r="A177" t="s">
        <v>561</v>
      </c>
      <c r="B177">
        <v>5930.01</v>
      </c>
      <c r="C177" s="453">
        <f t="shared" si="4"/>
        <v>-3.8602228477990774E-4</v>
      </c>
      <c r="D177">
        <v>22.64</v>
      </c>
      <c r="E177" s="453">
        <f t="shared" si="5"/>
        <v>-1.0056843025798012E-2</v>
      </c>
    </row>
    <row r="178" spans="1:5">
      <c r="A178" t="s">
        <v>562</v>
      </c>
      <c r="B178">
        <v>5932.3</v>
      </c>
      <c r="C178" s="453">
        <f t="shared" si="4"/>
        <v>7.8079078000929947E-3</v>
      </c>
      <c r="D178">
        <v>22.87</v>
      </c>
      <c r="E178" s="453">
        <f t="shared" si="5"/>
        <v>3.5103115401493579E-3</v>
      </c>
    </row>
    <row r="179" spans="1:5">
      <c r="A179" t="s">
        <v>563</v>
      </c>
      <c r="B179">
        <v>5886.34</v>
      </c>
      <c r="C179" s="453">
        <f t="shared" si="4"/>
        <v>4.2001323843512406E-3</v>
      </c>
      <c r="D179">
        <v>22.79</v>
      </c>
      <c r="E179" s="453">
        <f t="shared" si="5"/>
        <v>1.3181019332160204E-3</v>
      </c>
    </row>
    <row r="180" spans="1:5">
      <c r="A180" t="s">
        <v>564</v>
      </c>
      <c r="B180">
        <v>5861.72</v>
      </c>
      <c r="C180" s="453">
        <f t="shared" si="4"/>
        <v>-1.3210015167864908E-2</v>
      </c>
      <c r="D180">
        <v>22.76</v>
      </c>
      <c r="E180" s="453">
        <f t="shared" si="5"/>
        <v>-1.043478260869557E-2</v>
      </c>
    </row>
    <row r="181" spans="1:5">
      <c r="A181" t="s">
        <v>565</v>
      </c>
      <c r="B181">
        <v>5940.19</v>
      </c>
      <c r="C181" s="453">
        <f t="shared" si="4"/>
        <v>-1.0448265924360101E-2</v>
      </c>
      <c r="D181">
        <v>23</v>
      </c>
      <c r="E181" s="453">
        <f t="shared" si="5"/>
        <v>1.9051838723969761E-2</v>
      </c>
    </row>
    <row r="182" spans="1:5">
      <c r="A182" t="s">
        <v>566</v>
      </c>
      <c r="B182">
        <v>6002.91</v>
      </c>
      <c r="C182" s="453">
        <f t="shared" si="4"/>
        <v>-8.7386865219135634E-3</v>
      </c>
      <c r="D182">
        <v>22.57</v>
      </c>
      <c r="E182" s="453">
        <f t="shared" si="5"/>
        <v>-8.7834870443566082E-3</v>
      </c>
    </row>
    <row r="183" spans="1:5">
      <c r="A183" t="s">
        <v>567</v>
      </c>
      <c r="B183">
        <v>6055.83</v>
      </c>
      <c r="C183" s="453">
        <f t="shared" si="4"/>
        <v>-1.10524846044181E-2</v>
      </c>
      <c r="D183">
        <v>22.77</v>
      </c>
      <c r="E183" s="453">
        <f t="shared" si="5"/>
        <v>-1.0430247718383412E-2</v>
      </c>
    </row>
    <row r="184" spans="1:5">
      <c r="A184" t="s">
        <v>568</v>
      </c>
      <c r="B184">
        <v>6123.51</v>
      </c>
      <c r="C184" s="453">
        <f t="shared" si="4"/>
        <v>2.7740613797926361E-3</v>
      </c>
      <c r="D184">
        <v>23.01</v>
      </c>
      <c r="E184" s="453">
        <f t="shared" si="5"/>
        <v>9.2105263157895578E-3</v>
      </c>
    </row>
    <row r="185" spans="1:5">
      <c r="A185" t="s">
        <v>569</v>
      </c>
      <c r="B185">
        <v>6106.57</v>
      </c>
      <c r="C185" s="453">
        <f t="shared" si="4"/>
        <v>-4.3938880121040524E-3</v>
      </c>
      <c r="D185">
        <v>22.8</v>
      </c>
      <c r="E185" s="453">
        <f t="shared" si="5"/>
        <v>-1.4267185473411104E-2</v>
      </c>
    </row>
    <row r="186" spans="1:5">
      <c r="A186" t="s">
        <v>570</v>
      </c>
      <c r="B186">
        <v>6133.52</v>
      </c>
      <c r="C186" s="453">
        <f t="shared" si="4"/>
        <v>8.5140107929639885E-3</v>
      </c>
      <c r="D186">
        <v>23.13</v>
      </c>
      <c r="E186" s="453">
        <f t="shared" si="5"/>
        <v>1.8942731277532987E-2</v>
      </c>
    </row>
    <row r="187" spans="1:5">
      <c r="A187" t="s">
        <v>571</v>
      </c>
      <c r="B187">
        <v>6081.74</v>
      </c>
      <c r="C187" s="453">
        <f t="shared" si="4"/>
        <v>-2.5977518950140999E-3</v>
      </c>
      <c r="D187">
        <v>22.7</v>
      </c>
      <c r="E187" s="453">
        <f t="shared" si="5"/>
        <v>-8.733624454148492E-3</v>
      </c>
    </row>
    <row r="188" spans="1:5">
      <c r="A188" t="s">
        <v>572</v>
      </c>
      <c r="B188">
        <v>6097.58</v>
      </c>
      <c r="C188" s="453">
        <f t="shared" si="4"/>
        <v>-2.3168524839080051E-3</v>
      </c>
      <c r="D188">
        <v>22.9</v>
      </c>
      <c r="E188" s="453">
        <f t="shared" si="5"/>
        <v>-6.5075921908894774E-3</v>
      </c>
    </row>
    <row r="189" spans="1:5">
      <c r="A189" t="s">
        <v>573</v>
      </c>
      <c r="B189">
        <v>6111.74</v>
      </c>
      <c r="C189" s="453">
        <f t="shared" si="4"/>
        <v>9.2202728087120711E-4</v>
      </c>
      <c r="D189">
        <v>23.05</v>
      </c>
      <c r="E189" s="453">
        <f t="shared" si="5"/>
        <v>-2.3718763235916929E-2</v>
      </c>
    </row>
    <row r="190" spans="1:5">
      <c r="A190" t="s">
        <v>574</v>
      </c>
      <c r="B190">
        <v>6106.11</v>
      </c>
      <c r="C190" s="453">
        <f t="shared" si="4"/>
        <v>7.0804429358850562E-3</v>
      </c>
      <c r="D190">
        <v>23.61</v>
      </c>
      <c r="E190" s="453">
        <f t="shared" si="5"/>
        <v>-1.2959866220735861E-2</v>
      </c>
    </row>
    <row r="191" spans="1:5">
      <c r="A191" t="s">
        <v>575</v>
      </c>
      <c r="B191">
        <v>6063.18</v>
      </c>
      <c r="C191" s="453">
        <f t="shared" si="4"/>
        <v>-5.9998483554801751E-4</v>
      </c>
      <c r="D191">
        <v>23.92</v>
      </c>
      <c r="E191" s="453">
        <f t="shared" si="5"/>
        <v>-1.1161637040099204E-2</v>
      </c>
    </row>
    <row r="192" spans="1:5">
      <c r="A192" t="s">
        <v>576</v>
      </c>
      <c r="B192">
        <v>6066.82</v>
      </c>
      <c r="C192" s="453">
        <f t="shared" si="4"/>
        <v>-5.559981248176471E-3</v>
      </c>
      <c r="D192">
        <v>24.19</v>
      </c>
      <c r="E192" s="453">
        <f t="shared" si="5"/>
        <v>-2.3415421881307963E-2</v>
      </c>
    </row>
    <row r="193" spans="1:5">
      <c r="A193" t="s">
        <v>577</v>
      </c>
      <c r="B193">
        <v>6100.74</v>
      </c>
      <c r="C193" s="453">
        <f t="shared" si="4"/>
        <v>1.6693414125658057E-2</v>
      </c>
      <c r="D193">
        <v>24.77</v>
      </c>
      <c r="E193" s="453">
        <f t="shared" si="5"/>
        <v>4.6472327841148964E-2</v>
      </c>
    </row>
    <row r="194" spans="1:5">
      <c r="A194" t="s">
        <v>578</v>
      </c>
      <c r="B194">
        <v>6000.57</v>
      </c>
      <c r="C194" s="453">
        <f t="shared" si="4"/>
        <v>2.0791166509688264E-3</v>
      </c>
      <c r="D194">
        <v>23.67</v>
      </c>
      <c r="E194" s="453">
        <f t="shared" si="5"/>
        <v>1.153846153846172E-2</v>
      </c>
    </row>
    <row r="195" spans="1:5">
      <c r="A195" t="s">
        <v>579</v>
      </c>
      <c r="B195">
        <v>5988.12</v>
      </c>
      <c r="C195" s="453">
        <f t="shared" si="4"/>
        <v>-8.0918076452261012E-3</v>
      </c>
      <c r="D195">
        <v>23.4</v>
      </c>
      <c r="E195" s="453">
        <f t="shared" si="5"/>
        <v>2.5706940874035134E-3</v>
      </c>
    </row>
    <row r="196" spans="1:5">
      <c r="A196" t="s">
        <v>580</v>
      </c>
      <c r="B196">
        <v>6036.97</v>
      </c>
      <c r="C196" s="453">
        <f t="shared" ref="C196:C258" si="6">B196/B197-1</f>
        <v>4.8754261212313743E-3</v>
      </c>
      <c r="D196">
        <v>23.34</v>
      </c>
      <c r="E196" s="453">
        <f t="shared" ref="E196:E258" si="7">D196/D197-1</f>
        <v>1.3020833333333259E-2</v>
      </c>
    </row>
    <row r="197" spans="1:5">
      <c r="A197" t="s">
        <v>581</v>
      </c>
      <c r="B197">
        <v>6007.68</v>
      </c>
      <c r="C197" s="453">
        <f t="shared" si="6"/>
        <v>1.4495494643556706E-2</v>
      </c>
      <c r="D197">
        <v>23.04</v>
      </c>
      <c r="E197" s="453">
        <f t="shared" si="7"/>
        <v>2.9490616621983934E-2</v>
      </c>
    </row>
    <row r="198" spans="1:5">
      <c r="A198" t="s">
        <v>582</v>
      </c>
      <c r="B198">
        <v>5921.84</v>
      </c>
      <c r="C198" s="453">
        <f t="shared" si="6"/>
        <v>2.8535188035883063E-3</v>
      </c>
      <c r="D198">
        <v>22.38</v>
      </c>
      <c r="E198" s="453">
        <f t="shared" si="7"/>
        <v>-1.4964788732394374E-2</v>
      </c>
    </row>
    <row r="199" spans="1:5">
      <c r="A199" t="s">
        <v>583</v>
      </c>
      <c r="B199">
        <v>5904.99</v>
      </c>
      <c r="C199" s="453">
        <f t="shared" si="6"/>
        <v>9.5518642120524522E-3</v>
      </c>
      <c r="D199">
        <v>22.72</v>
      </c>
      <c r="E199" s="453">
        <f t="shared" si="7"/>
        <v>1.5192135835567555E-2</v>
      </c>
    </row>
    <row r="200" spans="1:5">
      <c r="A200" t="s">
        <v>584</v>
      </c>
      <c r="B200">
        <v>5849.12</v>
      </c>
      <c r="C200" s="453">
        <f t="shared" si="6"/>
        <v>7.9528241572848213E-3</v>
      </c>
      <c r="D200">
        <v>22.38</v>
      </c>
      <c r="E200" s="453">
        <f t="shared" si="7"/>
        <v>4.488330341112956E-3</v>
      </c>
    </row>
    <row r="201" spans="1:5">
      <c r="A201" t="s">
        <v>585</v>
      </c>
      <c r="B201">
        <v>5802.97</v>
      </c>
      <c r="C201" s="453">
        <f t="shared" si="6"/>
        <v>4.9163748705534083E-3</v>
      </c>
      <c r="D201">
        <v>22.28</v>
      </c>
      <c r="E201" s="453">
        <f t="shared" si="7"/>
        <v>9.9728014505893192E-3</v>
      </c>
    </row>
    <row r="202" spans="1:5">
      <c r="A202" t="s">
        <v>586</v>
      </c>
      <c r="B202">
        <v>5774.58</v>
      </c>
      <c r="C202" s="453">
        <f t="shared" si="6"/>
        <v>-7.9933208614851869E-3</v>
      </c>
      <c r="D202">
        <v>22.06</v>
      </c>
      <c r="E202" s="453">
        <f t="shared" si="7"/>
        <v>-2.9049295774647876E-2</v>
      </c>
    </row>
    <row r="203" spans="1:5">
      <c r="A203" t="s">
        <v>587</v>
      </c>
      <c r="B203">
        <v>5821.11</v>
      </c>
      <c r="C203" s="453">
        <f t="shared" si="6"/>
        <v>2.1890980459622789E-2</v>
      </c>
      <c r="D203">
        <v>22.72</v>
      </c>
      <c r="E203" s="453">
        <f t="shared" si="7"/>
        <v>1.9748653500897495E-2</v>
      </c>
    </row>
    <row r="204" spans="1:5">
      <c r="A204" t="s">
        <v>588</v>
      </c>
      <c r="B204">
        <v>5696.41</v>
      </c>
      <c r="C204" s="453">
        <f t="shared" si="6"/>
        <v>6.6401645636537943E-4</v>
      </c>
      <c r="D204">
        <v>22.28</v>
      </c>
      <c r="E204" s="453">
        <f t="shared" si="7"/>
        <v>-2.8770706190061057E-2</v>
      </c>
    </row>
    <row r="205" spans="1:5">
      <c r="A205" t="s">
        <v>589</v>
      </c>
      <c r="B205">
        <v>5692.63</v>
      </c>
      <c r="C205" s="453">
        <f t="shared" si="6"/>
        <v>-1.932285683159396E-5</v>
      </c>
      <c r="D205">
        <v>22.94</v>
      </c>
      <c r="E205" s="453">
        <f t="shared" si="7"/>
        <v>3.1474820143885029E-2</v>
      </c>
    </row>
    <row r="206" spans="1:5">
      <c r="A206" t="s">
        <v>590</v>
      </c>
      <c r="B206">
        <v>5692.74</v>
      </c>
      <c r="C206" s="453">
        <f t="shared" si="6"/>
        <v>1.2528680433274486E-2</v>
      </c>
      <c r="D206">
        <v>22.24</v>
      </c>
      <c r="E206" s="453">
        <f t="shared" si="7"/>
        <v>1.7383348581884617E-2</v>
      </c>
    </row>
    <row r="207" spans="1:5">
      <c r="A207" t="s">
        <v>591</v>
      </c>
      <c r="B207">
        <v>5622.3</v>
      </c>
      <c r="C207" s="453">
        <f t="shared" si="6"/>
        <v>1.0216622585096591E-2</v>
      </c>
      <c r="D207">
        <v>21.86</v>
      </c>
      <c r="E207" s="453">
        <f t="shared" si="7"/>
        <v>-1.3537906137184197E-2</v>
      </c>
    </row>
    <row r="208" spans="1:5">
      <c r="A208" t="s">
        <v>592</v>
      </c>
      <c r="B208">
        <v>5565.44</v>
      </c>
      <c r="C208" s="453">
        <f t="shared" si="6"/>
        <v>-1.6360035590253785E-3</v>
      </c>
      <c r="D208">
        <v>22.16</v>
      </c>
      <c r="E208" s="453">
        <f t="shared" si="7"/>
        <v>1.2797074954296273E-2</v>
      </c>
    </row>
    <row r="209" spans="1:5">
      <c r="A209" t="s">
        <v>593</v>
      </c>
      <c r="B209">
        <v>5574.56</v>
      </c>
      <c r="C209" s="453">
        <f t="shared" si="6"/>
        <v>-5.9646826592676394E-3</v>
      </c>
      <c r="D209">
        <v>21.88</v>
      </c>
      <c r="E209" s="453">
        <f t="shared" si="7"/>
        <v>-3.4421888790820865E-2</v>
      </c>
    </row>
    <row r="210" spans="1:5">
      <c r="A210" t="s">
        <v>594</v>
      </c>
      <c r="B210">
        <v>5608.01</v>
      </c>
      <c r="C210" s="453">
        <f t="shared" si="6"/>
        <v>1.5070365174894906E-2</v>
      </c>
      <c r="D210">
        <v>22.66</v>
      </c>
      <c r="E210" s="453">
        <f t="shared" si="7"/>
        <v>-1.7621145374449032E-3</v>
      </c>
    </row>
    <row r="211" spans="1:5">
      <c r="A211" t="s">
        <v>595</v>
      </c>
      <c r="B211">
        <v>5524.75</v>
      </c>
      <c r="C211" s="453">
        <f t="shared" si="6"/>
        <v>-1.2931627459072836E-2</v>
      </c>
      <c r="D211">
        <v>22.7</v>
      </c>
      <c r="E211" s="453">
        <f t="shared" si="7"/>
        <v>-2.070750647109576E-2</v>
      </c>
    </row>
    <row r="212" spans="1:5">
      <c r="A212" t="s">
        <v>596</v>
      </c>
      <c r="B212">
        <v>5597.13</v>
      </c>
      <c r="C212" s="453">
        <f t="shared" si="6"/>
        <v>2.3495786886684744E-2</v>
      </c>
      <c r="D212">
        <v>23.18</v>
      </c>
      <c r="E212" s="453">
        <f t="shared" si="7"/>
        <v>2.4756852343059244E-2</v>
      </c>
    </row>
    <row r="213" spans="1:5">
      <c r="A213" t="s">
        <v>597</v>
      </c>
      <c r="B213">
        <v>5468.64</v>
      </c>
      <c r="C213" s="453">
        <f t="shared" si="6"/>
        <v>1.3935344156277729E-2</v>
      </c>
      <c r="D213">
        <v>22.62</v>
      </c>
      <c r="E213" s="453">
        <f t="shared" si="7"/>
        <v>3.9522058823529438E-2</v>
      </c>
    </row>
    <row r="214" spans="1:5">
      <c r="A214" t="s">
        <v>598</v>
      </c>
      <c r="B214">
        <v>5393.48</v>
      </c>
      <c r="C214" s="453">
        <f t="shared" si="6"/>
        <v>1.1558839802319865E-2</v>
      </c>
      <c r="D214">
        <v>21.76</v>
      </c>
      <c r="E214" s="453">
        <f t="shared" si="7"/>
        <v>5.6310679611650594E-2</v>
      </c>
    </row>
    <row r="215" spans="1:5">
      <c r="A215" t="s">
        <v>599</v>
      </c>
      <c r="B215">
        <v>5331.85</v>
      </c>
      <c r="C215" s="453">
        <f t="shared" si="6"/>
        <v>-2.4938645482442179E-2</v>
      </c>
      <c r="D215">
        <v>20.6</v>
      </c>
      <c r="E215" s="453">
        <f t="shared" si="7"/>
        <v>5.859375E-3</v>
      </c>
    </row>
    <row r="216" spans="1:5">
      <c r="A216" t="s">
        <v>600</v>
      </c>
      <c r="B216">
        <v>5468.22</v>
      </c>
      <c r="C216" s="453">
        <f t="shared" si="6"/>
        <v>-8.8345755633536527E-3</v>
      </c>
      <c r="D216">
        <v>20.48</v>
      </c>
      <c r="E216" s="453">
        <f t="shared" si="7"/>
        <v>-4.0299906279287701E-2</v>
      </c>
    </row>
    <row r="217" spans="1:5">
      <c r="A217" t="s">
        <v>601</v>
      </c>
      <c r="B217">
        <v>5516.96</v>
      </c>
      <c r="C217" s="453">
        <f t="shared" si="6"/>
        <v>3.3992510371443352E-3</v>
      </c>
      <c r="D217">
        <v>21.34</v>
      </c>
      <c r="E217" s="453">
        <f t="shared" si="7"/>
        <v>4.7080979284370716E-3</v>
      </c>
    </row>
    <row r="218" spans="1:5">
      <c r="A218" t="s">
        <v>602</v>
      </c>
      <c r="B218">
        <v>5498.27</v>
      </c>
      <c r="C218" s="453">
        <f t="shared" si="6"/>
        <v>-1.1660680838519233E-2</v>
      </c>
      <c r="D218">
        <v>21.24</v>
      </c>
      <c r="E218" s="453">
        <f t="shared" si="7"/>
        <v>-2.2099447513812209E-2</v>
      </c>
    </row>
    <row r="219" spans="1:5">
      <c r="A219" t="s">
        <v>603</v>
      </c>
      <c r="B219">
        <v>5563.14</v>
      </c>
      <c r="C219" s="453">
        <f t="shared" si="6"/>
        <v>1.2361674986033355E-2</v>
      </c>
      <c r="D219">
        <v>21.72</v>
      </c>
      <c r="E219" s="453">
        <f t="shared" si="7"/>
        <v>9.1457286432160778E-2</v>
      </c>
    </row>
    <row r="220" spans="1:5">
      <c r="A220" t="s">
        <v>604</v>
      </c>
      <c r="B220">
        <v>5495.21</v>
      </c>
      <c r="C220" s="453">
        <f t="shared" si="6"/>
        <v>2.7472383644835396E-2</v>
      </c>
      <c r="D220">
        <v>19.899999999999999</v>
      </c>
      <c r="E220" s="453">
        <f t="shared" si="7"/>
        <v>8.1053698074975422E-3</v>
      </c>
    </row>
    <row r="221" spans="1:5">
      <c r="A221" t="s">
        <v>605</v>
      </c>
      <c r="B221">
        <v>5348.28</v>
      </c>
      <c r="C221" s="453">
        <f t="shared" si="6"/>
        <v>-1.5218388010893258E-2</v>
      </c>
      <c r="D221">
        <v>19.739999999999998</v>
      </c>
      <c r="E221" s="453">
        <f t="shared" si="7"/>
        <v>0.10526315789473673</v>
      </c>
    </row>
    <row r="222" spans="1:5">
      <c r="A222" t="s">
        <v>606</v>
      </c>
      <c r="B222">
        <v>5430.93</v>
      </c>
      <c r="C222" s="453">
        <f t="shared" si="6"/>
        <v>-6.2196701873037386E-3</v>
      </c>
      <c r="D222">
        <v>17.86</v>
      </c>
      <c r="E222" s="453">
        <f t="shared" si="7"/>
        <v>-7.2262367982212083E-3</v>
      </c>
    </row>
    <row r="223" spans="1:5">
      <c r="A223" t="s">
        <v>607</v>
      </c>
      <c r="B223">
        <v>5464.92</v>
      </c>
      <c r="C223" s="453">
        <f t="shared" si="6"/>
        <v>-5.2007011935945036E-3</v>
      </c>
      <c r="D223">
        <v>17.989999999999998</v>
      </c>
      <c r="E223" s="453">
        <f t="shared" si="7"/>
        <v>4.4667783361249658E-3</v>
      </c>
    </row>
    <row r="224" spans="1:5">
      <c r="A224" t="s">
        <v>608</v>
      </c>
      <c r="B224">
        <v>5493.49</v>
      </c>
      <c r="C224" s="453">
        <f t="shared" si="6"/>
        <v>-2.4628031675011597E-2</v>
      </c>
      <c r="D224">
        <v>17.91</v>
      </c>
      <c r="E224" s="453">
        <f t="shared" si="7"/>
        <v>-2.6630434782608625E-2</v>
      </c>
    </row>
    <row r="225" spans="1:5">
      <c r="A225" t="s">
        <v>609</v>
      </c>
      <c r="B225">
        <v>5632.2</v>
      </c>
      <c r="C225" s="453">
        <f t="shared" si="6"/>
        <v>-4.6549109841054204E-3</v>
      </c>
      <c r="D225">
        <v>18.399999999999999</v>
      </c>
      <c r="E225" s="453">
        <f t="shared" si="7"/>
        <v>-1.1284255776464303E-2</v>
      </c>
    </row>
    <row r="226" spans="1:5">
      <c r="A226" t="s">
        <v>610</v>
      </c>
      <c r="B226">
        <v>5658.54</v>
      </c>
      <c r="C226" s="453">
        <f t="shared" si="6"/>
        <v>-7.6639448478510452E-4</v>
      </c>
      <c r="D226">
        <v>18.61</v>
      </c>
      <c r="E226" s="453">
        <f t="shared" si="7"/>
        <v>3.8504464285714191E-2</v>
      </c>
    </row>
    <row r="227" spans="1:5">
      <c r="A227" t="s">
        <v>611</v>
      </c>
      <c r="B227">
        <v>5662.88</v>
      </c>
      <c r="C227" s="453">
        <f t="shared" si="6"/>
        <v>3.4127031940491825E-3</v>
      </c>
      <c r="D227">
        <v>17.920000000000002</v>
      </c>
      <c r="E227" s="453">
        <f t="shared" si="7"/>
        <v>6.741573033707926E-3</v>
      </c>
    </row>
    <row r="228" spans="1:5">
      <c r="A228" t="s">
        <v>612</v>
      </c>
      <c r="B228">
        <v>5643.62</v>
      </c>
      <c r="C228" s="453">
        <f t="shared" si="6"/>
        <v>2.4685619664249536E-2</v>
      </c>
      <c r="D228">
        <v>17.8</v>
      </c>
      <c r="E228" s="453">
        <f t="shared" si="7"/>
        <v>4.705882352941182E-2</v>
      </c>
    </row>
    <row r="229" spans="1:5">
      <c r="A229" t="s">
        <v>613</v>
      </c>
      <c r="B229">
        <v>5507.66</v>
      </c>
      <c r="C229" s="453">
        <f t="shared" si="6"/>
        <v>-1.4881431479235707E-2</v>
      </c>
      <c r="D229">
        <v>17</v>
      </c>
      <c r="E229" s="453">
        <f t="shared" si="7"/>
        <v>-5.8479532163743242E-3</v>
      </c>
    </row>
    <row r="230" spans="1:5">
      <c r="A230" t="s">
        <v>614</v>
      </c>
      <c r="B230">
        <v>5590.86</v>
      </c>
      <c r="C230" s="453">
        <f t="shared" si="6"/>
        <v>-1.4253222137983301E-2</v>
      </c>
      <c r="D230">
        <v>17.100000000000001</v>
      </c>
      <c r="E230" s="453">
        <f t="shared" si="7"/>
        <v>-3.7703995498030274E-2</v>
      </c>
    </row>
    <row r="231" spans="1:5">
      <c r="A231" t="s">
        <v>615</v>
      </c>
      <c r="B231">
        <v>5671.7</v>
      </c>
      <c r="C231" s="453">
        <f t="shared" si="6"/>
        <v>-4.3692805696039505E-3</v>
      </c>
      <c r="D231">
        <v>17.77</v>
      </c>
      <c r="E231" s="453">
        <f t="shared" si="7"/>
        <v>-2.5233132199670938E-2</v>
      </c>
    </row>
    <row r="232" spans="1:5">
      <c r="A232" t="s">
        <v>616</v>
      </c>
      <c r="B232">
        <v>5696.59</v>
      </c>
      <c r="C232" s="453">
        <f t="shared" si="6"/>
        <v>9.4090713370627022E-3</v>
      </c>
      <c r="D232">
        <v>18.23</v>
      </c>
      <c r="E232" s="453">
        <f t="shared" si="7"/>
        <v>1.7867113344500307E-2</v>
      </c>
    </row>
    <row r="233" spans="1:5">
      <c r="A233" t="s">
        <v>617</v>
      </c>
      <c r="B233">
        <v>5643.49</v>
      </c>
      <c r="C233" s="453">
        <f t="shared" si="6"/>
        <v>6.8060099833373577E-3</v>
      </c>
      <c r="D233">
        <v>17.91</v>
      </c>
      <c r="E233" s="453">
        <f t="shared" si="7"/>
        <v>-1.1589403973509937E-2</v>
      </c>
    </row>
    <row r="234" spans="1:5">
      <c r="A234" t="s">
        <v>618</v>
      </c>
      <c r="B234">
        <v>5605.34</v>
      </c>
      <c r="C234" s="453">
        <f t="shared" si="6"/>
        <v>-9.6327427629550044E-5</v>
      </c>
      <c r="D234">
        <v>18.12</v>
      </c>
      <c r="E234" s="453">
        <f t="shared" si="7"/>
        <v>-4.9423393739703725E-3</v>
      </c>
    </row>
    <row r="235" spans="1:5">
      <c r="A235" t="s">
        <v>619</v>
      </c>
      <c r="B235">
        <v>5605.88</v>
      </c>
      <c r="C235" s="453">
        <f t="shared" si="6"/>
        <v>4.7910524004552979E-3</v>
      </c>
      <c r="D235">
        <v>18.21</v>
      </c>
      <c r="E235" s="453">
        <f t="shared" si="7"/>
        <v>-7.0883315158123406E-3</v>
      </c>
    </row>
    <row r="236" spans="1:5">
      <c r="A236" t="s">
        <v>620</v>
      </c>
      <c r="B236">
        <v>5579.15</v>
      </c>
      <c r="C236" s="453">
        <f t="shared" si="6"/>
        <v>-8.6727695292788676E-3</v>
      </c>
      <c r="D236">
        <v>18.34</v>
      </c>
      <c r="E236" s="453">
        <f t="shared" si="7"/>
        <v>-3.7775445960125831E-2</v>
      </c>
    </row>
    <row r="237" spans="1:5">
      <c r="A237" t="s">
        <v>621</v>
      </c>
      <c r="B237">
        <v>5627.96</v>
      </c>
      <c r="C237" s="453">
        <f t="shared" si="6"/>
        <v>4.2662419385797179E-4</v>
      </c>
      <c r="D237">
        <v>19.059999999999999</v>
      </c>
      <c r="E237" s="453">
        <f t="shared" si="7"/>
        <v>1.6533333333333289E-2</v>
      </c>
    </row>
    <row r="238" spans="1:5">
      <c r="A238" t="s">
        <v>622</v>
      </c>
      <c r="B238">
        <v>5625.56</v>
      </c>
      <c r="C238" s="453">
        <f t="shared" si="6"/>
        <v>1.1000386388347216E-2</v>
      </c>
      <c r="D238">
        <v>18.75</v>
      </c>
      <c r="E238" s="453">
        <f t="shared" si="7"/>
        <v>6.9817400644467398E-3</v>
      </c>
    </row>
    <row r="239" spans="1:5">
      <c r="A239" t="s">
        <v>623</v>
      </c>
      <c r="B239">
        <v>5564.35</v>
      </c>
      <c r="C239" s="453">
        <f t="shared" si="6"/>
        <v>7.6948709311719377E-3</v>
      </c>
      <c r="D239">
        <v>18.62</v>
      </c>
      <c r="E239" s="453">
        <f t="shared" si="7"/>
        <v>2.1953896816685026E-2</v>
      </c>
    </row>
    <row r="240" spans="1:5">
      <c r="A240" t="s">
        <v>624</v>
      </c>
      <c r="B240">
        <v>5521.86</v>
      </c>
      <c r="C240" s="453">
        <f t="shared" si="6"/>
        <v>-7.2239681843353498E-3</v>
      </c>
      <c r="D240">
        <v>18.22</v>
      </c>
      <c r="E240" s="453">
        <f t="shared" si="7"/>
        <v>-2.2007514761137936E-2</v>
      </c>
    </row>
    <row r="241" spans="1:5">
      <c r="A241" t="s">
        <v>625</v>
      </c>
      <c r="B241">
        <v>5562.04</v>
      </c>
      <c r="C241" s="453">
        <f t="shared" si="6"/>
        <v>6.9811061142612818E-3</v>
      </c>
      <c r="D241">
        <v>18.63</v>
      </c>
      <c r="E241" s="453">
        <f t="shared" si="7"/>
        <v>1.0746910263299547E-3</v>
      </c>
    </row>
    <row r="242" spans="1:5">
      <c r="A242" t="s">
        <v>626</v>
      </c>
      <c r="B242">
        <v>5523.48</v>
      </c>
      <c r="C242" s="453">
        <f t="shared" si="6"/>
        <v>2.1244023385065924E-2</v>
      </c>
      <c r="D242">
        <v>18.61</v>
      </c>
      <c r="E242" s="453">
        <f t="shared" si="7"/>
        <v>3.5614913745130705E-2</v>
      </c>
    </row>
    <row r="243" spans="1:5">
      <c r="A243" t="s">
        <v>627</v>
      </c>
      <c r="B243">
        <v>5408.58</v>
      </c>
      <c r="C243" s="453">
        <f t="shared" si="6"/>
        <v>-3.834677864957392E-3</v>
      </c>
      <c r="D243">
        <v>17.97</v>
      </c>
      <c r="E243" s="453">
        <f t="shared" si="7"/>
        <v>-3.2310177705977439E-2</v>
      </c>
    </row>
    <row r="244" spans="1:5">
      <c r="A244" t="s">
        <v>628</v>
      </c>
      <c r="B244">
        <v>5429.4</v>
      </c>
      <c r="C244" s="453">
        <f t="shared" si="6"/>
        <v>-2.7470283515680483E-2</v>
      </c>
      <c r="D244">
        <v>18.57</v>
      </c>
      <c r="E244" s="453">
        <f t="shared" si="7"/>
        <v>-3.5324675324675314E-2</v>
      </c>
    </row>
    <row r="245" spans="1:5">
      <c r="A245" t="s">
        <v>629</v>
      </c>
      <c r="B245">
        <v>5582.76</v>
      </c>
      <c r="C245" s="453">
        <f t="shared" si="6"/>
        <v>-1.4332778948929481E-2</v>
      </c>
      <c r="D245">
        <v>19.25</v>
      </c>
      <c r="E245" s="453">
        <f t="shared" si="7"/>
        <v>-4.6085232903865236E-2</v>
      </c>
    </row>
    <row r="246" spans="1:5">
      <c r="A246" t="s">
        <v>630</v>
      </c>
      <c r="B246">
        <v>5663.94</v>
      </c>
      <c r="C246" s="453">
        <f t="shared" si="6"/>
        <v>6.2009423312359147E-4</v>
      </c>
      <c r="D246">
        <v>20.18</v>
      </c>
      <c r="E246" s="453">
        <f t="shared" si="7"/>
        <v>5.0494534096824584E-2</v>
      </c>
    </row>
    <row r="247" spans="1:5">
      <c r="A247" t="s">
        <v>631</v>
      </c>
      <c r="B247">
        <v>5660.43</v>
      </c>
      <c r="C247" s="453">
        <f t="shared" si="6"/>
        <v>7.5453360958626092E-3</v>
      </c>
      <c r="D247">
        <v>19.21</v>
      </c>
      <c r="E247" s="453">
        <f t="shared" si="7"/>
        <v>1.8018018018018056E-2</v>
      </c>
    </row>
    <row r="248" spans="1:5">
      <c r="A248" t="s">
        <v>632</v>
      </c>
      <c r="B248">
        <v>5618.04</v>
      </c>
      <c r="C248" s="453">
        <f t="shared" si="6"/>
        <v>-2.9708347087197273E-3</v>
      </c>
      <c r="D248">
        <v>18.87</v>
      </c>
      <c r="E248" s="453">
        <f t="shared" si="7"/>
        <v>-2.1265560165975139E-2</v>
      </c>
    </row>
    <row r="249" spans="1:5">
      <c r="A249" t="s">
        <v>633</v>
      </c>
      <c r="B249">
        <v>5634.78</v>
      </c>
      <c r="C249" s="453">
        <f t="shared" si="6"/>
        <v>-3.5658592922571675E-4</v>
      </c>
      <c r="D249">
        <v>19.28</v>
      </c>
      <c r="E249" s="453">
        <f t="shared" si="7"/>
        <v>5.2137643378520337E-3</v>
      </c>
    </row>
    <row r="250" spans="1:5">
      <c r="A250" t="s">
        <v>634</v>
      </c>
      <c r="B250">
        <v>5636.79</v>
      </c>
      <c r="C250" s="453">
        <f t="shared" si="6"/>
        <v>-1.2141456378908733E-2</v>
      </c>
      <c r="D250">
        <v>19.18</v>
      </c>
      <c r="E250" s="453">
        <f t="shared" si="7"/>
        <v>-3.3753148614609652E-2</v>
      </c>
    </row>
    <row r="251" spans="1:5">
      <c r="A251" t="s">
        <v>635</v>
      </c>
      <c r="B251">
        <v>5706.07</v>
      </c>
      <c r="C251" s="453">
        <f t="shared" si="6"/>
        <v>7.4311703078047131E-3</v>
      </c>
      <c r="D251">
        <v>19.850000000000001</v>
      </c>
      <c r="E251" s="453">
        <f t="shared" si="7"/>
        <v>-3.0135610246107003E-3</v>
      </c>
    </row>
    <row r="252" spans="1:5">
      <c r="A252" t="s">
        <v>636</v>
      </c>
      <c r="B252">
        <v>5663.98</v>
      </c>
      <c r="C252" s="453">
        <f t="shared" si="6"/>
        <v>3.9509437774851719E-3</v>
      </c>
      <c r="D252">
        <v>19.91</v>
      </c>
      <c r="E252" s="453">
        <f t="shared" si="7"/>
        <v>1.0659898477157315E-2</v>
      </c>
    </row>
    <row r="253" spans="1:5">
      <c r="A253" t="s">
        <v>637</v>
      </c>
      <c r="B253">
        <v>5641.69</v>
      </c>
      <c r="C253" s="453">
        <f t="shared" si="6"/>
        <v>1.3334650513251001E-2</v>
      </c>
      <c r="D253">
        <v>19.7</v>
      </c>
      <c r="E253" s="453">
        <f t="shared" si="7"/>
        <v>1.8087855297157507E-2</v>
      </c>
    </row>
    <row r="254" spans="1:5">
      <c r="A254" t="s">
        <v>638</v>
      </c>
      <c r="B254">
        <v>5567.45</v>
      </c>
      <c r="C254" s="453">
        <f t="shared" si="6"/>
        <v>-5.769890138148881E-3</v>
      </c>
      <c r="D254">
        <v>19.350000000000001</v>
      </c>
      <c r="E254" s="453">
        <f t="shared" si="7"/>
        <v>-8.2009226037929039E-3</v>
      </c>
    </row>
    <row r="255" spans="1:5">
      <c r="A255" t="s">
        <v>639</v>
      </c>
      <c r="B255">
        <v>5599.76</v>
      </c>
      <c r="C255" s="453">
        <f t="shared" si="6"/>
        <v>6.8263776952592892E-4</v>
      </c>
      <c r="D255">
        <v>19.510000000000002</v>
      </c>
      <c r="E255" s="453">
        <f t="shared" si="7"/>
        <v>-2.7417746759720751E-2</v>
      </c>
    </row>
    <row r="256" spans="1:5">
      <c r="A256" t="s">
        <v>640</v>
      </c>
      <c r="B256">
        <v>5595.94</v>
      </c>
      <c r="C256" s="453">
        <f t="shared" si="6"/>
        <v>-1.0037716622911752E-2</v>
      </c>
      <c r="D256">
        <v>20.059999999999999</v>
      </c>
      <c r="E256" s="453">
        <f t="shared" si="7"/>
        <v>-2.81007751937985E-2</v>
      </c>
    </row>
    <row r="257" spans="1:5">
      <c r="A257" t="s">
        <v>641</v>
      </c>
      <c r="B257">
        <v>5652.68</v>
      </c>
      <c r="C257" s="453">
        <f t="shared" si="6"/>
        <v>-3.1337900872063784E-3</v>
      </c>
      <c r="D257">
        <v>20.64</v>
      </c>
      <c r="E257" s="453">
        <f t="shared" si="7"/>
        <v>-3.9106145251396662E-2</v>
      </c>
    </row>
    <row r="258" spans="1:5">
      <c r="A258" t="s">
        <v>642</v>
      </c>
      <c r="B258">
        <v>5670.45</v>
      </c>
      <c r="C258" s="453">
        <f t="shared" si="6"/>
        <v>5.7716423284515095E-3</v>
      </c>
      <c r="D258">
        <v>21.48</v>
      </c>
      <c r="E258" s="453">
        <f t="shared" si="7"/>
        <v>-2.4523160762942697E-2</v>
      </c>
    </row>
    <row r="259" spans="1:5">
      <c r="A259" t="s">
        <v>643</v>
      </c>
      <c r="B259">
        <v>5637.91</v>
      </c>
      <c r="C259" s="453"/>
      <c r="D259">
        <v>22.02</v>
      </c>
      <c r="E259" s="45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074f86-5091-4287-b4e0-7f306bedb529">
      <Terms xmlns="http://schemas.microsoft.com/office/infopath/2007/PartnerControls"/>
    </lcf76f155ced4ddcb4097134ff3c332f>
    <TaxCatchAll xmlns="d0512000-6185-40db-a99b-df4569ba54a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BB804E28ADEA4EB497DECC40E44022" ma:contentTypeVersion="16" ma:contentTypeDescription="Create a new document." ma:contentTypeScope="" ma:versionID="62f022205dc00f379a31b128ea225946">
  <xsd:schema xmlns:xsd="http://www.w3.org/2001/XMLSchema" xmlns:xs="http://www.w3.org/2001/XMLSchema" xmlns:p="http://schemas.microsoft.com/office/2006/metadata/properties" xmlns:ns2="d4074f86-5091-4287-b4e0-7f306bedb529" xmlns:ns3="d0512000-6185-40db-a99b-df4569ba54ae" targetNamespace="http://schemas.microsoft.com/office/2006/metadata/properties" ma:root="true" ma:fieldsID="c2896ed3e292e59a20c23394e338b7a2" ns2:_="" ns3:_="">
    <xsd:import namespace="d4074f86-5091-4287-b4e0-7f306bedb529"/>
    <xsd:import namespace="d0512000-6185-40db-a99b-df4569ba54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074f86-5091-4287-b4e0-7f306bedb5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13fef0e-ad1e-4996-aa84-7ac1ebeb22c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512000-6185-40db-a99b-df4569ba54a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4db5a65-4870-4ebc-a012-792de8b02458}" ma:internalName="TaxCatchAll" ma:showField="CatchAllData" ma:web="d0512000-6185-40db-a99b-df4569ba54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9E2F4F-0EE7-439D-AE75-5728296928EC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d4074f86-5091-4287-b4e0-7f306bedb529"/>
    <ds:schemaRef ds:uri="http://schemas.microsoft.com/office/2006/documentManagement/types"/>
    <ds:schemaRef ds:uri="d0512000-6185-40db-a99b-df4569ba54ae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13BD881-EA86-414A-B206-237E873219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3A6F91-F009-4EA6-B201-9D897019CB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074f86-5091-4287-b4e0-7f306bedb529"/>
    <ds:schemaRef ds:uri="d0512000-6185-40db-a99b-df4569ba54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7</vt:i4>
      </vt:variant>
    </vt:vector>
  </HeadingPairs>
  <TitlesOfParts>
    <vt:vector size="23" baseType="lpstr">
      <vt:lpstr>Capa</vt:lpstr>
      <vt:lpstr>DR</vt:lpstr>
      <vt:lpstr>Balanço</vt:lpstr>
      <vt:lpstr>DR por Região</vt:lpstr>
      <vt:lpstr>OV Receitas</vt:lpstr>
      <vt:lpstr>OV Custos</vt:lpstr>
      <vt:lpstr>OV Balanço</vt:lpstr>
      <vt:lpstr>Rácios</vt:lpstr>
      <vt:lpstr>Custo de Capital</vt:lpstr>
      <vt:lpstr>FCF</vt:lpstr>
      <vt:lpstr>Modelo de Análise Relativa</vt:lpstr>
      <vt:lpstr>Modelo de Desconto de Dividendo</vt:lpstr>
      <vt:lpstr>Concorrentes ---&gt;</vt:lpstr>
      <vt:lpstr>Endesa</vt:lpstr>
      <vt:lpstr>Iberdrola</vt:lpstr>
      <vt:lpstr>Galp</vt:lpstr>
      <vt:lpstr>Balanço!Print_Area</vt:lpstr>
      <vt:lpstr>DR!Print_Area</vt:lpstr>
      <vt:lpstr>'DR por Região'!Print_Area</vt:lpstr>
      <vt:lpstr>FCF!Print_Area</vt:lpstr>
      <vt:lpstr>'OV Balanço'!Print_Area</vt:lpstr>
      <vt:lpstr>'OV Custos'!Print_Area</vt:lpstr>
      <vt:lpstr>'OV Receitas'!Print_Area</vt:lpstr>
    </vt:vector>
  </TitlesOfParts>
  <Manager/>
  <Company>hcenergia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Beirão</dc:creator>
  <cp:keywords/>
  <dc:description/>
  <cp:lastModifiedBy>Toshiba</cp:lastModifiedBy>
  <cp:revision/>
  <cp:lastPrinted>2022-07-27T08:17:19Z</cp:lastPrinted>
  <dcterms:created xsi:type="dcterms:W3CDTF">2009-12-11T15:08:37Z</dcterms:created>
  <dcterms:modified xsi:type="dcterms:W3CDTF">2023-01-08T15:24:56Z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0x01010080BB804E28ADEA4EB497DECC40E44022</vt:lpwstr>
  </property>
  <property fmtid="{D5CDD505-2E9C-101B-9397-08002B2CF9AE}" pid="3" name="MSIP_Label_9811530c-902c-4b75-8616-d6c82cd1332a_Enabled">
    <vt:lpwstr>true</vt:lpwstr>
  </property>
  <property fmtid="{D5CDD505-2E9C-101B-9397-08002B2CF9AE}" pid="4" name="MSIP_Label_9811530c-902c-4b75-8616-d6c82cd1332a_SetDate">
    <vt:lpwstr>2022-04-26T16:17:19Z</vt:lpwstr>
  </property>
  <property fmtid="{D5CDD505-2E9C-101B-9397-08002B2CF9AE}" pid="5" name="MSIP_Label_9811530c-902c-4b75-8616-d6c82cd1332a_Method">
    <vt:lpwstr>Standard</vt:lpwstr>
  </property>
  <property fmtid="{D5CDD505-2E9C-101B-9397-08002B2CF9AE}" pid="6" name="MSIP_Label_9811530c-902c-4b75-8616-d6c82cd1332a_Name">
    <vt:lpwstr>9811530c-902c-4b75-8616-d6c82cd1332a</vt:lpwstr>
  </property>
  <property fmtid="{D5CDD505-2E9C-101B-9397-08002B2CF9AE}" pid="7" name="MSIP_Label_9811530c-902c-4b75-8616-d6c82cd1332a_SiteId">
    <vt:lpwstr>bf86fbdb-f8c2-440e-923c-05a60dc2bc9b</vt:lpwstr>
  </property>
  <property fmtid="{D5CDD505-2E9C-101B-9397-08002B2CF9AE}" pid="8" name="MSIP_Label_9811530c-902c-4b75-8616-d6c82cd1332a_ActionId">
    <vt:lpwstr>bb3d27be-fc6f-4bab-8eaf-29becc13caea</vt:lpwstr>
  </property>
  <property fmtid="{D5CDD505-2E9C-101B-9397-08002B2CF9AE}" pid="9" name="MSIP_Label_9811530c-902c-4b75-8616-d6c82cd1332a_ContentBits">
    <vt:lpwstr>0</vt:lpwstr>
  </property>
  <property fmtid="{D5CDD505-2E9C-101B-9397-08002B2CF9AE}" pid="10" name="MediaServiceImageTags">
    <vt:lpwstr/>
  </property>
</Properties>
</file>