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Tom\Dropbox\WIP\Risk Prediction\GIT\RiskEA working\IC-RISC-Working\input_data\"/>
    </mc:Choice>
  </mc:AlternateContent>
  <xr:revisionPtr revIDLastSave="0" documentId="13_ncr:1_{94C8CAD2-8343-484B-B303-2B4CEC17494A}" xr6:coauthVersionLast="37" xr6:coauthVersionMax="37" xr10:uidLastSave="{00000000-0000-0000-0000-000000000000}"/>
  <bookViews>
    <workbookView xWindow="93075" yWindow="0" windowWidth="21915" windowHeight="11865" xr2:uid="{00000000-000D-0000-FFFF-FFFF00000000}"/>
  </bookViews>
  <sheets>
    <sheet name="SEER18 EA_incidence (new data)" sheetId="3" r:id="rId1"/>
    <sheet name="SEER9 EA_incidence" sheetId="1" r:id="rId2"/>
    <sheet name="Calculation of wted BE-EA rates" sheetId="2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1" i="3" l="1"/>
  <c r="K10" i="3"/>
  <c r="K9" i="3"/>
  <c r="K8" i="3"/>
  <c r="K7" i="3"/>
  <c r="K6" i="3"/>
  <c r="K5" i="3"/>
  <c r="K4" i="3"/>
  <c r="K3" i="3"/>
  <c r="K2" i="3"/>
  <c r="G11" i="3"/>
  <c r="G10" i="3"/>
  <c r="G9" i="3"/>
  <c r="G8" i="3"/>
  <c r="G7" i="3"/>
  <c r="G6" i="3"/>
  <c r="G5" i="3"/>
  <c r="G4" i="3"/>
  <c r="G3" i="3"/>
  <c r="G2" i="3"/>
  <c r="O16" i="2"/>
  <c r="N16" i="2"/>
  <c r="O41" i="2"/>
  <c r="Q41" i="2" s="1"/>
  <c r="O40" i="2"/>
  <c r="Q40" i="2" s="1"/>
  <c r="Q39" i="2"/>
  <c r="O35" i="2"/>
  <c r="Q35" i="2" s="1"/>
  <c r="Q34" i="2"/>
  <c r="Q36" i="2" s="1"/>
  <c r="X22" i="2"/>
  <c r="W22" i="2"/>
  <c r="V22" i="2"/>
  <c r="W20" i="2"/>
  <c r="V20" i="2"/>
  <c r="V17" i="2"/>
  <c r="N6" i="2"/>
  <c r="P6" i="2" s="1"/>
  <c r="N7" i="2"/>
  <c r="P7" i="2" s="1"/>
  <c r="P5" i="2"/>
  <c r="X17" i="2"/>
  <c r="W17" i="2"/>
  <c r="B30" i="2"/>
  <c r="D30" i="2" s="1"/>
  <c r="H22" i="2"/>
  <c r="D29" i="2"/>
  <c r="Q16" i="2" l="1"/>
  <c r="Q42" i="2"/>
  <c r="P8" i="2"/>
  <c r="D31" i="2"/>
  <c r="G25" i="2"/>
  <c r="B20" i="2"/>
  <c r="D20" i="2" s="1"/>
  <c r="B21" i="2"/>
  <c r="D21" i="2" s="1"/>
  <c r="D19" i="2"/>
  <c r="B13" i="2"/>
  <c r="D13" i="2" s="1"/>
  <c r="B12" i="2"/>
  <c r="D12" i="2" s="1"/>
  <c r="D11" i="2"/>
  <c r="D22" i="2" l="1"/>
  <c r="D14" i="2"/>
  <c r="B5" i="2" l="1"/>
  <c r="D4" i="2" l="1"/>
  <c r="B6" i="2"/>
  <c r="D6" i="2" s="1"/>
  <c r="D5" i="2"/>
  <c r="D7" i="2" l="1"/>
  <c r="C7" i="1"/>
  <c r="C11" i="1" l="1"/>
  <c r="G11" i="1"/>
  <c r="K11" i="1"/>
  <c r="C10" i="1"/>
  <c r="G10" i="1"/>
  <c r="K10" i="1"/>
  <c r="C9" i="1" l="1"/>
  <c r="C8" i="1"/>
  <c r="C5" i="1"/>
  <c r="C4" i="1"/>
  <c r="C3" i="1"/>
  <c r="C2" i="1"/>
  <c r="G9" i="1" l="1"/>
  <c r="G8" i="1"/>
  <c r="G7" i="1"/>
  <c r="G6" i="1"/>
  <c r="G5" i="1"/>
  <c r="G4" i="1"/>
  <c r="G3" i="1"/>
  <c r="G2" i="1"/>
  <c r="K9" i="1"/>
  <c r="K8" i="1"/>
  <c r="K7" i="1"/>
  <c r="K6" i="1"/>
  <c r="K5" i="1"/>
  <c r="K4" i="1"/>
  <c r="K3" i="1"/>
  <c r="K2" i="1"/>
  <c r="C10" i="3"/>
  <c r="C9" i="3"/>
  <c r="C2" i="3"/>
  <c r="C11" i="3"/>
  <c r="C5" i="3"/>
  <c r="C4" i="3"/>
  <c r="C7" i="3"/>
  <c r="C8" i="3"/>
  <c r="C3" i="3"/>
</calcChain>
</file>

<file path=xl/sharedStrings.xml><?xml version="1.0" encoding="utf-8"?>
<sst xmlns="http://schemas.openxmlformats.org/spreadsheetml/2006/main" count="79" uniqueCount="38">
  <si>
    <t>age</t>
  </si>
  <si>
    <t>rate_sim_neg_wm</t>
  </si>
  <si>
    <t>rate_sim_pos_wm</t>
  </si>
  <si>
    <t>rate_sim_neg_wf</t>
  </si>
  <si>
    <t>rate_sim_pos_wf</t>
  </si>
  <si>
    <t>rate_sim_neg_bm</t>
  </si>
  <si>
    <t>rate_sim_pos_bm</t>
  </si>
  <si>
    <t>mortality_wm_EA</t>
  </si>
  <si>
    <t>mortality_wf_EA</t>
  </si>
  <si>
    <t>mortality_bm_EA</t>
  </si>
  <si>
    <t>ACM_wm</t>
  </si>
  <si>
    <t>ACM_wf</t>
  </si>
  <si>
    <t>ACM_bm</t>
  </si>
  <si>
    <t>Calculation of weighted incidence of EA in BE</t>
  </si>
  <si>
    <t>incidence</t>
  </si>
  <si>
    <t>weight</t>
  </si>
  <si>
    <t>NDBE</t>
  </si>
  <si>
    <t>LGD</t>
  </si>
  <si>
    <t>HGD</t>
  </si>
  <si>
    <t>Corley</t>
  </si>
  <si>
    <t>Corley's</t>
  </si>
  <si>
    <t>higher</t>
  </si>
  <si>
    <t>23.9*16.77</t>
  </si>
  <si>
    <t>NDBE/lg</t>
  </si>
  <si>
    <t>males</t>
  </si>
  <si>
    <t>fem</t>
  </si>
  <si>
    <t>OR</t>
  </si>
  <si>
    <t>Male RR Corley factor</t>
  </si>
  <si>
    <t>Population</t>
  </si>
  <si>
    <t>crude</t>
  </si>
  <si>
    <t>KROEP</t>
  </si>
  <si>
    <t>IR_Male</t>
  </si>
  <si>
    <t>.19=.67M + .33*.39M</t>
  </si>
  <si>
    <t>M=.19/.93</t>
  </si>
  <si>
    <t xml:space="preserve">M= </t>
  </si>
  <si>
    <t>20.43 per 1000</t>
  </si>
  <si>
    <t>CORLEY</t>
  </si>
  <si>
    <t>61yo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</si>
</sst>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"/>
    <numFmt numFmtId="165" formatCode="0.0000000"/>
    <numFmt numFmtId="166" formatCode="0.0%"/>
    <numFmt numFmtId="168" formatCode="0.00000"/>
    <numFmt numFmtId="169" formatCode="0.0000"/>
    <numFmt numFmtId="170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9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0" borderId="0" xfId="0" applyFill="1"/>
    <xf numFmtId="2" fontId="0" fillId="0" borderId="0" xfId="0" applyNumberFormat="1" applyFill="1"/>
    <xf numFmtId="0" fontId="1" fillId="2" borderId="0" xfId="0" applyFont="1" applyFill="1"/>
    <xf numFmtId="2" fontId="0" fillId="2" borderId="0" xfId="0" applyNumberFormat="1" applyFill="1"/>
    <xf numFmtId="2" fontId="2" fillId="0" borderId="0" xfId="0" applyNumberFormat="1" applyFont="1"/>
    <xf numFmtId="166" fontId="0" fillId="0" borderId="0" xfId="1" applyNumberFormat="1" applyFont="1"/>
    <xf numFmtId="0" fontId="0" fillId="3" borderId="0" xfId="0" applyFill="1"/>
    <xf numFmtId="168" fontId="0" fillId="0" borderId="0" xfId="0" applyNumberFormat="1"/>
    <xf numFmtId="2" fontId="0" fillId="3" borderId="0" xfId="0" applyNumberFormat="1" applyFill="1"/>
    <xf numFmtId="169" fontId="2" fillId="0" borderId="0" xfId="0" applyNumberFormat="1" applyFont="1"/>
    <xf numFmtId="0" fontId="0" fillId="4" borderId="0" xfId="0" applyFill="1"/>
    <xf numFmtId="170" fontId="2" fillId="4" borderId="0" xfId="0" applyNumberFormat="1" applyFont="1" applyFill="1"/>
    <xf numFmtId="170" fontId="0" fillId="4" borderId="0" xfId="0" applyNumberFormat="1" applyFill="1"/>
    <xf numFmtId="164" fontId="0" fillId="4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"/>
  <sheetViews>
    <sheetView tabSelected="1" zoomScale="90" zoomScaleNormal="90" workbookViewId="0">
      <selection activeCell="C6" sqref="C6"/>
    </sheetView>
  </sheetViews>
  <sheetFormatPr defaultRowHeight="15" x14ac:dyDescent="0.25"/>
  <cols>
    <col min="2" max="2" width="17.5703125" bestFit="1" customWidth="1"/>
    <col min="3" max="3" width="17.42578125" bestFit="1" customWidth="1"/>
    <col min="4" max="4" width="17.42578125" customWidth="1"/>
    <col min="5" max="5" width="13.5703125" bestFit="1" customWidth="1"/>
    <col min="6" max="6" width="17.5703125" bestFit="1" customWidth="1"/>
    <col min="7" max="7" width="17.42578125" bestFit="1" customWidth="1"/>
    <col min="8" max="8" width="17.42578125" customWidth="1"/>
    <col min="9" max="9" width="13.5703125" bestFit="1" customWidth="1"/>
    <col min="10" max="10" width="17.5703125" bestFit="1" customWidth="1"/>
    <col min="11" max="11" width="16.85546875" bestFit="1" customWidth="1"/>
    <col min="12" max="12" width="16.85546875" customWidth="1"/>
    <col min="13" max="13" width="13.140625" bestFit="1" customWidth="1"/>
  </cols>
  <sheetData>
    <row r="1" spans="1:13" s="4" customFormat="1" x14ac:dyDescent="0.25">
      <c r="A1" s="4" t="s">
        <v>0</v>
      </c>
      <c r="B1" s="4" t="s">
        <v>1</v>
      </c>
      <c r="C1" s="4" t="s">
        <v>2</v>
      </c>
      <c r="D1" s="4" t="s">
        <v>7</v>
      </c>
      <c r="E1" s="4" t="s">
        <v>10</v>
      </c>
      <c r="F1" s="7" t="s">
        <v>3</v>
      </c>
      <c r="G1" s="7" t="s">
        <v>4</v>
      </c>
      <c r="H1" s="7" t="s">
        <v>8</v>
      </c>
      <c r="I1" s="7" t="s">
        <v>11</v>
      </c>
      <c r="J1" s="4" t="s">
        <v>5</v>
      </c>
      <c r="K1" s="4" t="s">
        <v>6</v>
      </c>
      <c r="L1" s="4" t="s">
        <v>9</v>
      </c>
      <c r="M1" s="4" t="s">
        <v>12</v>
      </c>
    </row>
    <row r="2" spans="1:13" x14ac:dyDescent="0.25">
      <c r="A2">
        <v>42</v>
      </c>
      <c r="B2" s="1">
        <v>1.2166666666666666</v>
      </c>
      <c r="C2" s="1">
        <f>$C$6*(1.04^($A2-62))</f>
        <v>143.30550110720571</v>
      </c>
      <c r="D2" s="1">
        <v>1.52</v>
      </c>
      <c r="E2" s="1">
        <v>242.19999999999996</v>
      </c>
      <c r="F2" s="8">
        <v>0.15</v>
      </c>
      <c r="G2" s="8">
        <f>$C$6*0.4*(1.04^($A2-62))</f>
        <v>57.322200442882284</v>
      </c>
      <c r="H2" s="8">
        <v>0.12</v>
      </c>
      <c r="I2" s="8">
        <v>155</v>
      </c>
      <c r="J2" s="1">
        <v>0.25</v>
      </c>
      <c r="K2" s="1">
        <f>$C$6*0.75*(1.04^($A2-62))</f>
        <v>107.47912583040429</v>
      </c>
      <c r="L2" s="1">
        <v>0.26666666666666666</v>
      </c>
      <c r="M2" s="1">
        <v>344.4</v>
      </c>
    </row>
    <row r="3" spans="1:13" x14ac:dyDescent="0.25">
      <c r="A3">
        <v>47</v>
      </c>
      <c r="B3" s="1">
        <v>3.0999999999999996</v>
      </c>
      <c r="C3" s="1">
        <f t="shared" ref="C3:C5" si="0">$C$6*(1.04^($A3-62))</f>
        <v>174.35305385196827</v>
      </c>
      <c r="D3" s="1">
        <v>2.6252380952380947</v>
      </c>
      <c r="E3" s="1">
        <v>372.4</v>
      </c>
      <c r="F3" s="8">
        <v>0.43333333333333335</v>
      </c>
      <c r="G3" s="8">
        <f t="shared" ref="G3:G11" si="1">$C$6*0.4*(1.04^($A3-62))</f>
        <v>69.741221540787322</v>
      </c>
      <c r="H3" s="8">
        <v>0.42857142857142855</v>
      </c>
      <c r="I3" s="8">
        <v>237.00000000000003</v>
      </c>
      <c r="J3" s="1">
        <v>0.79999999999999993</v>
      </c>
      <c r="K3" s="1">
        <f t="shared" ref="K3:K11" si="2">$C$6*0.75*(1.04^($A3-62))</f>
        <v>130.76479038897619</v>
      </c>
      <c r="L3" s="1">
        <v>0.24975609756097567</v>
      </c>
      <c r="M3" s="1">
        <v>521.79999999999995</v>
      </c>
    </row>
    <row r="4" spans="1:13" x14ac:dyDescent="0.25">
      <c r="A4">
        <v>52</v>
      </c>
      <c r="B4" s="1">
        <v>5.416666666666667</v>
      </c>
      <c r="C4" s="1">
        <f t="shared" si="0"/>
        <v>212.12714901130073</v>
      </c>
      <c r="D4" s="1">
        <v>5.0999999999999996</v>
      </c>
      <c r="E4" s="1">
        <v>595.9</v>
      </c>
      <c r="F4" s="8">
        <v>0.68333333333333346</v>
      </c>
      <c r="G4" s="8">
        <f t="shared" si="1"/>
        <v>84.850859604520295</v>
      </c>
      <c r="H4" s="8">
        <v>0.61499999999999988</v>
      </c>
      <c r="I4" s="8">
        <v>367.5</v>
      </c>
      <c r="J4" s="1">
        <v>1.6333333333333335</v>
      </c>
      <c r="K4" s="1">
        <f t="shared" si="2"/>
        <v>159.09536175847555</v>
      </c>
      <c r="L4" s="1">
        <v>0.79733333333333334</v>
      </c>
      <c r="M4" s="1">
        <v>817.5</v>
      </c>
    </row>
    <row r="5" spans="1:13" x14ac:dyDescent="0.25">
      <c r="A5">
        <v>57</v>
      </c>
      <c r="B5" s="1">
        <v>10.066666666666665</v>
      </c>
      <c r="C5" s="1">
        <f t="shared" si="0"/>
        <v>258.08511152243636</v>
      </c>
      <c r="D5" s="1">
        <v>10.083916083916083</v>
      </c>
      <c r="E5" s="1">
        <v>891.9</v>
      </c>
      <c r="F5" s="8">
        <v>1.2833333333333332</v>
      </c>
      <c r="G5" s="8">
        <f t="shared" si="1"/>
        <v>103.23404460897456</v>
      </c>
      <c r="H5" s="8">
        <v>0.97777777777777786</v>
      </c>
      <c r="I5" s="8">
        <v>531.79999999999995</v>
      </c>
      <c r="J5" s="1">
        <v>2.5</v>
      </c>
      <c r="K5" s="1">
        <f t="shared" si="2"/>
        <v>193.5638336418273</v>
      </c>
      <c r="L5" s="1">
        <v>1.589240506329114</v>
      </c>
      <c r="M5" s="1">
        <v>1324.1</v>
      </c>
    </row>
    <row r="6" spans="1:13" x14ac:dyDescent="0.25">
      <c r="A6">
        <v>62</v>
      </c>
      <c r="B6" s="1">
        <v>16.766666666666666</v>
      </c>
      <c r="C6" s="1">
        <v>314</v>
      </c>
      <c r="D6" s="1">
        <v>16.725546218487395</v>
      </c>
      <c r="E6" s="1">
        <v>1262.5999999999999</v>
      </c>
      <c r="F6" s="8">
        <v>1.8333333333333337</v>
      </c>
      <c r="G6" s="8">
        <f t="shared" si="1"/>
        <v>125.60000000000001</v>
      </c>
      <c r="H6" s="8">
        <v>1.8263414634146344</v>
      </c>
      <c r="I6" s="8">
        <v>751.5</v>
      </c>
      <c r="J6" s="1">
        <v>4.916666666666667</v>
      </c>
      <c r="K6" s="1">
        <f t="shared" si="2"/>
        <v>235.5</v>
      </c>
      <c r="L6" s="1">
        <v>5.4051908396946562</v>
      </c>
      <c r="M6" s="1">
        <v>1984.9000000000003</v>
      </c>
    </row>
    <row r="7" spans="1:13" x14ac:dyDescent="0.25">
      <c r="A7">
        <v>67</v>
      </c>
      <c r="B7" s="1">
        <v>22.833333333333332</v>
      </c>
      <c r="C7" s="1">
        <f t="shared" ref="C7:C11" si="3">$C$6*(1.04^($A7-62))</f>
        <v>382.02901135360008</v>
      </c>
      <c r="D7" s="1">
        <v>21.984831804281338</v>
      </c>
      <c r="E7" s="1">
        <v>1750.7000000000003</v>
      </c>
      <c r="F7" s="8">
        <v>2.5500000000000003</v>
      </c>
      <c r="G7" s="8">
        <f t="shared" si="1"/>
        <v>152.81160454144006</v>
      </c>
      <c r="H7" s="8">
        <v>2.177777777777778</v>
      </c>
      <c r="I7" s="8">
        <v>1133.7</v>
      </c>
      <c r="J7" s="1">
        <v>4.5666666666666664</v>
      </c>
      <c r="K7" s="1">
        <f t="shared" si="2"/>
        <v>286.52175851520008</v>
      </c>
      <c r="L7" s="1">
        <v>3.828487084870849</v>
      </c>
      <c r="M7" s="1">
        <v>2617.6999999999998</v>
      </c>
    </row>
    <row r="8" spans="1:13" x14ac:dyDescent="0.25">
      <c r="A8">
        <v>72</v>
      </c>
      <c r="B8" s="1">
        <v>26.549999999999997</v>
      </c>
      <c r="C8" s="1">
        <f t="shared" si="3"/>
        <v>464.79670546436017</v>
      </c>
      <c r="D8" s="1">
        <v>25.830153846153856</v>
      </c>
      <c r="E8" s="1">
        <v>2695.7</v>
      </c>
      <c r="F8" s="8">
        <v>3.2666666666666671</v>
      </c>
      <c r="G8" s="8">
        <f t="shared" si="1"/>
        <v>185.9186821857441</v>
      </c>
      <c r="H8" s="8">
        <v>3.4237974683544308</v>
      </c>
      <c r="I8" s="8">
        <v>1833.1</v>
      </c>
      <c r="J8" s="1">
        <v>5.3499999999999988</v>
      </c>
      <c r="K8" s="1">
        <f t="shared" si="2"/>
        <v>348.59752909827017</v>
      </c>
      <c r="L8" s="1">
        <v>6.3112574850299401</v>
      </c>
      <c r="M8" s="1">
        <v>3708.6</v>
      </c>
    </row>
    <row r="9" spans="1:13" x14ac:dyDescent="0.25">
      <c r="A9">
        <v>77</v>
      </c>
      <c r="B9" s="1">
        <v>29.733333333333334</v>
      </c>
      <c r="C9" s="1">
        <f t="shared" si="3"/>
        <v>565.49626072917181</v>
      </c>
      <c r="D9" s="1">
        <v>34.957155361050326</v>
      </c>
      <c r="E9" s="1">
        <v>4257.6000000000004</v>
      </c>
      <c r="F9" s="8">
        <v>4</v>
      </c>
      <c r="G9" s="8">
        <f t="shared" si="1"/>
        <v>226.19850429166877</v>
      </c>
      <c r="H9" s="8">
        <v>3.6673584905660377</v>
      </c>
      <c r="I9" s="8">
        <v>3024</v>
      </c>
      <c r="J9" s="1">
        <v>4.2166666666666668</v>
      </c>
      <c r="K9" s="1">
        <f t="shared" si="2"/>
        <v>424.12219554687891</v>
      </c>
      <c r="L9" s="1">
        <v>3.6189578163771716</v>
      </c>
      <c r="M9" s="1">
        <v>5248.3</v>
      </c>
    </row>
    <row r="10" spans="1:13" s="5" customFormat="1" x14ac:dyDescent="0.25">
      <c r="A10" s="5">
        <v>82</v>
      </c>
      <c r="B10" s="1">
        <v>30.2</v>
      </c>
      <c r="C10" s="6">
        <f t="shared" si="3"/>
        <v>688.0126669124943</v>
      </c>
      <c r="D10" s="1">
        <v>36.08229166666667</v>
      </c>
      <c r="E10" s="1">
        <v>7103</v>
      </c>
      <c r="F10" s="8">
        <v>5.583333333333333</v>
      </c>
      <c r="G10" s="8">
        <f t="shared" si="1"/>
        <v>275.20506676499775</v>
      </c>
      <c r="H10" s="8">
        <v>5.6444444444444439</v>
      </c>
      <c r="I10" s="8">
        <v>5258.6</v>
      </c>
      <c r="J10" s="1">
        <v>4.8999999999999995</v>
      </c>
      <c r="K10" s="1">
        <f t="shared" si="2"/>
        <v>516.00950018437072</v>
      </c>
      <c r="L10" s="1">
        <v>8.7959349593495944</v>
      </c>
      <c r="M10" s="1">
        <v>7713.1999999999989</v>
      </c>
    </row>
    <row r="11" spans="1:13" s="5" customFormat="1" x14ac:dyDescent="0.25">
      <c r="A11" s="5">
        <v>87</v>
      </c>
      <c r="B11" s="1">
        <v>28.416666666666668</v>
      </c>
      <c r="C11" s="6">
        <f t="shared" si="3"/>
        <v>837.07260808705098</v>
      </c>
      <c r="D11" s="1">
        <v>37.935207373271894</v>
      </c>
      <c r="E11" s="1">
        <v>15000.3</v>
      </c>
      <c r="F11" s="8">
        <v>5.2333333333333334</v>
      </c>
      <c r="G11" s="8">
        <f t="shared" si="1"/>
        <v>334.8290432348204</v>
      </c>
      <c r="H11" s="8">
        <v>7.1562790697674412</v>
      </c>
      <c r="I11" s="8">
        <v>13079.099999999999</v>
      </c>
      <c r="J11" s="1">
        <v>3.65</v>
      </c>
      <c r="K11" s="1">
        <f t="shared" si="2"/>
        <v>627.80445606528815</v>
      </c>
      <c r="L11" s="1">
        <v>5.0173493975903609</v>
      </c>
      <c r="M11" s="1">
        <v>13291.7</v>
      </c>
    </row>
    <row r="12" spans="1:13" x14ac:dyDescent="0.25">
      <c r="F12" s="6"/>
    </row>
    <row r="23" spans="9:9" x14ac:dyDescent="0.25">
      <c r="I23" s="2"/>
    </row>
    <row r="24" spans="9:9" x14ac:dyDescent="0.25">
      <c r="I24" s="2"/>
    </row>
    <row r="25" spans="9:9" x14ac:dyDescent="0.25">
      <c r="I25" s="2"/>
    </row>
    <row r="26" spans="9:9" x14ac:dyDescent="0.25">
      <c r="I26" s="2"/>
    </row>
    <row r="27" spans="9:9" x14ac:dyDescent="0.25">
      <c r="I27" s="2"/>
    </row>
    <row r="28" spans="9:9" x14ac:dyDescent="0.25">
      <c r="I28" s="2"/>
    </row>
    <row r="29" spans="9:9" x14ac:dyDescent="0.25">
      <c r="I29" s="2"/>
    </row>
    <row r="30" spans="9:9" x14ac:dyDescent="0.25">
      <c r="I30" s="2"/>
    </row>
    <row r="36" spans="9:9" x14ac:dyDescent="0.25">
      <c r="I36" s="3"/>
    </row>
    <row r="37" spans="9:9" x14ac:dyDescent="0.25">
      <c r="I37" s="3"/>
    </row>
    <row r="38" spans="9:9" x14ac:dyDescent="0.25">
      <c r="I38" s="3"/>
    </row>
    <row r="39" spans="9:9" x14ac:dyDescent="0.25">
      <c r="I39" s="3"/>
    </row>
    <row r="40" spans="9:9" x14ac:dyDescent="0.25">
      <c r="I40" s="3"/>
    </row>
    <row r="41" spans="9:9" x14ac:dyDescent="0.25">
      <c r="I41" s="3"/>
    </row>
    <row r="42" spans="9:9" x14ac:dyDescent="0.25">
      <c r="I42" s="3"/>
    </row>
    <row r="43" spans="9:9" x14ac:dyDescent="0.25">
      <c r="I43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3"/>
  <sheetViews>
    <sheetView zoomScale="90" zoomScaleNormal="90" workbookViewId="0">
      <selection activeCell="O27" sqref="O27"/>
    </sheetView>
  </sheetViews>
  <sheetFormatPr defaultRowHeight="15" x14ac:dyDescent="0.25"/>
  <cols>
    <col min="2" max="2" width="17.5703125" bestFit="1" customWidth="1"/>
    <col min="3" max="3" width="17.42578125" bestFit="1" customWidth="1"/>
    <col min="4" max="4" width="17.42578125" customWidth="1"/>
    <col min="5" max="5" width="13.5703125" bestFit="1" customWidth="1"/>
    <col min="6" max="6" width="17.5703125" bestFit="1" customWidth="1"/>
    <col min="7" max="7" width="17.42578125" bestFit="1" customWidth="1"/>
    <col min="8" max="8" width="17.42578125" customWidth="1"/>
    <col min="9" max="9" width="13.5703125" bestFit="1" customWidth="1"/>
    <col min="10" max="10" width="17.5703125" bestFit="1" customWidth="1"/>
    <col min="11" max="11" width="16.85546875" bestFit="1" customWidth="1"/>
    <col min="12" max="12" width="16.85546875" customWidth="1"/>
    <col min="13" max="13" width="13.140625" bestFit="1" customWidth="1"/>
  </cols>
  <sheetData>
    <row r="1" spans="1:13" s="4" customFormat="1" x14ac:dyDescent="0.25">
      <c r="A1" s="4" t="s">
        <v>0</v>
      </c>
      <c r="B1" s="4" t="s">
        <v>1</v>
      </c>
      <c r="C1" s="4" t="s">
        <v>2</v>
      </c>
      <c r="D1" s="4" t="s">
        <v>7</v>
      </c>
      <c r="E1" s="4" t="s">
        <v>10</v>
      </c>
      <c r="F1" s="7" t="s">
        <v>3</v>
      </c>
      <c r="G1" s="7" t="s">
        <v>4</v>
      </c>
      <c r="H1" s="7" t="s">
        <v>8</v>
      </c>
      <c r="I1" s="7" t="s">
        <v>11</v>
      </c>
      <c r="J1" s="4" t="s">
        <v>5</v>
      </c>
      <c r="K1" s="4" t="s">
        <v>6</v>
      </c>
      <c r="L1" s="4" t="s">
        <v>9</v>
      </c>
      <c r="M1" s="4" t="s">
        <v>12</v>
      </c>
    </row>
    <row r="2" spans="1:13" x14ac:dyDescent="0.25">
      <c r="A2">
        <v>42</v>
      </c>
      <c r="B2">
        <v>1.52</v>
      </c>
      <c r="C2" s="1">
        <f>$C$6*(1.04^($A2-62))</f>
        <v>191.68251740454266</v>
      </c>
      <c r="D2" s="1">
        <v>1.52</v>
      </c>
      <c r="E2" s="1">
        <v>242.19999999999996</v>
      </c>
      <c r="F2" s="8">
        <v>0.12</v>
      </c>
      <c r="G2" s="8">
        <f>$C$6*0.5*(1.04^($A2-62))</f>
        <v>95.841258702271332</v>
      </c>
      <c r="H2" s="8">
        <v>0.12</v>
      </c>
      <c r="I2" s="8">
        <v>155</v>
      </c>
      <c r="J2" s="1">
        <v>0.32</v>
      </c>
      <c r="K2" s="1">
        <f>$C$6*0.65*(1.04^($A2-62))</f>
        <v>124.59363631295273</v>
      </c>
      <c r="L2" s="1">
        <v>0.26666666666666666</v>
      </c>
      <c r="M2" s="1">
        <v>344.4</v>
      </c>
    </row>
    <row r="3" spans="1:13" x14ac:dyDescent="0.25">
      <c r="A3">
        <v>47</v>
      </c>
      <c r="B3">
        <v>2.9799999999999995</v>
      </c>
      <c r="C3" s="1">
        <f t="shared" ref="C3:C5" si="0">$C$6*(1.04^($A3-62))</f>
        <v>233.21109113957539</v>
      </c>
      <c r="D3" s="1">
        <v>2.6252380952380947</v>
      </c>
      <c r="E3" s="1">
        <v>372.4</v>
      </c>
      <c r="F3" s="8">
        <v>0.5</v>
      </c>
      <c r="G3" s="8">
        <f t="shared" ref="G3:G11" si="1">$C$6*0.5*(1.04^($A3-62))</f>
        <v>116.60554556978769</v>
      </c>
      <c r="H3" s="8">
        <v>0.42857142857142855</v>
      </c>
      <c r="I3" s="8">
        <v>237.00000000000003</v>
      </c>
      <c r="J3" s="1">
        <v>0.32</v>
      </c>
      <c r="K3" s="1">
        <f t="shared" ref="K3:K11" si="2">$C$6*0.65*(1.04^($A3-62))</f>
        <v>151.58720924072401</v>
      </c>
      <c r="L3" s="1">
        <v>0.24975609756097567</v>
      </c>
      <c r="M3" s="1">
        <v>521.79999999999995</v>
      </c>
    </row>
    <row r="4" spans="1:13" x14ac:dyDescent="0.25">
      <c r="A4">
        <v>52</v>
      </c>
      <c r="B4">
        <v>5.0999999999999996</v>
      </c>
      <c r="C4" s="1">
        <f t="shared" si="0"/>
        <v>283.73695090683538</v>
      </c>
      <c r="D4" s="1">
        <v>5.0999999999999996</v>
      </c>
      <c r="E4" s="1">
        <v>595.9</v>
      </c>
      <c r="F4" s="8">
        <v>0.82</v>
      </c>
      <c r="G4" s="8">
        <f t="shared" si="1"/>
        <v>141.86847545341769</v>
      </c>
      <c r="H4" s="8">
        <v>0.61499999999999988</v>
      </c>
      <c r="I4" s="8">
        <v>367.5</v>
      </c>
      <c r="J4" s="1">
        <v>1.04</v>
      </c>
      <c r="K4" s="1">
        <f t="shared" si="2"/>
        <v>184.42901808944299</v>
      </c>
      <c r="L4" s="1">
        <v>0.79733333333333334</v>
      </c>
      <c r="M4" s="1">
        <v>817.5</v>
      </c>
    </row>
    <row r="5" spans="1:13" x14ac:dyDescent="0.25">
      <c r="A5">
        <v>57</v>
      </c>
      <c r="B5">
        <v>10.299999999999999</v>
      </c>
      <c r="C5" s="1">
        <f t="shared" si="0"/>
        <v>345.20938483892763</v>
      </c>
      <c r="D5" s="1">
        <v>10.083916083916083</v>
      </c>
      <c r="E5" s="1">
        <v>891.9</v>
      </c>
      <c r="F5" s="8">
        <v>1.2</v>
      </c>
      <c r="G5" s="8">
        <f t="shared" si="1"/>
        <v>172.60469241946382</v>
      </c>
      <c r="H5" s="8">
        <v>0.97777777777777786</v>
      </c>
      <c r="I5" s="8">
        <v>531.79999999999995</v>
      </c>
      <c r="J5" s="1">
        <v>1.86</v>
      </c>
      <c r="K5" s="1">
        <f t="shared" si="2"/>
        <v>224.38610014530298</v>
      </c>
      <c r="L5" s="1">
        <v>1.589240506329114</v>
      </c>
      <c r="M5" s="1">
        <v>1324.1</v>
      </c>
    </row>
    <row r="6" spans="1:13" x14ac:dyDescent="0.25">
      <c r="A6">
        <v>62</v>
      </c>
      <c r="B6">
        <v>18.260000000000002</v>
      </c>
      <c r="C6" s="9">
        <v>420</v>
      </c>
      <c r="D6" s="1">
        <v>16.725546218487395</v>
      </c>
      <c r="E6" s="1">
        <v>1262.5999999999999</v>
      </c>
      <c r="F6" s="8">
        <v>2.34</v>
      </c>
      <c r="G6" s="8">
        <f t="shared" si="1"/>
        <v>210</v>
      </c>
      <c r="H6" s="8">
        <v>1.8263414634146344</v>
      </c>
      <c r="I6" s="8">
        <v>751.5</v>
      </c>
      <c r="J6" s="1">
        <v>6.68</v>
      </c>
      <c r="K6" s="1">
        <f t="shared" si="2"/>
        <v>273</v>
      </c>
      <c r="L6" s="1">
        <v>5.4051908396946562</v>
      </c>
      <c r="M6" s="1">
        <v>1984.9000000000003</v>
      </c>
    </row>
    <row r="7" spans="1:13" x14ac:dyDescent="0.25">
      <c r="A7">
        <v>67</v>
      </c>
      <c r="B7">
        <v>24.619999999999997</v>
      </c>
      <c r="C7" s="1">
        <f t="shared" ref="C7:C11" si="3">$C$6*(1.04^($A7-62))</f>
        <v>510.99421900800013</v>
      </c>
      <c r="D7" s="1">
        <v>21.984831804281338</v>
      </c>
      <c r="E7" s="1">
        <v>1750.7000000000003</v>
      </c>
      <c r="F7" s="8">
        <v>2.8</v>
      </c>
      <c r="G7" s="8">
        <f t="shared" si="1"/>
        <v>255.49710950400006</v>
      </c>
      <c r="H7" s="8">
        <v>2.177777777777778</v>
      </c>
      <c r="I7" s="8">
        <v>1133.7</v>
      </c>
      <c r="J7" s="1">
        <v>3.96</v>
      </c>
      <c r="K7" s="1">
        <f t="shared" si="2"/>
        <v>332.14624235520012</v>
      </c>
      <c r="L7" s="1">
        <v>3.828487084870849</v>
      </c>
      <c r="M7" s="1">
        <v>2617.6999999999998</v>
      </c>
    </row>
    <row r="8" spans="1:13" x14ac:dyDescent="0.25">
      <c r="A8">
        <v>72</v>
      </c>
      <c r="B8">
        <v>27.080000000000002</v>
      </c>
      <c r="C8" s="1">
        <f t="shared" si="3"/>
        <v>621.70259966570472</v>
      </c>
      <c r="D8" s="1">
        <v>25.830153846153856</v>
      </c>
      <c r="E8" s="1">
        <v>2695.7</v>
      </c>
      <c r="F8" s="8">
        <v>3.9200000000000004</v>
      </c>
      <c r="G8" s="8">
        <f t="shared" si="1"/>
        <v>310.85129983285236</v>
      </c>
      <c r="H8" s="8">
        <v>3.4237974683544308</v>
      </c>
      <c r="I8" s="8">
        <v>1833.1</v>
      </c>
      <c r="J8" s="1">
        <v>6.9799999999999995</v>
      </c>
      <c r="K8" s="1">
        <f t="shared" si="2"/>
        <v>404.10668978270809</v>
      </c>
      <c r="L8" s="1">
        <v>6.3112574850299401</v>
      </c>
      <c r="M8" s="1">
        <v>3708.6</v>
      </c>
    </row>
    <row r="9" spans="1:13" x14ac:dyDescent="0.25">
      <c r="A9">
        <v>77</v>
      </c>
      <c r="B9">
        <v>35.58</v>
      </c>
      <c r="C9" s="1">
        <f t="shared" si="3"/>
        <v>756.39627231290501</v>
      </c>
      <c r="D9" s="1">
        <v>34.957155361050326</v>
      </c>
      <c r="E9" s="1">
        <v>4257.6000000000004</v>
      </c>
      <c r="F9" s="8">
        <v>4.18</v>
      </c>
      <c r="G9" s="8">
        <f t="shared" si="1"/>
        <v>378.19813615645251</v>
      </c>
      <c r="H9" s="8">
        <v>3.6673584905660377</v>
      </c>
      <c r="I9" s="8">
        <v>3024</v>
      </c>
      <c r="J9" s="1">
        <v>4.04</v>
      </c>
      <c r="K9" s="1">
        <f t="shared" si="2"/>
        <v>491.65757700338827</v>
      </c>
      <c r="L9" s="1">
        <v>3.6189578163771716</v>
      </c>
      <c r="M9" s="1">
        <v>5248.3</v>
      </c>
    </row>
    <row r="10" spans="1:13" s="5" customFormat="1" x14ac:dyDescent="0.25">
      <c r="A10" s="5">
        <v>82</v>
      </c>
      <c r="B10" s="5">
        <v>33.5</v>
      </c>
      <c r="C10" s="6">
        <f t="shared" si="3"/>
        <v>920.27172007403692</v>
      </c>
      <c r="D10" s="1">
        <v>36.08229166666667</v>
      </c>
      <c r="E10" s="1">
        <v>7103</v>
      </c>
      <c r="F10" s="8">
        <v>6</v>
      </c>
      <c r="G10" s="8">
        <f t="shared" si="1"/>
        <v>460.13586003701846</v>
      </c>
      <c r="H10" s="8">
        <v>5.6444444444444439</v>
      </c>
      <c r="I10" s="8">
        <v>5258.6</v>
      </c>
      <c r="J10" s="1">
        <v>9.3000000000000007</v>
      </c>
      <c r="K10" s="6">
        <f t="shared" si="2"/>
        <v>598.17661804812406</v>
      </c>
      <c r="L10" s="1">
        <v>8.7959349593495944</v>
      </c>
      <c r="M10" s="1">
        <v>7713.1999999999989</v>
      </c>
    </row>
    <row r="11" spans="1:13" s="5" customFormat="1" x14ac:dyDescent="0.25">
      <c r="A11" s="5">
        <v>87</v>
      </c>
      <c r="B11" s="5">
        <v>29.880000000000003</v>
      </c>
      <c r="C11" s="6">
        <f t="shared" si="3"/>
        <v>1119.6512592247179</v>
      </c>
      <c r="D11" s="1">
        <v>37.935207373271894</v>
      </c>
      <c r="E11" s="1">
        <v>15000.3</v>
      </c>
      <c r="F11" s="8">
        <v>5.88</v>
      </c>
      <c r="G11" s="8">
        <f t="shared" si="1"/>
        <v>559.82562961235897</v>
      </c>
      <c r="H11" s="8">
        <v>7.1562790697674412</v>
      </c>
      <c r="I11" s="8">
        <v>13079.099999999999</v>
      </c>
      <c r="J11" s="1">
        <v>3.4799999999999995</v>
      </c>
      <c r="K11" s="6">
        <f t="shared" si="2"/>
        <v>727.77331849606662</v>
      </c>
      <c r="L11" s="1">
        <v>5.0173493975903609</v>
      </c>
      <c r="M11" s="1">
        <v>13291.7</v>
      </c>
    </row>
    <row r="23" spans="9:9" x14ac:dyDescent="0.25">
      <c r="I23" s="2"/>
    </row>
    <row r="24" spans="9:9" x14ac:dyDescent="0.25">
      <c r="I24" s="2"/>
    </row>
    <row r="25" spans="9:9" x14ac:dyDescent="0.25">
      <c r="I25" s="2"/>
    </row>
    <row r="26" spans="9:9" x14ac:dyDescent="0.25">
      <c r="I26" s="2"/>
    </row>
    <row r="27" spans="9:9" x14ac:dyDescent="0.25">
      <c r="I27" s="2"/>
    </row>
    <row r="28" spans="9:9" x14ac:dyDescent="0.25">
      <c r="I28" s="2"/>
    </row>
    <row r="29" spans="9:9" x14ac:dyDescent="0.25">
      <c r="I29" s="2"/>
    </row>
    <row r="30" spans="9:9" x14ac:dyDescent="0.25">
      <c r="I30" s="2"/>
    </row>
    <row r="36" spans="9:9" x14ac:dyDescent="0.25">
      <c r="I36" s="3"/>
    </row>
    <row r="37" spans="9:9" x14ac:dyDescent="0.25">
      <c r="I37" s="3"/>
    </row>
    <row r="38" spans="9:9" x14ac:dyDescent="0.25">
      <c r="I38" s="3"/>
    </row>
    <row r="39" spans="9:9" x14ac:dyDescent="0.25">
      <c r="I39" s="3"/>
    </row>
    <row r="40" spans="9:9" x14ac:dyDescent="0.25">
      <c r="I40" s="3"/>
    </row>
    <row r="41" spans="9:9" x14ac:dyDescent="0.25">
      <c r="I41" s="3"/>
    </row>
    <row r="42" spans="9:9" x14ac:dyDescent="0.25">
      <c r="I42" s="3"/>
    </row>
    <row r="43" spans="9:9" x14ac:dyDescent="0.25">
      <c r="I43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42"/>
  <sheetViews>
    <sheetView workbookViewId="0">
      <selection activeCell="X17" sqref="X17"/>
    </sheetView>
  </sheetViews>
  <sheetFormatPr defaultRowHeight="15" x14ac:dyDescent="0.25"/>
  <cols>
    <col min="7" max="7" width="10.5703125" customWidth="1"/>
    <col min="15" max="15" width="12.28515625" customWidth="1"/>
    <col min="16" max="16" width="20.140625" bestFit="1" customWidth="1"/>
    <col min="17" max="17" width="8" customWidth="1"/>
    <col min="22" max="23" width="12.140625" bestFit="1" customWidth="1"/>
    <col min="24" max="24" width="10.5703125" bestFit="1" customWidth="1"/>
  </cols>
  <sheetData>
    <row r="1" spans="1:24" x14ac:dyDescent="0.25">
      <c r="A1" t="s">
        <v>13</v>
      </c>
    </row>
    <row r="2" spans="1:24" x14ac:dyDescent="0.25">
      <c r="M2" s="15" t="s">
        <v>36</v>
      </c>
      <c r="N2" s="15"/>
      <c r="O2" s="15"/>
      <c r="P2" s="15"/>
      <c r="Q2" s="15"/>
    </row>
    <row r="3" spans="1:24" x14ac:dyDescent="0.25">
      <c r="B3" t="s">
        <v>14</v>
      </c>
      <c r="C3" t="s">
        <v>15</v>
      </c>
      <c r="M3" s="15"/>
      <c r="N3" s="15"/>
      <c r="O3" s="15"/>
      <c r="P3" s="15"/>
      <c r="Q3" s="15"/>
    </row>
    <row r="4" spans="1:24" x14ac:dyDescent="0.25">
      <c r="A4" t="s">
        <v>16</v>
      </c>
      <c r="B4" s="9">
        <v>0.22500000000000001</v>
      </c>
      <c r="C4">
        <v>0.90600000000000003</v>
      </c>
      <c r="D4">
        <f>B4*C4</f>
        <v>0.20385</v>
      </c>
      <c r="M4" s="15"/>
      <c r="N4" s="15" t="s">
        <v>14</v>
      </c>
      <c r="O4" s="15" t="s">
        <v>15</v>
      </c>
      <c r="P4" s="15"/>
      <c r="Q4" s="15"/>
    </row>
    <row r="5" spans="1:24" x14ac:dyDescent="0.25">
      <c r="A5" t="s">
        <v>17</v>
      </c>
      <c r="B5" s="1">
        <f>B4*3.68</f>
        <v>0.82800000000000007</v>
      </c>
      <c r="C5">
        <v>8.2000000000000003E-2</v>
      </c>
      <c r="D5">
        <f t="shared" ref="D5:D6" si="0">B5*C5</f>
        <v>6.7896000000000012E-2</v>
      </c>
      <c r="M5" s="15" t="s">
        <v>16</v>
      </c>
      <c r="N5" s="16">
        <v>0.22</v>
      </c>
      <c r="O5" s="15">
        <v>0.90600000000000003</v>
      </c>
      <c r="P5" s="15">
        <f>N5*O5</f>
        <v>0.19932</v>
      </c>
      <c r="Q5" s="15"/>
    </row>
    <row r="6" spans="1:24" x14ac:dyDescent="0.25">
      <c r="A6" t="s">
        <v>18</v>
      </c>
      <c r="B6" s="1">
        <f>B4*20</f>
        <v>4.5</v>
      </c>
      <c r="C6">
        <v>1.2E-2</v>
      </c>
      <c r="D6">
        <f t="shared" si="0"/>
        <v>5.3999999999999999E-2</v>
      </c>
      <c r="M6" s="15" t="s">
        <v>17</v>
      </c>
      <c r="N6" s="17">
        <f>N5*3.68</f>
        <v>0.80959999999999999</v>
      </c>
      <c r="O6" s="15">
        <v>8.2000000000000003E-2</v>
      </c>
      <c r="P6" s="15">
        <f t="shared" ref="P6:P7" si="1">N6*O6</f>
        <v>6.6387200000000007E-2</v>
      </c>
      <c r="Q6" s="15"/>
    </row>
    <row r="7" spans="1:24" x14ac:dyDescent="0.25">
      <c r="D7">
        <f>SUM(D4:D6)</f>
        <v>0.32574600000000004</v>
      </c>
      <c r="M7" s="15" t="s">
        <v>18</v>
      </c>
      <c r="N7" s="17">
        <f>N5*20</f>
        <v>4.4000000000000004</v>
      </c>
      <c r="O7" s="15">
        <v>1.2E-2</v>
      </c>
      <c r="P7" s="15">
        <f t="shared" si="1"/>
        <v>5.2800000000000007E-2</v>
      </c>
      <c r="Q7" s="15"/>
    </row>
    <row r="8" spans="1:24" x14ac:dyDescent="0.25">
      <c r="M8" s="15"/>
      <c r="N8" s="15"/>
      <c r="O8" s="15"/>
      <c r="P8" s="15">
        <f>SUM(P5:P7)</f>
        <v>0.31850720000000005</v>
      </c>
      <c r="Q8" s="15"/>
    </row>
    <row r="9" spans="1:24" x14ac:dyDescent="0.25">
      <c r="M9" s="15"/>
      <c r="N9" s="15"/>
      <c r="O9" s="15"/>
      <c r="P9" s="15"/>
      <c r="Q9" s="15"/>
    </row>
    <row r="10" spans="1:24" x14ac:dyDescent="0.25">
      <c r="B10" t="s">
        <v>14</v>
      </c>
      <c r="C10" t="s">
        <v>15</v>
      </c>
      <c r="M10" s="15"/>
      <c r="N10" s="15"/>
      <c r="O10" s="15"/>
      <c r="P10" s="15"/>
      <c r="Q10" s="15"/>
    </row>
    <row r="11" spans="1:24" x14ac:dyDescent="0.25">
      <c r="A11" t="s">
        <v>16</v>
      </c>
      <c r="B11" s="9">
        <v>0.26</v>
      </c>
      <c r="C11">
        <v>0.90600000000000003</v>
      </c>
      <c r="D11">
        <f>B11*C11</f>
        <v>0.23556000000000002</v>
      </c>
      <c r="M11" s="15"/>
      <c r="N11" s="15"/>
      <c r="O11" s="15"/>
      <c r="P11" s="15"/>
      <c r="Q11" s="15"/>
    </row>
    <row r="12" spans="1:24" x14ac:dyDescent="0.25">
      <c r="A12" t="s">
        <v>17</v>
      </c>
      <c r="B12" s="1">
        <f>B11*3.68</f>
        <v>0.95680000000000009</v>
      </c>
      <c r="C12">
        <v>8.2000000000000003E-2</v>
      </c>
      <c r="D12">
        <f t="shared" ref="D12:D13" si="2">B12*C12</f>
        <v>7.8457600000000016E-2</v>
      </c>
      <c r="M12" s="15"/>
      <c r="N12" s="15"/>
      <c r="O12" s="15"/>
      <c r="P12" s="15"/>
      <c r="Q12" s="15"/>
    </row>
    <row r="13" spans="1:24" x14ac:dyDescent="0.25">
      <c r="A13" t="s">
        <v>18</v>
      </c>
      <c r="B13" s="1">
        <f>B11*20</f>
        <v>5.2</v>
      </c>
      <c r="C13">
        <v>1.2E-2</v>
      </c>
      <c r="D13">
        <f t="shared" si="2"/>
        <v>6.2400000000000004E-2</v>
      </c>
      <c r="M13" s="15"/>
      <c r="N13" s="15"/>
      <c r="O13" s="15"/>
      <c r="P13" s="15"/>
      <c r="Q13" s="15"/>
    </row>
    <row r="14" spans="1:24" x14ac:dyDescent="0.25">
      <c r="D14">
        <f>SUM(D11:D13)</f>
        <v>0.37641760000000002</v>
      </c>
      <c r="M14" s="15"/>
      <c r="N14" s="15"/>
      <c r="O14" s="15"/>
      <c r="P14" s="15"/>
      <c r="Q14" s="15"/>
    </row>
    <row r="15" spans="1:24" x14ac:dyDescent="0.25">
      <c r="M15" s="15"/>
      <c r="N15" s="15"/>
      <c r="O15" s="15" t="s">
        <v>37</v>
      </c>
      <c r="P15" s="15" t="s">
        <v>27</v>
      </c>
      <c r="Q15" s="15"/>
      <c r="V15" t="s">
        <v>19</v>
      </c>
    </row>
    <row r="16" spans="1:24" x14ac:dyDescent="0.25">
      <c r="M16" s="15">
        <v>6.7</v>
      </c>
      <c r="N16" s="15">
        <f>M16*4/5</f>
        <v>5.36</v>
      </c>
      <c r="O16" s="15">
        <f>N16+10.07</f>
        <v>15.43</v>
      </c>
      <c r="P16" s="15">
        <v>21.46</v>
      </c>
      <c r="Q16" s="15">
        <f>O16*P16</f>
        <v>331.12779999999998</v>
      </c>
      <c r="V16" t="s">
        <v>24</v>
      </c>
      <c r="W16" t="s">
        <v>25</v>
      </c>
      <c r="X16" t="s">
        <v>26</v>
      </c>
    </row>
    <row r="17" spans="1:24" x14ac:dyDescent="0.25">
      <c r="V17" s="18">
        <f>102/32486</f>
        <v>3.139814073754848E-3</v>
      </c>
      <c r="W17" s="12">
        <f>19/15650</f>
        <v>1.2140575079872204E-3</v>
      </c>
      <c r="X17" s="13">
        <f>W17/V17</f>
        <v>0.3866654137693416</v>
      </c>
    </row>
    <row r="18" spans="1:24" x14ac:dyDescent="0.25">
      <c r="B18" t="s">
        <v>14</v>
      </c>
      <c r="C18" t="s">
        <v>15</v>
      </c>
    </row>
    <row r="19" spans="1:24" x14ac:dyDescent="0.25">
      <c r="A19" t="s">
        <v>16</v>
      </c>
      <c r="B19" s="9">
        <v>0.19</v>
      </c>
      <c r="C19">
        <v>0.90600000000000003</v>
      </c>
      <c r="D19">
        <f>B19*C19</f>
        <v>0.17214000000000002</v>
      </c>
      <c r="V19" t="s">
        <v>28</v>
      </c>
      <c r="W19" t="s">
        <v>29</v>
      </c>
    </row>
    <row r="20" spans="1:24" x14ac:dyDescent="0.25">
      <c r="A20" t="s">
        <v>17</v>
      </c>
      <c r="B20" s="1">
        <f>B19*3.68</f>
        <v>0.69920000000000004</v>
      </c>
      <c r="C20">
        <v>8.2000000000000003E-2</v>
      </c>
      <c r="D20">
        <f t="shared" ref="D20:D21" si="3">B20*C20</f>
        <v>5.7334400000000008E-2</v>
      </c>
      <c r="V20">
        <f>32486+15650</f>
        <v>48136</v>
      </c>
      <c r="W20">
        <f>121/V20</f>
        <v>2.5137111517367461E-3</v>
      </c>
    </row>
    <row r="21" spans="1:24" x14ac:dyDescent="0.25">
      <c r="A21" t="s">
        <v>18</v>
      </c>
      <c r="B21" s="1">
        <f>B19*20</f>
        <v>3.8</v>
      </c>
      <c r="C21">
        <v>1.2E-2</v>
      </c>
      <c r="D21">
        <f t="shared" si="3"/>
        <v>4.5600000000000002E-2</v>
      </c>
    </row>
    <row r="22" spans="1:24" x14ac:dyDescent="0.25">
      <c r="D22">
        <f>SUM(D19:D21)</f>
        <v>0.27507440000000005</v>
      </c>
      <c r="F22" t="s">
        <v>19</v>
      </c>
      <c r="G22" t="s">
        <v>22</v>
      </c>
      <c r="H22">
        <f>23.9*16.77</f>
        <v>400.80299999999994</v>
      </c>
      <c r="V22">
        <f>32486</f>
        <v>32486</v>
      </c>
      <c r="W22">
        <f>15650</f>
        <v>15650</v>
      </c>
      <c r="X22">
        <f>1-(15650/V20)</f>
        <v>0.67487950806049524</v>
      </c>
    </row>
    <row r="25" spans="1:24" x14ac:dyDescent="0.25">
      <c r="F25" t="s">
        <v>20</v>
      </c>
      <c r="G25" s="10">
        <f>(400-354)/354</f>
        <v>0.12994350282485875</v>
      </c>
      <c r="H25" t="s">
        <v>21</v>
      </c>
    </row>
    <row r="27" spans="1:24" x14ac:dyDescent="0.25">
      <c r="N27" s="11" t="s">
        <v>30</v>
      </c>
    </row>
    <row r="28" spans="1:24" x14ac:dyDescent="0.25">
      <c r="B28" t="s">
        <v>14</v>
      </c>
      <c r="C28" t="s">
        <v>15</v>
      </c>
      <c r="N28" t="s">
        <v>31</v>
      </c>
      <c r="O28" t="s">
        <v>32</v>
      </c>
    </row>
    <row r="29" spans="1:24" x14ac:dyDescent="0.25">
      <c r="A29" t="s">
        <v>23</v>
      </c>
      <c r="B29" s="9">
        <v>0.19</v>
      </c>
      <c r="C29">
        <v>0.98799999999999999</v>
      </c>
      <c r="D29">
        <f>B29*C29</f>
        <v>0.18772</v>
      </c>
      <c r="O29" t="s">
        <v>33</v>
      </c>
    </row>
    <row r="30" spans="1:24" x14ac:dyDescent="0.25">
      <c r="A30" t="s">
        <v>18</v>
      </c>
      <c r="B30" s="1">
        <f>B29*20</f>
        <v>3.8</v>
      </c>
      <c r="C30">
        <v>1.2E-2</v>
      </c>
      <c r="D30">
        <f t="shared" ref="D30" si="4">B30*C30</f>
        <v>4.5600000000000002E-2</v>
      </c>
      <c r="O30" t="s">
        <v>34</v>
      </c>
      <c r="P30" t="s">
        <v>35</v>
      </c>
    </row>
    <row r="31" spans="1:24" x14ac:dyDescent="0.25">
      <c r="D31">
        <f>SUM(D29:D30)</f>
        <v>0.23332</v>
      </c>
    </row>
    <row r="33" spans="2:17" x14ac:dyDescent="0.25">
      <c r="O33" t="s">
        <v>14</v>
      </c>
      <c r="P33" t="s">
        <v>15</v>
      </c>
    </row>
    <row r="34" spans="2:17" x14ac:dyDescent="0.25">
      <c r="N34" t="s">
        <v>23</v>
      </c>
      <c r="O34" s="14">
        <v>0.20430000000000001</v>
      </c>
      <c r="P34">
        <v>0.98799999999999999</v>
      </c>
      <c r="Q34">
        <f>O34*P34</f>
        <v>0.20184840000000001</v>
      </c>
    </row>
    <row r="35" spans="2:17" x14ac:dyDescent="0.25">
      <c r="B35" s="9"/>
      <c r="N35" t="s">
        <v>18</v>
      </c>
      <c r="O35" s="1">
        <f>O34*20</f>
        <v>4.0860000000000003</v>
      </c>
      <c r="P35">
        <v>1.2E-2</v>
      </c>
      <c r="Q35">
        <f t="shared" ref="Q35" si="5">O35*P35</f>
        <v>4.9032000000000006E-2</v>
      </c>
    </row>
    <row r="36" spans="2:17" x14ac:dyDescent="0.25">
      <c r="B36" s="1"/>
      <c r="Q36">
        <f>SUM(Q34:Q35)</f>
        <v>0.2508804</v>
      </c>
    </row>
    <row r="38" spans="2:17" x14ac:dyDescent="0.25">
      <c r="O38" t="s">
        <v>14</v>
      </c>
      <c r="P38" t="s">
        <v>15</v>
      </c>
    </row>
    <row r="39" spans="2:17" x14ac:dyDescent="0.25">
      <c r="N39" t="s">
        <v>16</v>
      </c>
      <c r="O39" s="14">
        <v>0.17499999999999999</v>
      </c>
      <c r="P39">
        <v>0.90600000000000003</v>
      </c>
      <c r="Q39">
        <f>O39*P39</f>
        <v>0.15855</v>
      </c>
    </row>
    <row r="40" spans="2:17" x14ac:dyDescent="0.25">
      <c r="N40" t="s">
        <v>17</v>
      </c>
      <c r="O40" s="1">
        <f>O39*3.68</f>
        <v>0.64400000000000002</v>
      </c>
      <c r="P40">
        <v>8.2000000000000003E-2</v>
      </c>
      <c r="Q40">
        <f t="shared" ref="Q40:Q41" si="6">O40*P40</f>
        <v>5.2808000000000001E-2</v>
      </c>
    </row>
    <row r="41" spans="2:17" x14ac:dyDescent="0.25">
      <c r="N41" t="s">
        <v>18</v>
      </c>
      <c r="O41" s="1">
        <f>O39*20</f>
        <v>3.5</v>
      </c>
      <c r="P41">
        <v>1.2E-2</v>
      </c>
      <c r="Q41">
        <f t="shared" si="6"/>
        <v>4.2000000000000003E-2</v>
      </c>
    </row>
    <row r="42" spans="2:17" x14ac:dyDescent="0.25">
      <c r="Q42">
        <f>SUM(Q39:Q41)</f>
        <v>0.25335799999999997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SEER18 EA_incidence (new data)</vt:lpstr>
      <vt:lpstr>SEER9 EA_incidence</vt:lpstr>
      <vt:lpstr>Calculation of wted BE-EA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Vaughan</dc:creator>
  <cp:lastModifiedBy>Tom Vaughan</cp:lastModifiedBy>
  <dcterms:created xsi:type="dcterms:W3CDTF">2016-08-19T20:22:01Z</dcterms:created>
  <dcterms:modified xsi:type="dcterms:W3CDTF">2018-10-12T22:09:39Z</dcterms:modified>
</cp:coreProperties>
</file>