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RiskEA working\required_files\"/>
    </mc:Choice>
  </mc:AlternateContent>
  <bookViews>
    <workbookView xWindow="214845" yWindow="0" windowWidth="21915" windowHeight="11865" xr2:uid="{00000000-000D-0000-FFFF-FFFF00000000}"/>
  </bookViews>
  <sheets>
    <sheet name="Use This" sheetId="5" r:id="rId1"/>
    <sheet name="Standard errors" sheetId="3" r:id="rId2"/>
    <sheet name="Risk factor details, prevalenc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5" l="1"/>
  <c r="H54" i="5"/>
  <c r="H53" i="5"/>
  <c r="D55" i="5"/>
  <c r="D54" i="5"/>
  <c r="D53" i="5"/>
  <c r="H49" i="5"/>
  <c r="J6" i="3"/>
  <c r="K6" i="3" s="1"/>
  <c r="L6" i="3" s="1"/>
  <c r="J7" i="3"/>
  <c r="K7" i="3" s="1"/>
  <c r="L7" i="3" s="1"/>
  <c r="J8" i="3"/>
  <c r="K8" i="3"/>
  <c r="L8" i="3" s="1"/>
  <c r="J9" i="3"/>
  <c r="K9" i="3"/>
  <c r="L9" i="3" s="1"/>
  <c r="J10" i="3"/>
  <c r="K10" i="3" s="1"/>
  <c r="L10" i="3" s="1"/>
  <c r="J11" i="3"/>
  <c r="K11" i="3" s="1"/>
  <c r="L11" i="3" s="1"/>
  <c r="J17" i="3"/>
  <c r="K17" i="3" s="1"/>
  <c r="L17" i="3" s="1"/>
  <c r="J22" i="3"/>
  <c r="J21" i="3" s="1"/>
  <c r="H32" i="5"/>
  <c r="H31" i="5"/>
  <c r="H30" i="5"/>
  <c r="K22" i="3" l="1"/>
  <c r="L22" i="3" s="1"/>
  <c r="G51" i="5"/>
  <c r="I51" i="5" s="1"/>
  <c r="G55" i="5"/>
  <c r="G54" i="5"/>
  <c r="G53" i="5"/>
  <c r="H48" i="5"/>
  <c r="G45" i="5"/>
  <c r="J45" i="5" s="1"/>
  <c r="G43" i="5"/>
  <c r="J43" i="5" s="1"/>
  <c r="H39" i="5"/>
  <c r="D39" i="5"/>
  <c r="G39" i="5" s="1"/>
  <c r="H38" i="5"/>
  <c r="D38" i="5"/>
  <c r="G38" i="5" s="1"/>
  <c r="H37" i="5"/>
  <c r="D37" i="5"/>
  <c r="G37" i="5" s="1"/>
  <c r="G36" i="5"/>
  <c r="J36" i="5" s="1"/>
  <c r="G34" i="5"/>
  <c r="J34" i="5" s="1"/>
  <c r="I54" i="5" l="1"/>
  <c r="I55" i="5"/>
  <c r="J39" i="5"/>
  <c r="I53" i="5"/>
  <c r="J53" i="5"/>
  <c r="J54" i="5"/>
  <c r="J55" i="5"/>
  <c r="I43" i="5"/>
  <c r="J37" i="5"/>
  <c r="I37" i="5"/>
  <c r="I34" i="5"/>
  <c r="J38" i="5"/>
  <c r="I38" i="5"/>
  <c r="I39" i="5"/>
  <c r="I36" i="5"/>
  <c r="I45" i="5"/>
  <c r="G28" i="5"/>
  <c r="G27" i="5"/>
  <c r="G26" i="5" l="1"/>
  <c r="D22" i="5" l="1"/>
  <c r="G16" i="5"/>
  <c r="J16" i="5" l="1"/>
  <c r="I16" i="5"/>
  <c r="G20" i="5"/>
  <c r="G22" i="5"/>
  <c r="D21" i="5"/>
  <c r="G21" i="5" s="1"/>
  <c r="H22" i="5"/>
  <c r="H21" i="5"/>
  <c r="G18" i="5"/>
  <c r="J18" i="5" s="1"/>
  <c r="G12" i="5"/>
  <c r="G11" i="5"/>
  <c r="G10" i="5"/>
  <c r="J20" i="5" l="1"/>
  <c r="D47" i="5"/>
  <c r="J10" i="5"/>
  <c r="J11" i="5"/>
  <c r="J12" i="5"/>
  <c r="I10" i="5"/>
  <c r="I11" i="5"/>
  <c r="I18" i="5"/>
  <c r="I12" i="5"/>
  <c r="J21" i="5"/>
  <c r="I21" i="5"/>
  <c r="J22" i="5"/>
  <c r="I22" i="5"/>
  <c r="I20" i="5"/>
  <c r="D49" i="5" l="1"/>
  <c r="G49" i="5" s="1"/>
  <c r="D48" i="5"/>
  <c r="G48" i="5" s="1"/>
  <c r="G47" i="5"/>
  <c r="G14" i="5"/>
  <c r="G9" i="5"/>
  <c r="G7" i="5"/>
  <c r="G3" i="5"/>
  <c r="G5" i="5"/>
  <c r="D32" i="5" s="1"/>
  <c r="G32" i="5" s="1"/>
  <c r="G4" i="5"/>
  <c r="D31" i="5" s="1"/>
  <c r="G31" i="5" s="1"/>
  <c r="D41" i="5" l="1"/>
  <c r="G41" i="5" s="1"/>
  <c r="J47" i="5"/>
  <c r="I47" i="5"/>
  <c r="J48" i="5"/>
  <c r="I48" i="5"/>
  <c r="I49" i="5"/>
  <c r="J49" i="5"/>
  <c r="J3" i="5"/>
  <c r="D30" i="5"/>
  <c r="G30" i="5" s="1"/>
  <c r="I31" i="5"/>
  <c r="J31" i="5"/>
  <c r="I32" i="5"/>
  <c r="J32" i="5"/>
  <c r="J7" i="5"/>
  <c r="I7" i="5"/>
  <c r="J9" i="5"/>
  <c r="I9" i="5"/>
  <c r="I14" i="5"/>
  <c r="J14" i="5"/>
  <c r="J5" i="5"/>
  <c r="I5" i="5"/>
  <c r="J4" i="5"/>
  <c r="I4" i="5"/>
  <c r="I3" i="5"/>
  <c r="G26" i="3"/>
  <c r="H26" i="3" s="1"/>
  <c r="G36" i="3"/>
  <c r="H36" i="3" s="1"/>
  <c r="C36" i="3"/>
  <c r="G35" i="3"/>
  <c r="H35" i="3" s="1"/>
  <c r="C35" i="3"/>
  <c r="G34" i="3"/>
  <c r="H34" i="3" s="1"/>
  <c r="C34" i="3"/>
  <c r="G33" i="3"/>
  <c r="H33" i="3" s="1"/>
  <c r="C33" i="3"/>
  <c r="G32" i="3"/>
  <c r="H32" i="3" s="1"/>
  <c r="C32" i="3"/>
  <c r="G31" i="3"/>
  <c r="H31" i="3" s="1"/>
  <c r="C31" i="3"/>
  <c r="G30" i="3"/>
  <c r="H30" i="3" s="1"/>
  <c r="C30" i="3"/>
  <c r="G29" i="3"/>
  <c r="H29" i="3" s="1"/>
  <c r="C29" i="3"/>
  <c r="G28" i="3"/>
  <c r="H28" i="3" s="1"/>
  <c r="C28" i="3"/>
  <c r="G27" i="3"/>
  <c r="H27" i="3" s="1"/>
  <c r="C27" i="3"/>
  <c r="C26" i="3"/>
  <c r="J41" i="5" l="1"/>
  <c r="I41" i="5"/>
  <c r="J30" i="5"/>
  <c r="I30" i="5"/>
  <c r="G21" i="3"/>
  <c r="H21" i="3" s="1"/>
  <c r="F22" i="3" l="1"/>
  <c r="G22" i="3" s="1"/>
  <c r="H22" i="3" s="1"/>
  <c r="C19" i="3" l="1"/>
  <c r="F19" i="3" l="1"/>
  <c r="G19" i="3" s="1"/>
  <c r="H19" i="3" s="1"/>
  <c r="F17" i="3"/>
  <c r="G17" i="3" s="1"/>
  <c r="H17" i="3" s="1"/>
  <c r="G15" i="3"/>
  <c r="H15" i="3" s="1"/>
  <c r="G14" i="3"/>
  <c r="H14" i="3" s="1"/>
  <c r="G13" i="3"/>
  <c r="H13" i="3" s="1"/>
  <c r="G12" i="3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G5" i="3"/>
  <c r="H5" i="3" s="1"/>
  <c r="G4" i="3"/>
  <c r="H4" i="3" s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G3" i="3"/>
  <c r="H3" i="3" s="1"/>
  <c r="F6" i="3" l="1"/>
  <c r="G6" i="3" s="1"/>
  <c r="H6" i="3" s="1"/>
  <c r="C25" i="2"/>
  <c r="C24" i="2"/>
  <c r="E18" i="2"/>
  <c r="F17" i="2" s="1"/>
  <c r="G8" i="2"/>
  <c r="C8" i="2"/>
  <c r="G7" i="2"/>
  <c r="C7" i="2"/>
  <c r="G6" i="2"/>
  <c r="C6" i="2"/>
  <c r="G5" i="2"/>
  <c r="G4" i="2"/>
  <c r="F14" i="2" l="1"/>
  <c r="F16" i="2"/>
  <c r="F15" i="2"/>
  <c r="F13" i="2"/>
</calcChain>
</file>

<file path=xl/sharedStrings.xml><?xml version="1.0" encoding="utf-8"?>
<sst xmlns="http://schemas.openxmlformats.org/spreadsheetml/2006/main" count="258" uniqueCount="116">
  <si>
    <t>race</t>
  </si>
  <si>
    <t>age</t>
  </si>
  <si>
    <t>reflux</t>
  </si>
  <si>
    <t>smoking</t>
  </si>
  <si>
    <t>bmi</t>
  </si>
  <si>
    <t>nsaids</t>
  </si>
  <si>
    <t>female vs. male</t>
  </si>
  <si>
    <t>black vs. white</t>
  </si>
  <si>
    <t>Ogden, Flegal JAMA 2014</t>
  </si>
  <si>
    <t>BMI</t>
  </si>
  <si>
    <t>Hoyo</t>
  </si>
  <si>
    <t>Prevalence</t>
  </si>
  <si>
    <t>OR</t>
  </si>
  <si>
    <t>Orsm</t>
  </si>
  <si>
    <t>40-60</t>
  </si>
  <si>
    <t>Ave Prev %</t>
  </si>
  <si>
    <t>&lt;25</t>
  </si>
  <si>
    <t>25-30</t>
  </si>
  <si>
    <t>30-35</t>
  </si>
  <si>
    <t>35-40</t>
  </si>
  <si>
    <t>45-60</t>
  </si>
  <si>
    <t>Smoking</t>
  </si>
  <si>
    <t>Cook</t>
  </si>
  <si>
    <t>Pack-years</t>
  </si>
  <si>
    <t>&lt;15</t>
  </si>
  <si>
    <t>15-30</t>
  </si>
  <si>
    <t>30-45</t>
  </si>
  <si>
    <t>HB/Regur</t>
  </si>
  <si>
    <t>Prev %</t>
  </si>
  <si>
    <t>Never/Rare</t>
  </si>
  <si>
    <t>&lt;=Week</t>
  </si>
  <si>
    <t>&lt;=Daily</t>
  </si>
  <si>
    <t>&gt;Daily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</si>
  <si>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</si>
  <si>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</si>
  <si>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r>
      <t xml:space="preserve">Sun X, et al. </t>
    </r>
    <r>
      <rPr>
        <i/>
        <sz val="11"/>
        <color theme="1"/>
        <rFont val="Calibri"/>
        <family val="2"/>
        <scheme val="minor"/>
      </rPr>
      <t>Cancer Epidem Bio Prev</t>
    </r>
    <r>
      <rPr>
        <sz val="11"/>
        <color theme="1"/>
        <rFont val="Calibri"/>
        <family val="2"/>
        <scheme val="minor"/>
      </rPr>
      <t xml:space="preserve"> 25, 727-735 (2016).</t>
    </r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</si>
  <si>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</si>
  <si>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sex</t>
  </si>
  <si>
    <t>Risk_Factor</t>
  </si>
  <si>
    <t>RR_SIM_pos</t>
  </si>
  <si>
    <t>family.history</t>
  </si>
  <si>
    <t>physical.activity</t>
  </si>
  <si>
    <t>segment.length</t>
  </si>
  <si>
    <t>Little data; assume no difference</t>
  </si>
  <si>
    <t>Hardikar S, et al. PloS one 8, e52192 (2013)</t>
  </si>
  <si>
    <t>SEER (ratio in 60-64 year olds 2009-2013)</t>
  </si>
  <si>
    <t>statins</t>
  </si>
  <si>
    <t>CI_lo_neg</t>
  </si>
  <si>
    <t>CI_hi_neg</t>
  </si>
  <si>
    <t>beta_lo</t>
  </si>
  <si>
    <t>pvalue_neg</t>
  </si>
  <si>
    <t>z_score_neg</t>
  </si>
  <si>
    <t>SE_z_neg</t>
  </si>
  <si>
    <t>SE_ci_neg</t>
  </si>
  <si>
    <t>z_score_ci_neg</t>
  </si>
  <si>
    <t>pvalue_ci_neg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</si>
  <si>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</t>
    </r>
  </si>
  <si>
    <t>reflux ever</t>
  </si>
  <si>
    <t>PAF</t>
  </si>
  <si>
    <t>PAF Engel</t>
  </si>
  <si>
    <t>SIM_POSITIVE</t>
  </si>
  <si>
    <r>
      <t xml:space="preserve">Vaughan T, et al. Lancet Oncol 6, 945-52 (2005); </t>
    </r>
    <r>
      <rPr>
        <b/>
        <sz val="11"/>
        <color theme="1"/>
        <rFont val="Calibri"/>
        <family val="2"/>
        <scheme val="minor"/>
      </rPr>
      <t>reduced conservatively to 0.6</t>
    </r>
  </si>
  <si>
    <t>SIM_Status</t>
  </si>
  <si>
    <t>&lt;weekly</t>
  </si>
  <si>
    <t>weekly - daily</t>
  </si>
  <si>
    <t>&gt; daily</t>
  </si>
  <si>
    <t>rflevel_cat</t>
  </si>
  <si>
    <t>Reflux</t>
  </si>
  <si>
    <t>beta</t>
  </si>
  <si>
    <t>Statins</t>
  </si>
  <si>
    <t>Fam History</t>
  </si>
  <si>
    <t>25-29</t>
  </si>
  <si>
    <t>30-34</t>
  </si>
  <si>
    <t>35-39</t>
  </si>
  <si>
    <t>40+</t>
  </si>
  <si>
    <t>NSAIDs</t>
  </si>
  <si>
    <t>Phys Activity</t>
  </si>
  <si>
    <t>betase</t>
  </si>
  <si>
    <t>lowCI</t>
  </si>
  <si>
    <t>highCI</t>
  </si>
  <si>
    <t>ever smoke</t>
  </si>
  <si>
    <t>level 2</t>
  </si>
  <si>
    <t>level 3</t>
  </si>
  <si>
    <t>level 4</t>
  </si>
  <si>
    <t>rr</t>
  </si>
  <si>
    <t>Segment Length</t>
  </si>
  <si>
    <t>1-3 cm</t>
  </si>
  <si>
    <t>4-6 cm</t>
  </si>
  <si>
    <t>7+ cm</t>
  </si>
  <si>
    <t>use_me</t>
  </si>
  <si>
    <t>Notes</t>
  </si>
  <si>
    <t>-</t>
  </si>
  <si>
    <t xml:space="preserve">current NSAIDs </t>
  </si>
  <si>
    <t>current statins</t>
  </si>
  <si>
    <t>fam hx +</t>
  </si>
  <si>
    <t>Risk_Factor_level</t>
  </si>
  <si>
    <t>Assume sqroot of SIM(neg)</t>
  </si>
  <si>
    <t>prev</t>
  </si>
  <si>
    <r>
      <t xml:space="preserve">Little data; </t>
    </r>
    <r>
      <rPr>
        <b/>
        <sz val="11"/>
        <color theme="1"/>
        <rFont val="Calibri"/>
        <family val="2"/>
        <scheme val="minor"/>
      </rPr>
      <t>assume 2/3 root of SIM(neg)</t>
    </r>
  </si>
  <si>
    <t>SIM_NEGATIVE</t>
  </si>
  <si>
    <t>RR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</si>
  <si>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</si>
  <si>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</si>
  <si>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betase is determined iteratively to match CI from table 4</t>
  </si>
  <si>
    <r>
      <t xml:space="preserve">Singh S, Clinical Gastroenterology and Hepatology 11, 620–629 (2013); (Beales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61,</t>
    </r>
    <r>
      <rPr>
        <sz val="11"/>
        <color theme="1"/>
        <rFont val="Calibri"/>
        <family val="2"/>
        <scheme val="minor"/>
      </rPr>
      <t xml:space="preserve"> 238–246 (2016)) </t>
    </r>
  </si>
  <si>
    <t>Krishnamoorthi, R et al. Gastro Endo 84, 40–46.e7 (2016); (Hardikar S, et al. PloS one 8, e52192 (2013))</t>
  </si>
  <si>
    <r>
      <t xml:space="preserve">Little data; </t>
    </r>
    <r>
      <rPr>
        <b/>
        <sz val="11"/>
        <color theme="1"/>
        <rFont val="Calibri"/>
        <family val="2"/>
        <scheme val="minor"/>
      </rPr>
      <t>assume square root of SIM(neg)</t>
    </r>
  </si>
  <si>
    <t xml:space="preserve">Krishnamoorthi, et al.  Gastro Endo 84, 40–46.e7 (2016); (Nguyen T, et al. Gastroenterology. 2015 Nov;149(6):1392–8; Kantor, E. D., Cancer Epidem Biomarkers Prev 21, 456–61 (2012)) </t>
  </si>
  <si>
    <t>Sikkema M, et al. Am J Gastro 106, 1231-1238 (2011); (Anaparthy, R. et al. ClinGastro Hepatol 11, 1430-1436 (2013))</t>
  </si>
  <si>
    <t>hgd</t>
  </si>
  <si>
    <t>mol.abnor</t>
  </si>
  <si>
    <t>HGD/DCA</t>
  </si>
  <si>
    <r>
      <t xml:space="preserve">Rastogi, A.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Gastrointestinal endoscopy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67,</t>
    </r>
    <r>
      <rPr>
        <sz val="11"/>
        <color theme="1"/>
        <rFont val="Calibri"/>
        <family val="2"/>
        <scheme val="minor"/>
      </rPr>
      <t xml:space="preserve"> 394–8 (2008); Choi, W.-T. et al. </t>
    </r>
    <r>
      <rPr>
        <i/>
        <sz val="11"/>
        <color theme="1"/>
        <rFont val="Calibri"/>
        <family val="2"/>
        <scheme val="minor"/>
      </rPr>
      <t>Gut</t>
    </r>
    <r>
      <rPr>
        <sz val="11"/>
        <color theme="1"/>
        <rFont val="Calibri"/>
        <family val="2"/>
        <scheme val="minor"/>
      </rPr>
      <t xml:space="preserve"> (2017) doi:10.1136/gutjnl-2017-313815; Galipeau, P. C. et al. </t>
    </r>
    <r>
      <rPr>
        <i/>
        <sz val="11"/>
        <color theme="1"/>
        <rFont val="Calibri"/>
        <family val="2"/>
        <scheme val="minor"/>
      </rPr>
      <t>PLoS medicine</t>
    </r>
    <r>
      <rPr>
        <sz val="11"/>
        <color theme="1"/>
        <rFont val="Calibri"/>
        <family val="2"/>
        <scheme val="minor"/>
      </rPr>
      <t xml:space="preserve"> 4, e67 (2007).</t>
    </r>
  </si>
  <si>
    <t>biopsy.abn</t>
  </si>
  <si>
    <t>Biopsy</t>
  </si>
  <si>
    <t>HGD/DNA abnor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</si>
</sst>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1" applyNumberFormat="1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ont="1" applyAlignment="1">
      <alignment horizontal="left" wrapText="1"/>
    </xf>
    <xf numFmtId="0" fontId="0" fillId="3" borderId="0" xfId="0" applyFill="1"/>
    <xf numFmtId="166" fontId="0" fillId="0" borderId="0" xfId="0" applyNumberFormat="1"/>
    <xf numFmtId="166" fontId="0" fillId="3" borderId="0" xfId="0" applyNumberFormat="1" applyFill="1"/>
    <xf numFmtId="166" fontId="0" fillId="2" borderId="0" xfId="0" applyNumberFormat="1" applyFill="1"/>
    <xf numFmtId="166" fontId="0" fillId="4" borderId="0" xfId="0" applyNumberFormat="1" applyFill="1"/>
    <xf numFmtId="166" fontId="0" fillId="0" borderId="0" xfId="0" applyNumberFormat="1" applyFill="1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quotePrefix="1"/>
    <xf numFmtId="1" fontId="0" fillId="0" borderId="0" xfId="0" applyNumberFormat="1" applyAlignment="1">
      <alignment horizontal="center"/>
    </xf>
    <xf numFmtId="0" fontId="3" fillId="5" borderId="0" xfId="0" applyFont="1" applyFill="1"/>
    <xf numFmtId="0" fontId="0" fillId="6" borderId="0" xfId="0" applyFill="1"/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7" borderId="0" xfId="0" applyFont="1" applyFill="1" applyAlignment="1">
      <alignment horizontal="left" vertical="center" wrapText="1"/>
    </xf>
    <xf numFmtId="2" fontId="0" fillId="7" borderId="0" xfId="0" applyNumberFormat="1" applyFill="1"/>
    <xf numFmtId="0" fontId="0" fillId="7" borderId="0" xfId="0" quotePrefix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Normal="100" workbookViewId="0">
      <pane ySplit="1" topLeftCell="A5" activePane="bottomLeft" state="frozen"/>
      <selection pane="bottomLeft" activeCell="D23" sqref="D23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8" bestFit="1" customWidth="1"/>
    <col min="5" max="5" width="17.85546875" style="8" bestFit="1" customWidth="1"/>
    <col min="6" max="6" width="13.7109375" style="8" bestFit="1" customWidth="1"/>
    <col min="7" max="7" width="13.7109375" style="8" customWidth="1"/>
    <col min="8" max="8" width="11.5703125" bestFit="1" customWidth="1"/>
    <col min="11" max="11" width="40.7109375" customWidth="1"/>
    <col min="13" max="13" width="45.28515625" style="29" customWidth="1"/>
    <col min="14" max="14" width="9.140625" customWidth="1"/>
  </cols>
  <sheetData>
    <row r="1" spans="1:13" x14ac:dyDescent="0.25">
      <c r="A1" s="8" t="s">
        <v>38</v>
      </c>
      <c r="B1" s="8" t="s">
        <v>62</v>
      </c>
      <c r="C1" s="8" t="s">
        <v>89</v>
      </c>
      <c r="D1" s="8" t="s">
        <v>84</v>
      </c>
      <c r="E1" s="8" t="s">
        <v>95</v>
      </c>
      <c r="F1" s="8" t="s">
        <v>66</v>
      </c>
      <c r="G1" s="8" t="s">
        <v>68</v>
      </c>
      <c r="H1" s="8" t="s">
        <v>77</v>
      </c>
      <c r="I1" s="8" t="s">
        <v>78</v>
      </c>
      <c r="J1" s="8" t="s">
        <v>79</v>
      </c>
      <c r="K1" s="8" t="s">
        <v>90</v>
      </c>
      <c r="L1" s="8" t="s">
        <v>97</v>
      </c>
      <c r="M1" s="28" t="s">
        <v>102</v>
      </c>
    </row>
    <row r="2" spans="1:13" ht="51.75" customHeight="1" x14ac:dyDescent="0.25">
      <c r="A2" s="22" t="s">
        <v>2</v>
      </c>
      <c r="B2" s="8">
        <v>0</v>
      </c>
      <c r="C2" s="8">
        <v>1</v>
      </c>
      <c r="D2" s="25"/>
      <c r="E2" s="24" t="s">
        <v>67</v>
      </c>
      <c r="F2" s="26">
        <v>0</v>
      </c>
      <c r="G2" s="24">
        <v>0</v>
      </c>
      <c r="H2" s="24">
        <v>0</v>
      </c>
      <c r="I2" s="27"/>
      <c r="J2" s="27"/>
      <c r="K2" s="7" t="s">
        <v>101</v>
      </c>
      <c r="L2">
        <v>0.51400000000000001</v>
      </c>
      <c r="M2" s="29" t="s">
        <v>103</v>
      </c>
    </row>
    <row r="3" spans="1:13" x14ac:dyDescent="0.25">
      <c r="A3" s="22" t="s">
        <v>2</v>
      </c>
      <c r="B3" s="8">
        <v>0</v>
      </c>
      <c r="C3" s="8">
        <v>1</v>
      </c>
      <c r="D3" s="24">
        <v>2.08</v>
      </c>
      <c r="E3" s="25" t="s">
        <v>63</v>
      </c>
      <c r="F3" s="26">
        <v>1</v>
      </c>
      <c r="G3" s="24">
        <f t="shared" ref="G3:G7" si="0">LN(D3)</f>
        <v>0.73236789371322664</v>
      </c>
      <c r="H3" s="24">
        <v>0.3</v>
      </c>
      <c r="I3" s="27">
        <f>EXP($G3-1.96*$H3)</f>
        <v>1.1553090612918782</v>
      </c>
      <c r="J3" s="27">
        <f>EXP($G3+1.96*$H3)</f>
        <v>3.7447988118107349</v>
      </c>
      <c r="K3" s="20" t="s">
        <v>91</v>
      </c>
      <c r="L3">
        <v>0.3584</v>
      </c>
    </row>
    <row r="4" spans="1:13" x14ac:dyDescent="0.25">
      <c r="A4" s="22" t="s">
        <v>2</v>
      </c>
      <c r="B4" s="8">
        <v>0</v>
      </c>
      <c r="C4" s="8">
        <v>1</v>
      </c>
      <c r="D4" s="24">
        <v>5.07</v>
      </c>
      <c r="E4" s="25" t="s">
        <v>64</v>
      </c>
      <c r="F4" s="26">
        <v>2</v>
      </c>
      <c r="G4" s="24">
        <f t="shared" si="0"/>
        <v>1.6233408176030919</v>
      </c>
      <c r="H4" s="24">
        <v>0.25</v>
      </c>
      <c r="I4" s="27">
        <f t="shared" ref="I4:I5" si="1">EXP($G4-1.96*$H4)</f>
        <v>3.1060158185149898</v>
      </c>
      <c r="J4" s="27">
        <f t="shared" ref="J4:J5" si="2">EXP($G4+1.96*$H4)</f>
        <v>8.2758432351737721</v>
      </c>
      <c r="K4" s="20" t="s">
        <v>91</v>
      </c>
      <c r="L4">
        <v>8.5900000000000004E-2</v>
      </c>
    </row>
    <row r="5" spans="1:13" x14ac:dyDescent="0.25">
      <c r="A5" s="22" t="s">
        <v>2</v>
      </c>
      <c r="B5" s="8">
        <v>0</v>
      </c>
      <c r="C5" s="8">
        <v>1</v>
      </c>
      <c r="D5" s="24">
        <v>7.96</v>
      </c>
      <c r="E5" s="25" t="s">
        <v>65</v>
      </c>
      <c r="F5" s="26">
        <v>3</v>
      </c>
      <c r="G5" s="24">
        <f t="shared" si="0"/>
        <v>2.0744289998562917</v>
      </c>
      <c r="H5" s="24">
        <v>0.28999999999999998</v>
      </c>
      <c r="I5" s="27">
        <f t="shared" si="1"/>
        <v>4.5087907891354924</v>
      </c>
      <c r="J5" s="27">
        <f t="shared" si="2"/>
        <v>14.052903087159839</v>
      </c>
      <c r="K5" s="20" t="s">
        <v>91</v>
      </c>
      <c r="L5">
        <v>4.1799999999999997E-2</v>
      </c>
    </row>
    <row r="6" spans="1:13" ht="38.25" customHeight="1" x14ac:dyDescent="0.25">
      <c r="A6" s="22" t="s">
        <v>3</v>
      </c>
      <c r="B6" s="8">
        <v>0</v>
      </c>
      <c r="C6" s="8">
        <v>1</v>
      </c>
      <c r="D6" s="25"/>
      <c r="E6" s="25" t="s">
        <v>21</v>
      </c>
      <c r="F6" s="26">
        <v>0</v>
      </c>
      <c r="G6" s="24">
        <v>0</v>
      </c>
      <c r="H6" s="24">
        <v>0</v>
      </c>
      <c r="I6" s="27"/>
      <c r="J6" s="27"/>
      <c r="K6" s="7" t="s">
        <v>33</v>
      </c>
      <c r="L6">
        <v>0.41</v>
      </c>
    </row>
    <row r="7" spans="1:13" x14ac:dyDescent="0.25">
      <c r="A7" s="22" t="s">
        <v>3</v>
      </c>
      <c r="B7" s="8">
        <v>0</v>
      </c>
      <c r="C7" s="8">
        <v>1</v>
      </c>
      <c r="D7" s="24">
        <v>1.96</v>
      </c>
      <c r="E7" s="24" t="s">
        <v>80</v>
      </c>
      <c r="F7" s="26">
        <v>1</v>
      </c>
      <c r="G7" s="24">
        <f t="shared" si="0"/>
        <v>0.67294447324242579</v>
      </c>
      <c r="H7" s="24">
        <v>9.0676466154929233E-2</v>
      </c>
      <c r="I7" s="27">
        <f>EXP($G7-1.96*$H7)</f>
        <v>1.6408568904801626</v>
      </c>
      <c r="J7" s="27">
        <f>EXP($G7+1.96*$H7)</f>
        <v>2.341215752749672</v>
      </c>
      <c r="K7" s="20" t="s">
        <v>91</v>
      </c>
      <c r="L7">
        <v>0.59</v>
      </c>
    </row>
    <row r="8" spans="1:13" ht="32.25" customHeight="1" x14ac:dyDescent="0.25">
      <c r="A8" s="22" t="s">
        <v>4</v>
      </c>
      <c r="B8" s="8">
        <v>0</v>
      </c>
      <c r="C8" s="8">
        <v>1</v>
      </c>
      <c r="D8" s="25"/>
      <c r="E8" s="24" t="s">
        <v>9</v>
      </c>
      <c r="F8" s="26">
        <v>0</v>
      </c>
      <c r="G8" s="24">
        <v>0</v>
      </c>
      <c r="H8" s="24">
        <v>0</v>
      </c>
      <c r="I8" s="27"/>
      <c r="J8" s="27"/>
      <c r="K8" s="7" t="s">
        <v>34</v>
      </c>
      <c r="L8">
        <v>0.4526</v>
      </c>
    </row>
    <row r="9" spans="1:13" x14ac:dyDescent="0.25">
      <c r="A9" s="22" t="s">
        <v>4</v>
      </c>
      <c r="B9" s="8">
        <v>0</v>
      </c>
      <c r="C9" s="8">
        <v>1</v>
      </c>
      <c r="D9" s="24">
        <v>1.54</v>
      </c>
      <c r="E9" s="24" t="s">
        <v>71</v>
      </c>
      <c r="F9" s="26">
        <v>1</v>
      </c>
      <c r="G9" s="24">
        <f>LN(D9)</f>
        <v>0.43178241642553783</v>
      </c>
      <c r="H9" s="24">
        <v>0.10208236561622212</v>
      </c>
      <c r="I9" s="27">
        <f t="shared" ref="I9:I12" si="3">EXP($G9-1.96*$H9)</f>
        <v>1.2607426849518404</v>
      </c>
      <c r="J9" s="27">
        <f t="shared" ref="J9:J12" si="4">EXP($G9+1.96*$H9)</f>
        <v>1.8811134328259806</v>
      </c>
      <c r="K9" s="20" t="s">
        <v>91</v>
      </c>
      <c r="L9">
        <v>0.40660000000000002</v>
      </c>
    </row>
    <row r="10" spans="1:13" x14ac:dyDescent="0.25">
      <c r="A10" s="22" t="s">
        <v>4</v>
      </c>
      <c r="B10" s="8">
        <v>0</v>
      </c>
      <c r="C10" s="8">
        <v>1</v>
      </c>
      <c r="D10" s="24">
        <v>2.39</v>
      </c>
      <c r="E10" s="24" t="s">
        <v>72</v>
      </c>
      <c r="F10" s="26">
        <v>2</v>
      </c>
      <c r="G10" s="24">
        <f t="shared" ref="G10:G12" si="5">LN(D10)</f>
        <v>0.87129336594341933</v>
      </c>
      <c r="H10" s="24">
        <v>0.13</v>
      </c>
      <c r="I10" s="27">
        <f t="shared" si="3"/>
        <v>1.852420877256487</v>
      </c>
      <c r="J10" s="27">
        <f t="shared" si="4"/>
        <v>3.0835864949113834</v>
      </c>
      <c r="K10" s="20" t="s">
        <v>91</v>
      </c>
      <c r="L10">
        <v>0.10580000000000001</v>
      </c>
    </row>
    <row r="11" spans="1:13" x14ac:dyDescent="0.25">
      <c r="A11" s="22" t="s">
        <v>4</v>
      </c>
      <c r="B11" s="8">
        <v>0</v>
      </c>
      <c r="C11" s="8">
        <v>1</v>
      </c>
      <c r="D11" s="24">
        <v>2.79</v>
      </c>
      <c r="E11" s="24" t="s">
        <v>73</v>
      </c>
      <c r="F11" s="26">
        <v>3</v>
      </c>
      <c r="G11" s="24">
        <f t="shared" si="5"/>
        <v>1.0260415958332743</v>
      </c>
      <c r="H11" s="24">
        <v>0.2</v>
      </c>
      <c r="I11" s="27">
        <f t="shared" si="3"/>
        <v>1.8852144779501467</v>
      </c>
      <c r="J11" s="27">
        <f t="shared" si="4"/>
        <v>4.1290262148123853</v>
      </c>
      <c r="K11" s="20" t="s">
        <v>91</v>
      </c>
      <c r="L11">
        <v>2.5999999999999999E-2</v>
      </c>
    </row>
    <row r="12" spans="1:13" x14ac:dyDescent="0.25">
      <c r="A12" s="22" t="s">
        <v>4</v>
      </c>
      <c r="B12" s="8">
        <v>0</v>
      </c>
      <c r="C12" s="8">
        <v>1</v>
      </c>
      <c r="D12" s="24">
        <v>4.76</v>
      </c>
      <c r="E12" s="24" t="s">
        <v>74</v>
      </c>
      <c r="F12" s="26">
        <v>4</v>
      </c>
      <c r="G12" s="24">
        <f t="shared" si="5"/>
        <v>1.5602476682433286</v>
      </c>
      <c r="H12" s="24">
        <v>0.24</v>
      </c>
      <c r="I12" s="27">
        <f t="shared" si="3"/>
        <v>2.9738210306759791</v>
      </c>
      <c r="J12" s="27">
        <f t="shared" si="4"/>
        <v>7.6190193580175558</v>
      </c>
      <c r="K12" s="20" t="s">
        <v>91</v>
      </c>
      <c r="L12">
        <v>8.9999999999999993E-3</v>
      </c>
    </row>
    <row r="13" spans="1:13" ht="33.75" customHeight="1" x14ac:dyDescent="0.25">
      <c r="A13" s="22" t="s">
        <v>40</v>
      </c>
      <c r="B13" s="8">
        <v>0</v>
      </c>
      <c r="C13" s="8">
        <v>1</v>
      </c>
      <c r="D13" s="25"/>
      <c r="E13" s="24" t="s">
        <v>70</v>
      </c>
      <c r="F13" s="26">
        <v>0</v>
      </c>
      <c r="G13" s="24">
        <v>0</v>
      </c>
      <c r="H13" s="24">
        <v>0</v>
      </c>
      <c r="I13" s="27"/>
      <c r="J13" s="27"/>
      <c r="K13" s="7" t="s">
        <v>35</v>
      </c>
      <c r="L13">
        <v>0.93</v>
      </c>
    </row>
    <row r="14" spans="1:13" x14ac:dyDescent="0.25">
      <c r="A14" s="22" t="s">
        <v>40</v>
      </c>
      <c r="B14" s="8">
        <v>0</v>
      </c>
      <c r="C14" s="8">
        <v>1</v>
      </c>
      <c r="D14" s="24">
        <v>2.76</v>
      </c>
      <c r="E14" s="24" t="s">
        <v>94</v>
      </c>
      <c r="F14" s="26">
        <v>1</v>
      </c>
      <c r="G14" s="24">
        <f>LN(D14)</f>
        <v>1.0152306797290584</v>
      </c>
      <c r="H14" s="24">
        <v>0.21600698756422615</v>
      </c>
      <c r="I14" s="27">
        <f>EXP($G14-1.96*$H14)</f>
        <v>1.8073415055615647</v>
      </c>
      <c r="J14" s="27">
        <f>EXP($G14+1.96*$H14)</f>
        <v>4.2148094184519422</v>
      </c>
      <c r="K14" s="20" t="s">
        <v>91</v>
      </c>
      <c r="L14">
        <v>7.0000000000000007E-2</v>
      </c>
    </row>
    <row r="15" spans="1:13" ht="33" customHeight="1" x14ac:dyDescent="0.25">
      <c r="A15" s="22" t="s">
        <v>5</v>
      </c>
      <c r="B15" s="8">
        <v>0</v>
      </c>
      <c r="C15" s="8">
        <v>1</v>
      </c>
      <c r="D15" s="25"/>
      <c r="E15" s="24" t="s">
        <v>75</v>
      </c>
      <c r="F15" s="26">
        <v>0</v>
      </c>
      <c r="G15" s="24">
        <v>0</v>
      </c>
      <c r="H15" s="24">
        <v>0</v>
      </c>
      <c r="I15" s="27"/>
      <c r="J15" s="27"/>
      <c r="K15" s="7" t="s">
        <v>56</v>
      </c>
      <c r="L15">
        <v>0.5</v>
      </c>
    </row>
    <row r="16" spans="1:13" x14ac:dyDescent="0.25">
      <c r="A16" s="22" t="s">
        <v>5</v>
      </c>
      <c r="B16" s="8">
        <v>0</v>
      </c>
      <c r="C16" s="8">
        <v>1</v>
      </c>
      <c r="D16" s="24">
        <v>0.4</v>
      </c>
      <c r="E16" s="24" t="s">
        <v>92</v>
      </c>
      <c r="F16" s="26">
        <v>1</v>
      </c>
      <c r="G16" s="24">
        <f>LN(D16)</f>
        <v>-0.916290731874155</v>
      </c>
      <c r="H16" s="24">
        <v>0.26190127376773054</v>
      </c>
      <c r="I16" s="27">
        <f>EXP($G16-1.96*$H16)</f>
        <v>0.23940054042201614</v>
      </c>
      <c r="J16" s="27">
        <f>EXP($G16+1.96*$H16)</f>
        <v>0.66833600173980989</v>
      </c>
      <c r="K16" s="20" t="s">
        <v>91</v>
      </c>
      <c r="L16">
        <v>0.5</v>
      </c>
    </row>
    <row r="17" spans="1:12" ht="42" customHeight="1" x14ac:dyDescent="0.25">
      <c r="A17" s="22" t="s">
        <v>46</v>
      </c>
      <c r="B17" s="8">
        <v>0</v>
      </c>
      <c r="C17" s="8">
        <v>1</v>
      </c>
      <c r="D17" s="25"/>
      <c r="E17" s="24" t="s">
        <v>69</v>
      </c>
      <c r="F17" s="26">
        <v>0</v>
      </c>
      <c r="G17" s="24">
        <v>0</v>
      </c>
      <c r="H17" s="24">
        <v>0</v>
      </c>
      <c r="I17" s="27"/>
      <c r="J17" s="27"/>
      <c r="K17" s="7" t="s">
        <v>104</v>
      </c>
      <c r="L17">
        <v>0.25</v>
      </c>
    </row>
    <row r="18" spans="1:12" x14ac:dyDescent="0.25">
      <c r="A18" s="22" t="s">
        <v>46</v>
      </c>
      <c r="B18" s="8">
        <v>0</v>
      </c>
      <c r="C18" s="8">
        <v>1</v>
      </c>
      <c r="D18" s="24">
        <v>0.72</v>
      </c>
      <c r="E18" s="24" t="s">
        <v>93</v>
      </c>
      <c r="F18" s="26">
        <v>1</v>
      </c>
      <c r="G18" s="24">
        <f>LN(D18)</f>
        <v>-0.3285040669720361</v>
      </c>
      <c r="H18" s="24">
        <v>9.1838625616622732E-2</v>
      </c>
      <c r="I18" s="27">
        <f>EXP($G18-1.96*$H18)</f>
        <v>0.60139232332659642</v>
      </c>
      <c r="J18" s="27">
        <f>EXP($G18+1.96*$H18)</f>
        <v>0.86199969619245354</v>
      </c>
      <c r="K18" t="s">
        <v>91</v>
      </c>
      <c r="L18">
        <v>0.75</v>
      </c>
    </row>
    <row r="19" spans="1:12" ht="39.75" customHeight="1" x14ac:dyDescent="0.25">
      <c r="A19" s="22" t="s">
        <v>41</v>
      </c>
      <c r="B19" s="8">
        <v>0</v>
      </c>
      <c r="C19" s="8">
        <v>1</v>
      </c>
      <c r="D19" s="25"/>
      <c r="E19" s="24" t="s">
        <v>76</v>
      </c>
      <c r="F19" s="26">
        <v>0</v>
      </c>
      <c r="G19" s="24">
        <v>0</v>
      </c>
      <c r="H19" s="24">
        <v>0</v>
      </c>
      <c r="I19" s="27"/>
      <c r="J19" s="27"/>
      <c r="K19" s="7" t="s">
        <v>36</v>
      </c>
      <c r="L19">
        <v>0.25</v>
      </c>
    </row>
    <row r="20" spans="1:12" x14ac:dyDescent="0.25">
      <c r="A20" s="22" t="s">
        <v>41</v>
      </c>
      <c r="B20" s="8">
        <v>0</v>
      </c>
      <c r="C20" s="8">
        <v>1</v>
      </c>
      <c r="D20" s="24">
        <v>0.86099999999999999</v>
      </c>
      <c r="E20" s="25" t="s">
        <v>81</v>
      </c>
      <c r="F20" s="26">
        <v>1</v>
      </c>
      <c r="G20" s="24">
        <f t="shared" ref="G20:G22" si="6">LN(D20)</f>
        <v>-0.14966077455440627</v>
      </c>
      <c r="H20" s="24">
        <v>5.811786506324796E-2</v>
      </c>
      <c r="I20" s="27">
        <f>EXP($G20-1.96*$H20)</f>
        <v>0.76830246396523483</v>
      </c>
      <c r="J20" s="27">
        <f>EXP($G20+1.96*$H20)</f>
        <v>0.96488171621110952</v>
      </c>
      <c r="K20" s="20" t="s">
        <v>91</v>
      </c>
      <c r="L20">
        <v>0.25</v>
      </c>
    </row>
    <row r="21" spans="1:12" x14ac:dyDescent="0.25">
      <c r="A21" s="22" t="s">
        <v>41</v>
      </c>
      <c r="B21" s="8">
        <v>0</v>
      </c>
      <c r="C21" s="8">
        <v>1</v>
      </c>
      <c r="D21" s="24">
        <f>EXP(LN(D20)*2)</f>
        <v>0.74132100000000001</v>
      </c>
      <c r="E21" s="25" t="s">
        <v>82</v>
      </c>
      <c r="F21" s="26">
        <v>2</v>
      </c>
      <c r="G21" s="24">
        <f t="shared" si="6"/>
        <v>-0.29932154910881248</v>
      </c>
      <c r="H21" s="24">
        <f>H20*2</f>
        <v>0.11623573012649592</v>
      </c>
      <c r="I21" s="27">
        <f t="shared" ref="I21:I22" si="7">EXP($G21-1.96*$H21)</f>
        <v>0.59028867613505109</v>
      </c>
      <c r="J21" s="27">
        <f t="shared" ref="J21:J22" si="8">EXP($G21+1.96*$H21)</f>
        <v>0.93099672627849617</v>
      </c>
      <c r="K21" s="20" t="s">
        <v>91</v>
      </c>
      <c r="L21">
        <v>0.25</v>
      </c>
    </row>
    <row r="22" spans="1:12" x14ac:dyDescent="0.25">
      <c r="A22" s="22" t="s">
        <v>41</v>
      </c>
      <c r="B22" s="8">
        <v>0</v>
      </c>
      <c r="C22" s="8">
        <v>1</v>
      </c>
      <c r="D22" s="24">
        <f>EXP(LN(D20)*3)</f>
        <v>0.63827738099999998</v>
      </c>
      <c r="E22" s="25" t="s">
        <v>83</v>
      </c>
      <c r="F22" s="26">
        <v>3</v>
      </c>
      <c r="G22" s="24">
        <f t="shared" si="6"/>
        <v>-0.44898232366321877</v>
      </c>
      <c r="H22" s="24">
        <f>H20*3</f>
        <v>0.17435359518974389</v>
      </c>
      <c r="I22" s="27">
        <f t="shared" si="7"/>
        <v>0.45352024432533622</v>
      </c>
      <c r="J22" s="27">
        <f t="shared" si="8"/>
        <v>0.89830171903851996</v>
      </c>
      <c r="K22" s="20" t="s">
        <v>91</v>
      </c>
      <c r="L22">
        <v>0.25</v>
      </c>
    </row>
    <row r="23" spans="1:12" ht="29.25" customHeight="1" x14ac:dyDescent="0.25">
      <c r="A23" s="19" t="s">
        <v>113</v>
      </c>
      <c r="B23" s="8">
        <v>0</v>
      </c>
      <c r="C23" s="8">
        <v>0</v>
      </c>
      <c r="E23" s="8" t="s">
        <v>111</v>
      </c>
      <c r="F23" s="21">
        <v>0</v>
      </c>
      <c r="G23" s="8">
        <v>0</v>
      </c>
      <c r="H23" s="9">
        <v>0</v>
      </c>
      <c r="K23" s="20" t="s">
        <v>91</v>
      </c>
      <c r="L23">
        <v>0.99</v>
      </c>
    </row>
    <row r="24" spans="1:12" x14ac:dyDescent="0.25">
      <c r="A24" s="19" t="s">
        <v>113</v>
      </c>
      <c r="B24" s="8">
        <v>0</v>
      </c>
      <c r="C24" s="8">
        <v>0</v>
      </c>
      <c r="D24" s="8">
        <v>1</v>
      </c>
      <c r="E24" s="8" t="s">
        <v>111</v>
      </c>
      <c r="F24" s="21">
        <v>1</v>
      </c>
      <c r="G24" s="8">
        <v>0</v>
      </c>
      <c r="H24" s="9">
        <v>0</v>
      </c>
      <c r="K24" s="20" t="s">
        <v>91</v>
      </c>
      <c r="L24">
        <v>0.01</v>
      </c>
    </row>
    <row r="25" spans="1:12" ht="95.25" customHeight="1" x14ac:dyDescent="0.25">
      <c r="A25" s="22" t="s">
        <v>42</v>
      </c>
      <c r="B25" s="8">
        <v>0</v>
      </c>
      <c r="C25" s="8">
        <v>0</v>
      </c>
      <c r="E25" s="8" t="s">
        <v>85</v>
      </c>
      <c r="F25" s="21">
        <v>0</v>
      </c>
      <c r="G25" s="8">
        <v>0</v>
      </c>
      <c r="H25" s="9">
        <v>0</v>
      </c>
      <c r="K25" s="20" t="s">
        <v>91</v>
      </c>
      <c r="L25">
        <v>0.96</v>
      </c>
    </row>
    <row r="26" spans="1:12" x14ac:dyDescent="0.25">
      <c r="A26" s="22" t="s">
        <v>42</v>
      </c>
      <c r="B26" s="8">
        <v>0</v>
      </c>
      <c r="C26" s="8">
        <v>0</v>
      </c>
      <c r="D26" s="8">
        <v>1</v>
      </c>
      <c r="E26" s="8" t="s">
        <v>86</v>
      </c>
      <c r="F26" s="21">
        <v>1</v>
      </c>
      <c r="G26" s="9">
        <f t="shared" ref="G26" si="9">LN(D26)</f>
        <v>0</v>
      </c>
      <c r="H26" s="9">
        <v>0</v>
      </c>
      <c r="K26" s="20" t="s">
        <v>91</v>
      </c>
      <c r="L26">
        <v>0.01</v>
      </c>
    </row>
    <row r="27" spans="1:12" x14ac:dyDescent="0.25">
      <c r="A27" s="22" t="s">
        <v>42</v>
      </c>
      <c r="B27" s="8">
        <v>0</v>
      </c>
      <c r="C27" s="8">
        <v>0</v>
      </c>
      <c r="D27" s="8">
        <v>1</v>
      </c>
      <c r="E27" s="8" t="s">
        <v>87</v>
      </c>
      <c r="F27" s="21">
        <v>2</v>
      </c>
      <c r="G27" s="9">
        <f t="shared" ref="G27:G28" si="10">LN(D27)</f>
        <v>0</v>
      </c>
      <c r="H27" s="9">
        <v>0</v>
      </c>
      <c r="K27" s="20" t="s">
        <v>91</v>
      </c>
      <c r="L27">
        <v>0.01</v>
      </c>
    </row>
    <row r="28" spans="1:12" x14ac:dyDescent="0.25">
      <c r="A28" s="22" t="s">
        <v>42</v>
      </c>
      <c r="B28" s="8">
        <v>0</v>
      </c>
      <c r="C28" s="8">
        <v>0</v>
      </c>
      <c r="D28" s="8">
        <v>1</v>
      </c>
      <c r="E28" s="8" t="s">
        <v>88</v>
      </c>
      <c r="F28" s="21">
        <v>3</v>
      </c>
      <c r="G28" s="9">
        <f t="shared" si="10"/>
        <v>0</v>
      </c>
      <c r="H28" s="9">
        <v>0</v>
      </c>
      <c r="K28" s="20" t="s">
        <v>91</v>
      </c>
      <c r="L28">
        <v>0.01</v>
      </c>
    </row>
    <row r="29" spans="1:12" ht="118.5" customHeight="1" x14ac:dyDescent="0.25">
      <c r="A29" s="19" t="s">
        <v>2</v>
      </c>
      <c r="B29" s="8">
        <v>1</v>
      </c>
      <c r="C29" s="8">
        <v>1</v>
      </c>
      <c r="D29" s="9"/>
      <c r="E29" s="24" t="s">
        <v>67</v>
      </c>
      <c r="F29" s="26">
        <v>0</v>
      </c>
      <c r="G29" s="24">
        <v>0</v>
      </c>
      <c r="H29" s="24">
        <v>0</v>
      </c>
      <c r="I29" s="27"/>
      <c r="J29" s="27"/>
      <c r="K29" s="11" t="s">
        <v>98</v>
      </c>
      <c r="L29" s="1">
        <v>0.1</v>
      </c>
    </row>
    <row r="30" spans="1:12" x14ac:dyDescent="0.25">
      <c r="A30" s="19" t="s">
        <v>2</v>
      </c>
      <c r="B30" s="8">
        <v>1</v>
      </c>
      <c r="C30" s="8">
        <v>1</v>
      </c>
      <c r="D30" s="9">
        <f>EXP(G3*0.67)</f>
        <v>1.6334371714549192</v>
      </c>
      <c r="E30" s="25" t="s">
        <v>63</v>
      </c>
      <c r="F30" s="26">
        <v>1</v>
      </c>
      <c r="G30" s="24">
        <f t="shared" ref="G30:G32" si="11">LN(D30)</f>
        <v>0.49068648878786186</v>
      </c>
      <c r="H30" s="24">
        <f>H3*0.67</f>
        <v>0.20100000000000001</v>
      </c>
      <c r="I30" s="27">
        <f>EXP($G30-1.96*$H30)</f>
        <v>1.1015590436650537</v>
      </c>
      <c r="J30" s="27">
        <f>EXP($G30+1.96*$H30)</f>
        <v>2.4221279907188795</v>
      </c>
      <c r="K30" s="20" t="s">
        <v>91</v>
      </c>
      <c r="L30" s="1">
        <v>0.1</v>
      </c>
    </row>
    <row r="31" spans="1:12" x14ac:dyDescent="0.25">
      <c r="A31" s="19" t="s">
        <v>2</v>
      </c>
      <c r="B31" s="8">
        <v>1</v>
      </c>
      <c r="C31" s="8">
        <v>1</v>
      </c>
      <c r="D31" s="9">
        <f>EXP(G4*0.67)</f>
        <v>2.9672581594727543</v>
      </c>
      <c r="E31" s="25" t="s">
        <v>64</v>
      </c>
      <c r="F31" s="26">
        <v>2</v>
      </c>
      <c r="G31" s="24">
        <f t="shared" si="11"/>
        <v>1.0876383477940716</v>
      </c>
      <c r="H31" s="24">
        <f>H4*0.67</f>
        <v>0.16750000000000001</v>
      </c>
      <c r="I31" s="27">
        <f t="shared" ref="I31:I32" si="12">EXP($G31-1.96*$H31)</f>
        <v>2.1368618932666061</v>
      </c>
      <c r="J31" s="27">
        <f t="shared" ref="J31:J32" si="13">EXP($G31+1.96*$H31)</f>
        <v>4.1203509748110463</v>
      </c>
      <c r="K31" s="20" t="s">
        <v>91</v>
      </c>
      <c r="L31" s="1">
        <v>0.4</v>
      </c>
    </row>
    <row r="32" spans="1:12" x14ac:dyDescent="0.25">
      <c r="A32" s="19" t="s">
        <v>2</v>
      </c>
      <c r="B32" s="8">
        <v>1</v>
      </c>
      <c r="C32" s="8">
        <v>1</v>
      </c>
      <c r="D32" s="9">
        <f>EXP(G5*0.67)</f>
        <v>4.0143178392147041</v>
      </c>
      <c r="E32" s="25" t="s">
        <v>65</v>
      </c>
      <c r="F32" s="26">
        <v>3</v>
      </c>
      <c r="G32" s="24">
        <f t="shared" si="11"/>
        <v>1.3898674299037155</v>
      </c>
      <c r="H32" s="24">
        <f>H5*0.67</f>
        <v>0.1943</v>
      </c>
      <c r="I32" s="27">
        <f t="shared" si="12"/>
        <v>2.7429649390561237</v>
      </c>
      <c r="J32" s="27">
        <f t="shared" si="13"/>
        <v>5.8749375483387052</v>
      </c>
      <c r="K32" s="20" t="s">
        <v>91</v>
      </c>
      <c r="L32" s="1">
        <v>0.4</v>
      </c>
    </row>
    <row r="33" spans="1:12" ht="33.75" customHeight="1" x14ac:dyDescent="0.25">
      <c r="A33" s="19" t="s">
        <v>3</v>
      </c>
      <c r="B33" s="8">
        <v>1</v>
      </c>
      <c r="C33" s="8">
        <v>1</v>
      </c>
      <c r="D33" s="9"/>
      <c r="E33" s="25" t="s">
        <v>21</v>
      </c>
      <c r="F33" s="26">
        <v>0</v>
      </c>
      <c r="G33" s="24">
        <v>0</v>
      </c>
      <c r="H33" s="24">
        <v>0</v>
      </c>
      <c r="I33" s="27"/>
      <c r="J33" s="27"/>
      <c r="K33" s="30" t="s">
        <v>44</v>
      </c>
      <c r="L33" s="31">
        <v>0.36</v>
      </c>
    </row>
    <row r="34" spans="1:12" x14ac:dyDescent="0.25">
      <c r="A34" s="19" t="s">
        <v>3</v>
      </c>
      <c r="B34" s="8">
        <v>1</v>
      </c>
      <c r="C34" s="8">
        <v>1</v>
      </c>
      <c r="D34" s="9">
        <v>1.57</v>
      </c>
      <c r="E34" s="24" t="s">
        <v>80</v>
      </c>
      <c r="F34" s="26">
        <v>1</v>
      </c>
      <c r="G34" s="24">
        <f t="shared" ref="G34" si="14">LN(D34)</f>
        <v>0.45107561936021673</v>
      </c>
      <c r="H34" s="24">
        <v>0.35</v>
      </c>
      <c r="I34" s="27">
        <f>EXP($G34-1.96*$H34)</f>
        <v>0.79063063435100323</v>
      </c>
      <c r="J34" s="27">
        <f>EXP($G34+1.96*$H34)</f>
        <v>3.1176378613552425</v>
      </c>
      <c r="K34" s="32" t="s">
        <v>91</v>
      </c>
      <c r="L34" s="31">
        <v>0.64</v>
      </c>
    </row>
    <row r="35" spans="1:12" ht="45" x14ac:dyDescent="0.25">
      <c r="A35" s="19" t="s">
        <v>4</v>
      </c>
      <c r="B35" s="8">
        <v>1</v>
      </c>
      <c r="C35" s="8">
        <v>1</v>
      </c>
      <c r="D35" s="9"/>
      <c r="E35" s="24" t="s">
        <v>9</v>
      </c>
      <c r="F35" s="26">
        <v>0</v>
      </c>
      <c r="G35" s="24">
        <v>0</v>
      </c>
      <c r="H35" s="24">
        <v>0</v>
      </c>
      <c r="I35" s="27"/>
      <c r="J35" s="27"/>
      <c r="K35" s="7" t="s">
        <v>105</v>
      </c>
      <c r="L35" s="1">
        <v>0.3</v>
      </c>
    </row>
    <row r="36" spans="1:12" x14ac:dyDescent="0.25">
      <c r="A36" s="19" t="s">
        <v>4</v>
      </c>
      <c r="B36" s="8">
        <v>1</v>
      </c>
      <c r="C36" s="8">
        <v>1</v>
      </c>
      <c r="D36" s="9">
        <v>1.3</v>
      </c>
      <c r="E36" s="24" t="s">
        <v>71</v>
      </c>
      <c r="F36" s="26">
        <v>1</v>
      </c>
      <c r="G36" s="24">
        <f>LN(D36)</f>
        <v>0.26236426446749106</v>
      </c>
      <c r="H36" s="24">
        <v>0.124</v>
      </c>
      <c r="I36" s="27">
        <f t="shared" ref="I36:I39" si="15">EXP($G36-1.96*$H36)</f>
        <v>1.0195121865999388</v>
      </c>
      <c r="J36" s="27">
        <f t="shared" ref="J36:J39" si="16">EXP($G36+1.96*$H36)</f>
        <v>1.6576555162485407</v>
      </c>
      <c r="K36" s="20" t="s">
        <v>91</v>
      </c>
      <c r="L36" s="1">
        <v>0.3</v>
      </c>
    </row>
    <row r="37" spans="1:12" x14ac:dyDescent="0.25">
      <c r="A37" s="19" t="s">
        <v>4</v>
      </c>
      <c r="B37" s="8">
        <v>1</v>
      </c>
      <c r="C37" s="8">
        <v>1</v>
      </c>
      <c r="D37" s="9">
        <f>EXP(LN(D36)*2)</f>
        <v>1.69</v>
      </c>
      <c r="E37" s="24" t="s">
        <v>72</v>
      </c>
      <c r="F37" s="26">
        <v>2</v>
      </c>
      <c r="G37" s="24">
        <f t="shared" ref="G37:G39" si="17">LN(D37)</f>
        <v>0.52472852893498212</v>
      </c>
      <c r="H37" s="24">
        <f>H36*2</f>
        <v>0.248</v>
      </c>
      <c r="I37" s="27">
        <f t="shared" si="15"/>
        <v>1.0394050986257883</v>
      </c>
      <c r="J37" s="27">
        <f t="shared" si="16"/>
        <v>2.7478218105492163</v>
      </c>
      <c r="K37" s="20" t="s">
        <v>91</v>
      </c>
      <c r="L37" s="1">
        <v>0.3</v>
      </c>
    </row>
    <row r="38" spans="1:12" x14ac:dyDescent="0.25">
      <c r="A38" s="19" t="s">
        <v>4</v>
      </c>
      <c r="B38" s="8">
        <v>1</v>
      </c>
      <c r="C38" s="8">
        <v>1</v>
      </c>
      <c r="D38" s="9">
        <f>EXP(LN(D36)*3)</f>
        <v>2.1970000000000001</v>
      </c>
      <c r="E38" s="24" t="s">
        <v>73</v>
      </c>
      <c r="F38" s="26">
        <v>3</v>
      </c>
      <c r="G38" s="24">
        <f t="shared" si="17"/>
        <v>0.78709279340247318</v>
      </c>
      <c r="H38" s="24">
        <f>H36*3</f>
        <v>0.372</v>
      </c>
      <c r="I38" s="27">
        <f t="shared" si="15"/>
        <v>1.0596861648631026</v>
      </c>
      <c r="J38" s="27">
        <f t="shared" si="16"/>
        <v>4.5549419819249604</v>
      </c>
      <c r="K38" s="20" t="s">
        <v>91</v>
      </c>
      <c r="L38" s="1">
        <v>0.05</v>
      </c>
    </row>
    <row r="39" spans="1:12" x14ac:dyDescent="0.25">
      <c r="A39" s="19" t="s">
        <v>4</v>
      </c>
      <c r="B39" s="8">
        <v>1</v>
      </c>
      <c r="C39" s="8">
        <v>1</v>
      </c>
      <c r="D39" s="9">
        <f>EXP(LN(D36)*4)</f>
        <v>2.8561000000000001</v>
      </c>
      <c r="E39" s="24" t="s">
        <v>74</v>
      </c>
      <c r="F39" s="26">
        <v>4</v>
      </c>
      <c r="G39" s="24">
        <f t="shared" si="17"/>
        <v>1.0494570578699642</v>
      </c>
      <c r="H39" s="24">
        <f>H36*4</f>
        <v>0.496</v>
      </c>
      <c r="I39" s="27">
        <f t="shared" si="15"/>
        <v>1.0803629590492849</v>
      </c>
      <c r="J39" s="27">
        <f t="shared" si="16"/>
        <v>7.5505247025299713</v>
      </c>
      <c r="K39" s="20" t="s">
        <v>91</v>
      </c>
      <c r="L39" s="1">
        <v>0.05</v>
      </c>
    </row>
    <row r="40" spans="1:12" ht="37.5" customHeight="1" x14ac:dyDescent="0.25">
      <c r="A40" s="19" t="s">
        <v>40</v>
      </c>
      <c r="B40" s="8">
        <v>1</v>
      </c>
      <c r="C40" s="8">
        <v>1</v>
      </c>
      <c r="D40" s="9"/>
      <c r="E40" s="24" t="s">
        <v>70</v>
      </c>
      <c r="F40" s="26">
        <v>0</v>
      </c>
      <c r="G40" s="24">
        <v>0</v>
      </c>
      <c r="H40" s="24">
        <v>0</v>
      </c>
      <c r="I40" s="27"/>
      <c r="J40" s="27"/>
      <c r="K40" s="11" t="s">
        <v>106</v>
      </c>
      <c r="L40" s="1">
        <v>0.8</v>
      </c>
    </row>
    <row r="41" spans="1:12" x14ac:dyDescent="0.25">
      <c r="A41" s="19" t="s">
        <v>40</v>
      </c>
      <c r="B41" s="8">
        <v>1</v>
      </c>
      <c r="C41" s="8">
        <v>1</v>
      </c>
      <c r="D41" s="9">
        <f>EXP(G14*0.5)</f>
        <v>1.6613247725836149</v>
      </c>
      <c r="E41" s="24" t="s">
        <v>94</v>
      </c>
      <c r="F41" s="26">
        <v>1</v>
      </c>
      <c r="G41" s="24">
        <f>LN(D41)</f>
        <v>0.50761533986452922</v>
      </c>
      <c r="H41" s="24">
        <v>0.08</v>
      </c>
      <c r="I41" s="27">
        <f>EXP($G41-1.96*$H41)</f>
        <v>1.4202250427475254</v>
      </c>
      <c r="J41" s="27">
        <f>EXP($G41+1.96*$H41)</f>
        <v>1.9433539875205867</v>
      </c>
      <c r="K41" s="20" t="s">
        <v>91</v>
      </c>
      <c r="L41" s="1">
        <v>0.2</v>
      </c>
    </row>
    <row r="42" spans="1:12" ht="30" x14ac:dyDescent="0.25">
      <c r="A42" s="19" t="s">
        <v>5</v>
      </c>
      <c r="B42" s="8">
        <v>1</v>
      </c>
      <c r="C42" s="8">
        <v>1</v>
      </c>
      <c r="D42" s="9"/>
      <c r="E42" s="24" t="s">
        <v>75</v>
      </c>
      <c r="F42" s="26">
        <v>0</v>
      </c>
      <c r="G42" s="24">
        <v>0</v>
      </c>
      <c r="H42" s="24">
        <v>0</v>
      </c>
      <c r="I42" s="27"/>
      <c r="J42" s="27"/>
      <c r="K42" s="7" t="s">
        <v>61</v>
      </c>
      <c r="L42" s="1">
        <v>0.6</v>
      </c>
    </row>
    <row r="43" spans="1:12" x14ac:dyDescent="0.25">
      <c r="A43" s="19" t="s">
        <v>5</v>
      </c>
      <c r="B43" s="8">
        <v>1</v>
      </c>
      <c r="C43" s="8">
        <v>1</v>
      </c>
      <c r="D43" s="9">
        <v>0.6</v>
      </c>
      <c r="E43" s="24" t="s">
        <v>92</v>
      </c>
      <c r="F43" s="26">
        <v>1</v>
      </c>
      <c r="G43" s="24">
        <f>LN(D43)</f>
        <v>-0.51082562376599072</v>
      </c>
      <c r="H43" s="24">
        <v>0.13</v>
      </c>
      <c r="I43" s="27">
        <f>EXP($G43-1.96*$H43)</f>
        <v>0.46504289805602178</v>
      </c>
      <c r="J43" s="27">
        <f>EXP($G43+1.96*$H43)</f>
        <v>0.7741221326137363</v>
      </c>
      <c r="K43" t="s">
        <v>91</v>
      </c>
      <c r="L43" s="1">
        <v>0.4</v>
      </c>
    </row>
    <row r="44" spans="1:12" ht="75" x14ac:dyDescent="0.25">
      <c r="A44" s="19" t="s">
        <v>46</v>
      </c>
      <c r="B44" s="8">
        <v>1</v>
      </c>
      <c r="C44" s="8">
        <v>1</v>
      </c>
      <c r="D44" s="9"/>
      <c r="E44" s="24" t="s">
        <v>69</v>
      </c>
      <c r="F44" s="26">
        <v>0</v>
      </c>
      <c r="G44" s="24">
        <v>0</v>
      </c>
      <c r="H44" s="24">
        <v>0</v>
      </c>
      <c r="I44" s="27"/>
      <c r="J44" s="27"/>
      <c r="K44" s="7" t="s">
        <v>107</v>
      </c>
      <c r="L44" s="1">
        <v>0.2</v>
      </c>
    </row>
    <row r="45" spans="1:12" x14ac:dyDescent="0.25">
      <c r="A45" s="19" t="s">
        <v>46</v>
      </c>
      <c r="B45" s="8">
        <v>1</v>
      </c>
      <c r="C45" s="8">
        <v>1</v>
      </c>
      <c r="D45" s="9">
        <v>0.61</v>
      </c>
      <c r="E45" s="24" t="s">
        <v>93</v>
      </c>
      <c r="F45" s="26">
        <v>1</v>
      </c>
      <c r="G45" s="24">
        <f>LN(D45)</f>
        <v>-0.49429632181478012</v>
      </c>
      <c r="H45" s="24">
        <v>0.16</v>
      </c>
      <c r="I45" s="27">
        <f>EXP($G45-1.96*$H45)</f>
        <v>0.44579488947420237</v>
      </c>
      <c r="J45" s="27">
        <f>EXP($G45+1.96*$H45)</f>
        <v>0.83468879699109466</v>
      </c>
      <c r="K45" s="20" t="s">
        <v>91</v>
      </c>
      <c r="L45" s="1">
        <v>0.8</v>
      </c>
    </row>
    <row r="46" spans="1:12" ht="51" customHeight="1" x14ac:dyDescent="0.25">
      <c r="A46" s="19" t="s">
        <v>41</v>
      </c>
      <c r="B46" s="8">
        <v>1</v>
      </c>
      <c r="C46" s="8">
        <v>1</v>
      </c>
      <c r="E46" s="24" t="s">
        <v>76</v>
      </c>
      <c r="F46" s="26">
        <v>0</v>
      </c>
      <c r="G46" s="24">
        <v>0</v>
      </c>
      <c r="H46" s="24">
        <v>0</v>
      </c>
      <c r="I46" s="27"/>
      <c r="J46" s="27"/>
      <c r="K46" s="18" t="s">
        <v>96</v>
      </c>
      <c r="L46" s="1">
        <v>0.3</v>
      </c>
    </row>
    <row r="47" spans="1:12" x14ac:dyDescent="0.25">
      <c r="A47" s="19" t="s">
        <v>41</v>
      </c>
      <c r="B47" s="8">
        <v>1</v>
      </c>
      <c r="C47" s="8">
        <v>1</v>
      </c>
      <c r="D47" s="9">
        <f>EXP(G20*0.5)</f>
        <v>0.92790085677296363</v>
      </c>
      <c r="E47" s="25" t="s">
        <v>81</v>
      </c>
      <c r="F47" s="26">
        <v>1</v>
      </c>
      <c r="G47" s="24">
        <f>LN(D47)</f>
        <v>-7.4830387277203148E-2</v>
      </c>
      <c r="H47" s="24">
        <v>0.03</v>
      </c>
      <c r="I47" s="27">
        <f>EXP($G47-1.96*$H47)</f>
        <v>0.87491338396623741</v>
      </c>
      <c r="J47" s="27">
        <f>EXP($G47+1.96*$H47)</f>
        <v>0.98409741555996777</v>
      </c>
      <c r="K47" s="20" t="s">
        <v>91</v>
      </c>
      <c r="L47" s="1">
        <v>0.3</v>
      </c>
    </row>
    <row r="48" spans="1:12" x14ac:dyDescent="0.25">
      <c r="A48" s="19" t="s">
        <v>41</v>
      </c>
      <c r="B48" s="8">
        <v>1</v>
      </c>
      <c r="C48" s="8">
        <v>1</v>
      </c>
      <c r="D48" s="9">
        <f>EXP(LN(D47)*2)</f>
        <v>0.86099999999999999</v>
      </c>
      <c r="E48" s="25" t="s">
        <v>82</v>
      </c>
      <c r="F48" s="26">
        <v>2</v>
      </c>
      <c r="G48" s="24">
        <f>LN(D48)</f>
        <v>-0.14966077455440627</v>
      </c>
      <c r="H48" s="24">
        <f>H47*2</f>
        <v>0.06</v>
      </c>
      <c r="I48" s="27">
        <f>EXP($G48-1.96*$H48)</f>
        <v>0.7654734294432527</v>
      </c>
      <c r="J48" s="27">
        <f>EXP($G48+1.96*$H48)</f>
        <v>0.96844772331180795</v>
      </c>
      <c r="K48" s="20" t="s">
        <v>91</v>
      </c>
      <c r="L48" s="1">
        <v>0.2</v>
      </c>
    </row>
    <row r="49" spans="1:12" x14ac:dyDescent="0.25">
      <c r="A49" s="19" t="s">
        <v>41</v>
      </c>
      <c r="B49" s="8">
        <v>1</v>
      </c>
      <c r="C49" s="8">
        <v>1</v>
      </c>
      <c r="D49" s="9">
        <f>EXP(LN(D47)*3)</f>
        <v>0.79892263768152161</v>
      </c>
      <c r="E49" s="25" t="s">
        <v>83</v>
      </c>
      <c r="F49" s="26">
        <v>3</v>
      </c>
      <c r="G49" s="24">
        <f t="shared" ref="G49:G51" si="18">LN(D49)</f>
        <v>-0.2244911618316095</v>
      </c>
      <c r="H49" s="24">
        <f>H47*3</f>
        <v>0.09</v>
      </c>
      <c r="I49" s="27">
        <f t="shared" ref="I49:I55" si="19">EXP($G49-1.96*$H49)</f>
        <v>0.66972294849043701</v>
      </c>
      <c r="J49" s="27">
        <f>EXP($G49+1.96*$H49)</f>
        <v>0.95304690161608496</v>
      </c>
      <c r="K49" s="20" t="s">
        <v>91</v>
      </c>
      <c r="L49" s="1">
        <v>0.2</v>
      </c>
    </row>
    <row r="50" spans="1:12" ht="75" x14ac:dyDescent="0.25">
      <c r="A50" s="19" t="s">
        <v>113</v>
      </c>
      <c r="B50" s="8">
        <v>1</v>
      </c>
      <c r="C50" s="8">
        <v>1</v>
      </c>
      <c r="E50" s="25" t="s">
        <v>114</v>
      </c>
      <c r="F50" s="26">
        <v>0</v>
      </c>
      <c r="G50" s="24">
        <v>0</v>
      </c>
      <c r="H50" s="24">
        <v>0</v>
      </c>
      <c r="I50" s="27"/>
      <c r="J50" s="27"/>
      <c r="K50" s="7" t="s">
        <v>112</v>
      </c>
      <c r="L50" s="1">
        <v>0.95</v>
      </c>
    </row>
    <row r="51" spans="1:12" x14ac:dyDescent="0.25">
      <c r="A51" s="19" t="s">
        <v>113</v>
      </c>
      <c r="B51" s="8">
        <v>1</v>
      </c>
      <c r="C51" s="8">
        <v>1</v>
      </c>
      <c r="D51" s="9">
        <v>20</v>
      </c>
      <c r="E51" s="25" t="s">
        <v>115</v>
      </c>
      <c r="F51" s="26">
        <v>1</v>
      </c>
      <c r="G51" s="24">
        <f t="shared" si="18"/>
        <v>2.9957322735539909</v>
      </c>
      <c r="H51" s="24">
        <v>0.67</v>
      </c>
      <c r="I51" s="27">
        <f t="shared" si="19"/>
        <v>5.3791602442109063</v>
      </c>
      <c r="J51" s="27">
        <v>30</v>
      </c>
      <c r="K51" t="s">
        <v>91</v>
      </c>
      <c r="L51" s="1">
        <v>0.05</v>
      </c>
    </row>
    <row r="52" spans="1:12" ht="45" x14ac:dyDescent="0.25">
      <c r="A52" s="19" t="s">
        <v>42</v>
      </c>
      <c r="B52" s="8">
        <v>1</v>
      </c>
      <c r="C52" s="8">
        <v>1</v>
      </c>
      <c r="D52" s="9"/>
      <c r="E52" s="25" t="s">
        <v>85</v>
      </c>
      <c r="F52" s="26">
        <v>0</v>
      </c>
      <c r="G52" s="24">
        <v>0</v>
      </c>
      <c r="H52" s="24">
        <v>0</v>
      </c>
      <c r="I52" s="27"/>
      <c r="J52" s="27"/>
      <c r="K52" s="7" t="s">
        <v>108</v>
      </c>
      <c r="L52" s="1">
        <v>0.4</v>
      </c>
    </row>
    <row r="53" spans="1:12" x14ac:dyDescent="0.25">
      <c r="A53" s="19" t="s">
        <v>42</v>
      </c>
      <c r="B53" s="8">
        <v>1</v>
      </c>
      <c r="C53" s="8">
        <v>1</v>
      </c>
      <c r="D53" s="9">
        <f>1.11^2</f>
        <v>1.2321000000000002</v>
      </c>
      <c r="E53" s="25" t="s">
        <v>86</v>
      </c>
      <c r="F53" s="26">
        <v>1</v>
      </c>
      <c r="G53" s="24">
        <f t="shared" ref="G53:G55" si="20">LN(D53)</f>
        <v>0.20872003064848568</v>
      </c>
      <c r="H53" s="24">
        <f>0.046*2</f>
        <v>9.1999999999999998E-2</v>
      </c>
      <c r="I53" s="27">
        <f t="shared" si="19"/>
        <v>1.0288071565092001</v>
      </c>
      <c r="J53" s="27">
        <f t="shared" ref="J53:J55" si="21">EXP($G53+1.96*$H53)</f>
        <v>1.4755636179193174</v>
      </c>
      <c r="K53" s="20" t="s">
        <v>91</v>
      </c>
      <c r="L53" s="1">
        <v>0.3</v>
      </c>
    </row>
    <row r="54" spans="1:12" x14ac:dyDescent="0.25">
      <c r="A54" s="19" t="s">
        <v>42</v>
      </c>
      <c r="B54" s="8">
        <v>1</v>
      </c>
      <c r="C54" s="8">
        <v>1</v>
      </c>
      <c r="D54" s="9">
        <f>1.11^5</f>
        <v>1.6850581551000006</v>
      </c>
      <c r="E54" s="25" t="s">
        <v>87</v>
      </c>
      <c r="F54" s="26">
        <v>2</v>
      </c>
      <c r="G54" s="24">
        <f t="shared" si="20"/>
        <v>0.52180007662121419</v>
      </c>
      <c r="H54" s="24">
        <f>0.046*5</f>
        <v>0.22999999999999998</v>
      </c>
      <c r="I54" s="27">
        <f t="shared" si="19"/>
        <v>1.0735813081274577</v>
      </c>
      <c r="J54" s="27">
        <f t="shared" si="21"/>
        <v>2.6448122415819073</v>
      </c>
      <c r="K54" s="20" t="s">
        <v>91</v>
      </c>
      <c r="L54" s="1">
        <v>0.2</v>
      </c>
    </row>
    <row r="55" spans="1:12" x14ac:dyDescent="0.25">
      <c r="A55" s="19" t="s">
        <v>42</v>
      </c>
      <c r="B55" s="8">
        <v>1</v>
      </c>
      <c r="C55" s="8">
        <v>1</v>
      </c>
      <c r="D55" s="9">
        <f>1.11^8</f>
        <v>2.3045377697175695</v>
      </c>
      <c r="E55" s="25" t="s">
        <v>88</v>
      </c>
      <c r="F55" s="26">
        <v>3</v>
      </c>
      <c r="G55" s="24">
        <f t="shared" si="20"/>
        <v>0.83488012259394273</v>
      </c>
      <c r="H55" s="24">
        <f>0.046*8</f>
        <v>0.36799999999999999</v>
      </c>
      <c r="I55" s="27">
        <f t="shared" si="19"/>
        <v>1.1203040510248983</v>
      </c>
      <c r="J55" s="27">
        <f t="shared" si="21"/>
        <v>4.7405829936937343</v>
      </c>
      <c r="K55" s="20" t="s">
        <v>91</v>
      </c>
      <c r="L55" s="1">
        <v>0.1</v>
      </c>
    </row>
    <row r="58" spans="1:12" x14ac:dyDescent="0.25">
      <c r="F5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workbookViewId="0">
      <selection activeCell="B37" sqref="B37"/>
    </sheetView>
  </sheetViews>
  <sheetFormatPr defaultRowHeight="15" x14ac:dyDescent="0.25"/>
  <cols>
    <col min="1" max="1" width="15.28515625" bestFit="1" customWidth="1"/>
    <col min="2" max="2" width="11.85546875" bestFit="1" customWidth="1"/>
    <col min="3" max="3" width="11.85546875" hidden="1" customWidth="1"/>
    <col min="4" max="4" width="12" customWidth="1"/>
    <col min="5" max="5" width="11.140625" customWidth="1"/>
    <col min="6" max="8" width="12.5703125" customWidth="1"/>
    <col min="9" max="9" width="7.140625" customWidth="1"/>
    <col min="11" max="11" width="14.42578125" bestFit="1" customWidth="1"/>
    <col min="12" max="12" width="17.42578125" customWidth="1"/>
    <col min="13" max="13" width="6.28515625" style="12" customWidth="1"/>
    <col min="14" max="14" width="32.140625" customWidth="1"/>
  </cols>
  <sheetData>
    <row r="1" spans="1:14" x14ac:dyDescent="0.25">
      <c r="A1" t="s">
        <v>38</v>
      </c>
      <c r="B1" s="8" t="s">
        <v>100</v>
      </c>
      <c r="C1" s="8" t="s">
        <v>49</v>
      </c>
      <c r="D1" t="s">
        <v>47</v>
      </c>
      <c r="E1" t="s">
        <v>48</v>
      </c>
      <c r="F1" t="s">
        <v>50</v>
      </c>
      <c r="G1" t="s">
        <v>51</v>
      </c>
      <c r="H1" t="s">
        <v>52</v>
      </c>
      <c r="I1" s="12"/>
      <c r="J1" t="s">
        <v>53</v>
      </c>
      <c r="K1" t="s">
        <v>54</v>
      </c>
      <c r="L1" t="s">
        <v>55</v>
      </c>
      <c r="N1" s="8" t="s">
        <v>39</v>
      </c>
    </row>
    <row r="2" spans="1:14" x14ac:dyDescent="0.25">
      <c r="A2" s="23" t="s">
        <v>99</v>
      </c>
      <c r="B2" s="8"/>
      <c r="C2" s="8"/>
      <c r="I2" s="12"/>
      <c r="N2" s="8"/>
    </row>
    <row r="3" spans="1:14" x14ac:dyDescent="0.25">
      <c r="A3" t="s">
        <v>37</v>
      </c>
      <c r="B3" s="9">
        <v>0.11</v>
      </c>
      <c r="C3" s="9">
        <f>LN(B3)</f>
        <v>-2.2072749131897207</v>
      </c>
      <c r="F3" s="13">
        <v>1E-3</v>
      </c>
      <c r="G3" s="13">
        <f xml:space="preserve"> -0.862 + SQRT(0.743-2.404*LN(F3))</f>
        <v>3.3032423327668532</v>
      </c>
      <c r="H3" s="13">
        <f>ABS(LN(B3) / G3)</f>
        <v>0.66821464816384479</v>
      </c>
      <c r="I3" s="14"/>
      <c r="J3" s="13"/>
      <c r="K3" s="13"/>
      <c r="L3" s="13"/>
      <c r="N3" s="9">
        <v>0.5</v>
      </c>
    </row>
    <row r="4" spans="1:14" x14ac:dyDescent="0.25">
      <c r="A4" t="s">
        <v>0</v>
      </c>
      <c r="B4" s="9">
        <v>0.25</v>
      </c>
      <c r="C4" s="9">
        <f t="shared" ref="C4:C15" si="0">LN(B4)</f>
        <v>-1.3862943611198906</v>
      </c>
      <c r="F4" s="13">
        <v>1E-3</v>
      </c>
      <c r="G4" s="13">
        <f t="shared" ref="G4:G17" si="1" xml:space="preserve"> -0.862 + SQRT(0.743-2.404*LN(F4))</f>
        <v>3.3032423327668532</v>
      </c>
      <c r="H4" s="13">
        <f t="shared" ref="H4:H6" si="2">ABS(LN(B4) / G4)</f>
        <v>0.41967685730120391</v>
      </c>
      <c r="I4" s="14"/>
      <c r="J4" s="13"/>
      <c r="K4" s="13"/>
      <c r="L4" s="13"/>
      <c r="N4" s="9">
        <v>1</v>
      </c>
    </row>
    <row r="5" spans="1:14" x14ac:dyDescent="0.25">
      <c r="A5" t="s">
        <v>1</v>
      </c>
      <c r="B5" s="9">
        <v>1</v>
      </c>
      <c r="C5" s="9">
        <f t="shared" si="0"/>
        <v>0</v>
      </c>
      <c r="F5" s="13">
        <v>1E-4</v>
      </c>
      <c r="G5" s="13">
        <f t="shared" si="1"/>
        <v>3.9217912009441571</v>
      </c>
      <c r="H5" s="13">
        <f t="shared" si="2"/>
        <v>0</v>
      </c>
      <c r="I5" s="14"/>
      <c r="J5" s="13"/>
      <c r="K5" s="13"/>
      <c r="L5" s="13"/>
    </row>
    <row r="6" spans="1:14" x14ac:dyDescent="0.25">
      <c r="A6" t="s">
        <v>2</v>
      </c>
      <c r="B6" s="9">
        <v>2.1</v>
      </c>
      <c r="C6" s="9">
        <f t="shared" si="0"/>
        <v>0.74193734472937733</v>
      </c>
      <c r="D6">
        <v>1.1399999999999999</v>
      </c>
      <c r="E6">
        <v>3.79</v>
      </c>
      <c r="F6" s="16">
        <f t="shared" ref="F6:F11" si="3">L6</f>
        <v>1.5390074361017048E-2</v>
      </c>
      <c r="G6" s="13">
        <f t="shared" si="1"/>
        <v>2.4208911234582171</v>
      </c>
      <c r="H6" s="16">
        <f t="shared" si="2"/>
        <v>0.30647282628288042</v>
      </c>
      <c r="I6" s="14"/>
      <c r="J6" s="13">
        <f t="shared" ref="J6:J11" si="4">(LN(E6) - LN(D6))/(2*1.96)</f>
        <v>0.3064637134407987</v>
      </c>
      <c r="K6" s="13">
        <f t="shared" ref="K6:K11" si="5">ABS(LN(B6)/J6)</f>
        <v>2.4209631097898363</v>
      </c>
      <c r="L6" s="13">
        <f t="shared" ref="L6:L11" si="6">EXP(-0.717*K6 - 0.416*K6^2)</f>
        <v>1.5390074361017048E-2</v>
      </c>
    </row>
    <row r="7" spans="1:14" x14ac:dyDescent="0.25">
      <c r="A7" t="s">
        <v>3</v>
      </c>
      <c r="B7" s="9">
        <v>1.96</v>
      </c>
      <c r="C7" s="9">
        <f t="shared" si="0"/>
        <v>0.67294447324242579</v>
      </c>
      <c r="D7">
        <v>1.64</v>
      </c>
      <c r="E7">
        <v>2.34</v>
      </c>
      <c r="F7" s="13">
        <f t="shared" si="3"/>
        <v>5.4789870504389108E-13</v>
      </c>
      <c r="G7" s="13">
        <f t="shared" si="1"/>
        <v>7.4213795682403099</v>
      </c>
      <c r="H7" s="13">
        <f t="shared" ref="H7" si="7">ABS(LN(B7) / G7)</f>
        <v>9.0676466154929233E-2</v>
      </c>
      <c r="I7" s="14"/>
      <c r="J7" s="13">
        <f t="shared" si="4"/>
        <v>9.0677216207526279E-2</v>
      </c>
      <c r="K7" s="13">
        <f t="shared" si="5"/>
        <v>7.4213181809894477</v>
      </c>
      <c r="L7" s="13">
        <f t="shared" si="6"/>
        <v>5.4789870504389108E-13</v>
      </c>
    </row>
    <row r="8" spans="1:14" x14ac:dyDescent="0.25">
      <c r="A8" t="s">
        <v>4</v>
      </c>
      <c r="B8" s="9">
        <v>1.54</v>
      </c>
      <c r="C8" s="9">
        <f t="shared" si="0"/>
        <v>0.43178241642553783</v>
      </c>
      <c r="D8">
        <v>1.26</v>
      </c>
      <c r="E8">
        <v>1.88</v>
      </c>
      <c r="F8" s="13">
        <f t="shared" si="3"/>
        <v>2.822213376398165E-5</v>
      </c>
      <c r="G8" s="13">
        <f t="shared" si="1"/>
        <v>4.2297454003840445</v>
      </c>
      <c r="H8" s="13">
        <f t="shared" ref="H8" si="8">ABS(LN(B8) / G8)</f>
        <v>0.10208236561622212</v>
      </c>
      <c r="I8" s="14"/>
      <c r="J8" s="13">
        <f t="shared" si="4"/>
        <v>0.10208164690777326</v>
      </c>
      <c r="K8" s="13">
        <f t="shared" si="5"/>
        <v>4.2297751800148387</v>
      </c>
      <c r="L8" s="13">
        <f t="shared" si="6"/>
        <v>2.822213376398165E-5</v>
      </c>
    </row>
    <row r="9" spans="1:14" x14ac:dyDescent="0.25">
      <c r="A9" t="s">
        <v>40</v>
      </c>
      <c r="B9" s="9">
        <v>2.76</v>
      </c>
      <c r="C9" s="9">
        <f t="shared" si="0"/>
        <v>1.0152306797290584</v>
      </c>
      <c r="D9" s="1">
        <v>1.8069999999999999</v>
      </c>
      <c r="E9" s="1">
        <v>4.2140000000000004</v>
      </c>
      <c r="F9" s="13">
        <f t="shared" si="3"/>
        <v>3.5118310467124324E-6</v>
      </c>
      <c r="G9" s="13">
        <f t="shared" si="1"/>
        <v>4.6999899918848511</v>
      </c>
      <c r="H9" s="13">
        <f t="shared" ref="H9:H11" si="9">ABS(LN(B9) / G9)</f>
        <v>0.21600698756422615</v>
      </c>
      <c r="I9" s="14"/>
      <c r="J9" s="13">
        <f t="shared" si="4"/>
        <v>0.21600619994181278</v>
      </c>
      <c r="K9" s="13">
        <f t="shared" si="5"/>
        <v>4.7000071294367425</v>
      </c>
      <c r="L9" s="13">
        <f t="shared" si="6"/>
        <v>3.5118310467124324E-6</v>
      </c>
    </row>
    <row r="10" spans="1:14" x14ac:dyDescent="0.25">
      <c r="A10" t="s">
        <v>5</v>
      </c>
      <c r="B10" s="9">
        <v>0.4</v>
      </c>
      <c r="C10" s="9">
        <f t="shared" si="0"/>
        <v>-0.916290731874155</v>
      </c>
      <c r="D10">
        <v>0.24</v>
      </c>
      <c r="E10">
        <v>0.67</v>
      </c>
      <c r="F10" s="13">
        <f t="shared" si="3"/>
        <v>5.0013300493969876E-4</v>
      </c>
      <c r="G10" s="13">
        <f t="shared" si="1"/>
        <v>3.4986112083088816</v>
      </c>
      <c r="H10" s="13">
        <f t="shared" si="9"/>
        <v>0.26190127376773054</v>
      </c>
      <c r="I10" s="14"/>
      <c r="J10" s="13">
        <f t="shared" si="4"/>
        <v>0.2618976502660767</v>
      </c>
      <c r="K10" s="13">
        <f t="shared" si="5"/>
        <v>3.4986596135675261</v>
      </c>
      <c r="L10" s="13">
        <f t="shared" si="6"/>
        <v>5.0013300493969876E-4</v>
      </c>
    </row>
    <row r="11" spans="1:14" x14ac:dyDescent="0.25">
      <c r="A11" t="s">
        <v>46</v>
      </c>
      <c r="B11" s="9">
        <v>0.72</v>
      </c>
      <c r="C11" s="9">
        <f t="shared" si="0"/>
        <v>-0.3285040669720361</v>
      </c>
      <c r="D11" s="1">
        <v>0.6</v>
      </c>
      <c r="E11">
        <v>0.86</v>
      </c>
      <c r="F11" s="13">
        <f t="shared" si="3"/>
        <v>3.7542092837938813E-4</v>
      </c>
      <c r="G11" s="13">
        <f t="shared" si="1"/>
        <v>3.5769706348107313</v>
      </c>
      <c r="H11" s="13">
        <f t="shared" si="9"/>
        <v>9.1838625616622732E-2</v>
      </c>
      <c r="I11" s="14"/>
      <c r="J11" s="13">
        <f t="shared" si="4"/>
        <v>9.1837432150869147E-2</v>
      </c>
      <c r="K11" s="13">
        <f t="shared" si="5"/>
        <v>3.5770171190367623</v>
      </c>
      <c r="L11" s="13">
        <f t="shared" si="6"/>
        <v>3.7542092837938813E-4</v>
      </c>
    </row>
    <row r="12" spans="1:14" x14ac:dyDescent="0.25">
      <c r="A12" t="s">
        <v>41</v>
      </c>
      <c r="B12" s="9">
        <v>0.86099999999999999</v>
      </c>
      <c r="C12" s="9">
        <f t="shared" si="0"/>
        <v>-0.14966077455440627</v>
      </c>
      <c r="F12" s="13">
        <v>0.01</v>
      </c>
      <c r="G12" s="13">
        <f t="shared" si="1"/>
        <v>2.5751251253213594</v>
      </c>
      <c r="H12" s="13">
        <f t="shared" ref="H12" si="10">ABS(LN(B12) / G12)</f>
        <v>5.811786506324796E-2</v>
      </c>
      <c r="I12" s="14"/>
      <c r="J12" s="13"/>
      <c r="K12" s="13"/>
      <c r="L12" s="13"/>
    </row>
    <row r="13" spans="1:14" x14ac:dyDescent="0.25">
      <c r="A13" t="s">
        <v>42</v>
      </c>
      <c r="B13" s="9">
        <v>1</v>
      </c>
      <c r="C13" s="9">
        <f t="shared" si="0"/>
        <v>0</v>
      </c>
      <c r="F13" s="13">
        <v>1E-4</v>
      </c>
      <c r="G13" s="13">
        <f t="shared" si="1"/>
        <v>3.9217912009441571</v>
      </c>
      <c r="H13" s="13">
        <f t="shared" ref="H13:H15" si="11">ABS(LN(B13) / G13)</f>
        <v>0</v>
      </c>
      <c r="I13" s="14"/>
      <c r="J13" s="13"/>
      <c r="K13" s="13"/>
      <c r="L13" s="13"/>
    </row>
    <row r="14" spans="1:14" x14ac:dyDescent="0.25">
      <c r="A14" t="s">
        <v>109</v>
      </c>
      <c r="B14" s="9">
        <v>1</v>
      </c>
      <c r="C14" s="9">
        <f t="shared" si="0"/>
        <v>0</v>
      </c>
      <c r="F14" s="13">
        <v>1E-4</v>
      </c>
      <c r="G14" s="13">
        <f t="shared" si="1"/>
        <v>3.9217912009441571</v>
      </c>
      <c r="H14" s="13">
        <f t="shared" si="11"/>
        <v>0</v>
      </c>
      <c r="I14" s="14"/>
      <c r="J14" s="13"/>
      <c r="K14" s="13"/>
      <c r="L14" s="13"/>
    </row>
    <row r="15" spans="1:14" x14ac:dyDescent="0.25">
      <c r="A15" t="s">
        <v>110</v>
      </c>
      <c r="B15" s="9">
        <v>1</v>
      </c>
      <c r="C15" s="9">
        <f t="shared" si="0"/>
        <v>0</v>
      </c>
      <c r="F15" s="13">
        <v>1E-4</v>
      </c>
      <c r="G15" s="13">
        <f t="shared" si="1"/>
        <v>3.9217912009441571</v>
      </c>
      <c r="H15" s="13">
        <f t="shared" si="11"/>
        <v>0</v>
      </c>
      <c r="I15" s="14"/>
      <c r="J15" s="13"/>
      <c r="K15" s="13"/>
      <c r="L15" s="13"/>
    </row>
    <row r="16" spans="1:14" x14ac:dyDescent="0.25">
      <c r="I16" s="12"/>
    </row>
    <row r="17" spans="1:12" x14ac:dyDescent="0.25">
      <c r="A17" t="s">
        <v>57</v>
      </c>
      <c r="B17">
        <v>4.8099999999999996</v>
      </c>
      <c r="D17">
        <v>3.39</v>
      </c>
      <c r="E17">
        <v>6.82</v>
      </c>
      <c r="F17" s="13">
        <f>L17</f>
        <v>1.7402818588210062E-17</v>
      </c>
      <c r="G17" s="13">
        <f t="shared" si="1"/>
        <v>8.8082181144523588</v>
      </c>
      <c r="H17" s="13">
        <f t="shared" ref="H17" si="12">ABS(LN(B17) / G17)</f>
        <v>0.17832177447337497</v>
      </c>
      <c r="I17" s="12"/>
      <c r="J17" s="13">
        <f t="shared" ref="J17" si="13">(LN(E17) - LN(D17))/(2*1.96)</f>
        <v>0.1783238649140336</v>
      </c>
      <c r="K17" s="13">
        <f t="shared" ref="K17" si="14">ABS(LN(B17)/J17)</f>
        <v>8.8081148581816109</v>
      </c>
      <c r="L17" s="13">
        <f t="shared" ref="L17" si="15">EXP(-0.717*K17 - 0.416*K17^2)</f>
        <v>1.7402818588210062E-17</v>
      </c>
    </row>
    <row r="18" spans="1:12" x14ac:dyDescent="0.25">
      <c r="I18" s="12"/>
    </row>
    <row r="19" spans="1:12" x14ac:dyDescent="0.25">
      <c r="A19" t="s">
        <v>2</v>
      </c>
      <c r="B19" s="9">
        <v>2.1</v>
      </c>
      <c r="C19" s="9">
        <f t="shared" ref="C19" si="16">LN(B19)</f>
        <v>0.74193734472937733</v>
      </c>
      <c r="D19">
        <v>1.1399999999999999</v>
      </c>
      <c r="E19">
        <v>3.79</v>
      </c>
      <c r="F19" s="15">
        <f>L17</f>
        <v>1.7402818588210062E-17</v>
      </c>
      <c r="G19" s="13">
        <f t="shared" ref="G19" si="17" xml:space="preserve"> -0.862 + SQRT(0.743-2.404*LN(F19))</f>
        <v>8.8082181144523588</v>
      </c>
      <c r="H19" s="15">
        <f t="shared" ref="H19" si="18">ABS(LN(B19) / G19)</f>
        <v>8.4232399230897842E-2</v>
      </c>
      <c r="I19" s="14"/>
      <c r="J19" s="13"/>
      <c r="K19" s="13"/>
      <c r="L19" s="13"/>
    </row>
    <row r="20" spans="1:12" x14ac:dyDescent="0.25">
      <c r="I20" s="12"/>
    </row>
    <row r="21" spans="1:12" x14ac:dyDescent="0.25">
      <c r="A21" t="s">
        <v>58</v>
      </c>
      <c r="B21">
        <v>0.9</v>
      </c>
      <c r="F21" s="13">
        <v>5.9999999999999995E-4</v>
      </c>
      <c r="G21" s="13">
        <f xml:space="preserve"> -0.862 + SQRT(0.743-2.404*LN(F21))</f>
        <v>3.4481355535767664</v>
      </c>
      <c r="H21" s="13">
        <f>ABS((B21) / G21)</f>
        <v>0.2610106203819122</v>
      </c>
      <c r="I21" s="12"/>
      <c r="J21" s="2">
        <f>(B21/B22)*J22</f>
        <v>7.9393999321037412E-2</v>
      </c>
    </row>
    <row r="22" spans="1:12" x14ac:dyDescent="0.25">
      <c r="A22" t="s">
        <v>59</v>
      </c>
      <c r="B22">
        <v>0.78700000000000003</v>
      </c>
      <c r="D22">
        <v>0.66500000000000004</v>
      </c>
      <c r="E22">
        <v>0.873</v>
      </c>
      <c r="F22" s="13">
        <f>L22</f>
        <v>5.9584339689842968E-4</v>
      </c>
      <c r="G22" s="13">
        <f xml:space="preserve"> -0.862 + SQRT(0.743-2.404*LN(F22))</f>
        <v>3.4500738129427893</v>
      </c>
      <c r="H22" s="13">
        <f>ABS((B22) / G22)</f>
        <v>0.22811106158007596</v>
      </c>
      <c r="I22" s="12"/>
      <c r="J22" s="17">
        <f t="shared" ref="J22" si="19">(LN(E22) - LN(D22))/(2*1.96)</f>
        <v>6.9425641628507159E-2</v>
      </c>
      <c r="K22" s="13">
        <f t="shared" ref="K22" si="20">ABS(LN(B22)/J22)</f>
        <v>3.4501233974390892</v>
      </c>
      <c r="L22" s="13">
        <f t="shared" ref="L22" si="21">EXP(-0.717*K22 - 0.416*K22^2)</f>
        <v>5.9584339689842968E-4</v>
      </c>
    </row>
    <row r="23" spans="1:12" x14ac:dyDescent="0.25">
      <c r="I23" s="12"/>
    </row>
    <row r="24" spans="1:12" x14ac:dyDescent="0.25">
      <c r="A24" s="23" t="s">
        <v>60</v>
      </c>
      <c r="I24" s="12"/>
    </row>
    <row r="25" spans="1:12" x14ac:dyDescent="0.25">
      <c r="I25" s="12"/>
    </row>
    <row r="26" spans="1:12" x14ac:dyDescent="0.25">
      <c r="A26" t="s">
        <v>1</v>
      </c>
      <c r="B26" s="9">
        <v>1.03</v>
      </c>
      <c r="C26" s="9" t="e">
        <f>LN(#REF!)</f>
        <v>#REF!</v>
      </c>
      <c r="F26" s="13">
        <v>1E-4</v>
      </c>
      <c r="G26" s="13">
        <f t="shared" ref="G26" si="22" xml:space="preserve"> -0.862 + SQRT(0.743-2.404*LN(F26))</f>
        <v>3.9217912009441571</v>
      </c>
      <c r="H26" s="13">
        <f t="shared" ref="H26:H36" si="23">ABS(LN(B26) / G26)</f>
        <v>7.53706679601613E-3</v>
      </c>
      <c r="I26" s="14"/>
      <c r="J26" s="13"/>
      <c r="K26" s="13"/>
      <c r="L26" s="13"/>
    </row>
    <row r="27" spans="1:12" x14ac:dyDescent="0.25">
      <c r="A27" t="s">
        <v>2</v>
      </c>
      <c r="B27" s="9">
        <v>1.28</v>
      </c>
      <c r="C27" s="9" t="e">
        <f>LN(#REF!)</f>
        <v>#REF!</v>
      </c>
      <c r="F27" s="13">
        <v>1E-4</v>
      </c>
      <c r="G27" s="13">
        <f t="shared" ref="G27:G36" si="24" xml:space="preserve"> -0.862 + SQRT(0.743-2.404*LN(F27))</f>
        <v>3.9217912009441571</v>
      </c>
      <c r="H27" s="13">
        <f t="shared" si="23"/>
        <v>6.2945747308550015E-2</v>
      </c>
      <c r="I27" s="14"/>
      <c r="J27" s="13"/>
      <c r="K27" s="13"/>
      <c r="L27" s="13"/>
    </row>
    <row r="28" spans="1:12" x14ac:dyDescent="0.25">
      <c r="A28" t="s">
        <v>3</v>
      </c>
      <c r="B28" s="9">
        <v>1.6</v>
      </c>
      <c r="C28" s="9" t="e">
        <f>LN(#REF!)</f>
        <v>#REF!</v>
      </c>
      <c r="F28" s="13">
        <v>1E-4</v>
      </c>
      <c r="G28" s="13">
        <f t="shared" si="24"/>
        <v>3.9217912009441571</v>
      </c>
      <c r="H28" s="13">
        <f t="shared" si="23"/>
        <v>0.11984412355573237</v>
      </c>
      <c r="I28" s="14"/>
      <c r="J28" s="13"/>
      <c r="K28" s="13"/>
      <c r="L28" s="13"/>
    </row>
    <row r="29" spans="1:12" x14ac:dyDescent="0.25">
      <c r="A29" t="s">
        <v>4</v>
      </c>
      <c r="B29" s="9">
        <v>1.3</v>
      </c>
      <c r="C29" s="9" t="e">
        <f>LN(#REF!)</f>
        <v>#REF!</v>
      </c>
      <c r="F29" s="13">
        <v>3.4000000000000002E-2</v>
      </c>
      <c r="G29" s="13">
        <f t="shared" si="24"/>
        <v>2.1165689499314611</v>
      </c>
      <c r="H29" s="13">
        <f t="shared" si="23"/>
        <v>0.12395734354696404</v>
      </c>
      <c r="I29" s="14"/>
      <c r="J29" s="13"/>
      <c r="K29" s="13"/>
      <c r="L29" s="13"/>
    </row>
    <row r="30" spans="1:12" x14ac:dyDescent="0.25">
      <c r="A30" t="s">
        <v>40</v>
      </c>
      <c r="B30" s="9">
        <v>1.36</v>
      </c>
      <c r="C30" s="9" t="e">
        <f>LN(#REF!)</f>
        <v>#REF!</v>
      </c>
      <c r="D30" s="1"/>
      <c r="E30" s="1"/>
      <c r="F30" s="13">
        <v>1E-4</v>
      </c>
      <c r="G30" s="13">
        <f t="shared" si="24"/>
        <v>3.9217912009441571</v>
      </c>
      <c r="H30" s="13">
        <f t="shared" si="23"/>
        <v>7.8404148511000499E-2</v>
      </c>
      <c r="I30" s="14"/>
      <c r="J30" s="13"/>
      <c r="K30" s="13"/>
      <c r="L30" s="13"/>
    </row>
    <row r="31" spans="1:12" x14ac:dyDescent="0.25">
      <c r="A31" t="s">
        <v>5</v>
      </c>
      <c r="B31" s="9">
        <v>0.6</v>
      </c>
      <c r="C31" s="9" t="e">
        <f>LN(#REF!)</f>
        <v>#REF!</v>
      </c>
      <c r="F31" s="13">
        <v>1E-4</v>
      </c>
      <c r="G31" s="13">
        <f t="shared" si="24"/>
        <v>3.9217912009441571</v>
      </c>
      <c r="H31" s="13">
        <f t="shared" si="23"/>
        <v>0.13025314138167562</v>
      </c>
      <c r="I31" s="14"/>
      <c r="J31" s="13"/>
      <c r="K31" s="13"/>
      <c r="L31" s="13"/>
    </row>
    <row r="32" spans="1:12" x14ac:dyDescent="0.25">
      <c r="A32" t="s">
        <v>46</v>
      </c>
      <c r="B32" s="9">
        <v>0.61</v>
      </c>
      <c r="C32" s="9" t="e">
        <f>LN(#REF!)</f>
        <v>#REF!</v>
      </c>
      <c r="D32" s="1"/>
      <c r="F32" s="13">
        <v>2E-3</v>
      </c>
      <c r="G32" s="13">
        <f t="shared" si="24"/>
        <v>3.0981663940555513</v>
      </c>
      <c r="H32" s="13">
        <f t="shared" si="23"/>
        <v>0.15954479487066478</v>
      </c>
      <c r="I32" s="14"/>
      <c r="J32" s="13"/>
      <c r="K32" s="13"/>
      <c r="L32" s="13"/>
    </row>
    <row r="33" spans="1:12" x14ac:dyDescent="0.25">
      <c r="A33" t="s">
        <v>41</v>
      </c>
      <c r="B33" s="9">
        <v>0.93</v>
      </c>
      <c r="C33" s="9" t="e">
        <f>LN(#REF!)</f>
        <v>#REF!</v>
      </c>
      <c r="F33" s="13">
        <v>0.01</v>
      </c>
      <c r="G33" s="13">
        <f t="shared" si="24"/>
        <v>2.5751251253213594</v>
      </c>
      <c r="H33" s="13">
        <f t="shared" si="23"/>
        <v>2.8181423932081361E-2</v>
      </c>
      <c r="I33" s="14"/>
      <c r="J33" s="13"/>
      <c r="K33" s="13"/>
      <c r="L33" s="13"/>
    </row>
    <row r="34" spans="1:12" x14ac:dyDescent="0.25">
      <c r="A34" t="s">
        <v>42</v>
      </c>
      <c r="B34" s="10">
        <v>1.1200000000000001</v>
      </c>
      <c r="C34" s="9" t="e">
        <f>LN(#REF!)</f>
        <v>#REF!</v>
      </c>
      <c r="F34" s="13">
        <v>1.2999999999999999E-2</v>
      </c>
      <c r="G34" s="13">
        <f t="shared" si="24"/>
        <v>2.4821150451704743</v>
      </c>
      <c r="H34" s="13">
        <f t="shared" si="23"/>
        <v>4.5658111426990576E-2</v>
      </c>
      <c r="I34" s="14"/>
      <c r="J34" s="13"/>
      <c r="K34" s="13"/>
      <c r="L34" s="13"/>
    </row>
    <row r="35" spans="1:12" x14ac:dyDescent="0.25">
      <c r="A35" t="s">
        <v>109</v>
      </c>
      <c r="B35" s="10">
        <v>20</v>
      </c>
      <c r="C35" s="9" t="e">
        <f>LN(#REF!)</f>
        <v>#REF!</v>
      </c>
      <c r="F35" s="13">
        <v>1.0000000000000001E-5</v>
      </c>
      <c r="G35" s="13">
        <f t="shared" si="24"/>
        <v>4.4690480037032518</v>
      </c>
      <c r="H35" s="13">
        <f t="shared" si="23"/>
        <v>0.67032895396773406</v>
      </c>
      <c r="I35" s="14"/>
      <c r="J35" s="13"/>
      <c r="K35" s="13"/>
      <c r="L35" s="13"/>
    </row>
    <row r="36" spans="1:12" x14ac:dyDescent="0.25">
      <c r="A36" t="s">
        <v>110</v>
      </c>
      <c r="B36" s="9">
        <v>3.9</v>
      </c>
      <c r="C36" s="9" t="e">
        <f>LN(#REF!)</f>
        <v>#REF!</v>
      </c>
      <c r="F36" s="13">
        <v>1E-4</v>
      </c>
      <c r="G36" s="13">
        <f t="shared" si="24"/>
        <v>3.9217912009441571</v>
      </c>
      <c r="H36" s="13">
        <f t="shared" si="23"/>
        <v>0.34702932496965938</v>
      </c>
      <c r="I36" s="14"/>
      <c r="J36" s="13"/>
      <c r="K36" s="13"/>
      <c r="L36" s="13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D51" sqref="D51"/>
    </sheetView>
  </sheetViews>
  <sheetFormatPr defaultRowHeight="15" x14ac:dyDescent="0.25"/>
  <cols>
    <col min="1" max="1" width="14.42578125" customWidth="1"/>
    <col min="4" max="4" width="4.5703125" customWidth="1"/>
  </cols>
  <sheetData>
    <row r="1" spans="1:7" x14ac:dyDescent="0.25">
      <c r="A1" t="s">
        <v>8</v>
      </c>
    </row>
    <row r="2" spans="1:7" x14ac:dyDescent="0.25">
      <c r="A2" s="2" t="s">
        <v>9</v>
      </c>
      <c r="B2" t="s">
        <v>10</v>
      </c>
      <c r="E2" t="s">
        <v>11</v>
      </c>
    </row>
    <row r="3" spans="1:7" x14ac:dyDescent="0.25">
      <c r="B3" t="s">
        <v>12</v>
      </c>
      <c r="C3" t="s">
        <v>13</v>
      </c>
      <c r="E3" t="s">
        <v>14</v>
      </c>
      <c r="F3">
        <v>60</v>
      </c>
      <c r="G3" s="2" t="s">
        <v>15</v>
      </c>
    </row>
    <row r="4" spans="1:7" x14ac:dyDescent="0.25">
      <c r="A4" t="s">
        <v>16</v>
      </c>
      <c r="B4">
        <v>1</v>
      </c>
      <c r="C4" s="3">
        <v>1</v>
      </c>
      <c r="E4">
        <v>20.9</v>
      </c>
      <c r="F4">
        <v>25.3</v>
      </c>
      <c r="G4" s="4">
        <f>(E4+F4)/2</f>
        <v>23.1</v>
      </c>
    </row>
    <row r="5" spans="1:7" x14ac:dyDescent="0.25">
      <c r="A5" t="s">
        <v>17</v>
      </c>
      <c r="B5">
        <v>1.54</v>
      </c>
      <c r="C5" s="3">
        <v>1.48</v>
      </c>
      <c r="E5">
        <v>38</v>
      </c>
      <c r="F5">
        <v>42.9</v>
      </c>
      <c r="G5" s="4">
        <f t="shared" ref="G5:G8" si="0">(E5+F5)/2</f>
        <v>40.450000000000003</v>
      </c>
    </row>
    <row r="6" spans="1:7" x14ac:dyDescent="0.25">
      <c r="A6" t="s">
        <v>18</v>
      </c>
      <c r="B6">
        <v>2.39</v>
      </c>
      <c r="C6" s="3">
        <f>C$5^2</f>
        <v>2.1903999999999999</v>
      </c>
      <c r="E6">
        <v>28.9</v>
      </c>
      <c r="F6">
        <v>20.6</v>
      </c>
      <c r="G6" s="4">
        <f t="shared" si="0"/>
        <v>24.75</v>
      </c>
    </row>
    <row r="7" spans="1:7" x14ac:dyDescent="0.25">
      <c r="A7" t="s">
        <v>19</v>
      </c>
      <c r="B7">
        <v>2.79</v>
      </c>
      <c r="C7" s="3">
        <f>C$5^3</f>
        <v>3.2417919999999998</v>
      </c>
      <c r="E7">
        <v>6.8</v>
      </c>
      <c r="F7">
        <v>7.1</v>
      </c>
      <c r="G7" s="4">
        <f t="shared" si="0"/>
        <v>6.9499999999999993</v>
      </c>
    </row>
    <row r="8" spans="1:7" x14ac:dyDescent="0.25">
      <c r="A8" t="s">
        <v>20</v>
      </c>
      <c r="B8">
        <v>4.76</v>
      </c>
      <c r="C8" s="3">
        <f>C$5^4</f>
        <v>4.7978521599999997</v>
      </c>
      <c r="E8">
        <v>5.4</v>
      </c>
      <c r="F8">
        <v>4.0999999999999996</v>
      </c>
      <c r="G8" s="4">
        <f t="shared" si="0"/>
        <v>4.75</v>
      </c>
    </row>
    <row r="10" spans="1:7" x14ac:dyDescent="0.25">
      <c r="A10" s="2" t="s">
        <v>21</v>
      </c>
    </row>
    <row r="11" spans="1:7" x14ac:dyDescent="0.25">
      <c r="A11" t="s">
        <v>22</v>
      </c>
    </row>
    <row r="12" spans="1:7" x14ac:dyDescent="0.25">
      <c r="A12" t="s">
        <v>23</v>
      </c>
      <c r="B12" t="s">
        <v>12</v>
      </c>
      <c r="C12" t="s">
        <v>13</v>
      </c>
      <c r="F12" s="2" t="s">
        <v>11</v>
      </c>
    </row>
    <row r="13" spans="1:7" x14ac:dyDescent="0.25">
      <c r="A13">
        <v>0</v>
      </c>
      <c r="B13" s="1">
        <v>1</v>
      </c>
      <c r="C13" s="3">
        <v>1</v>
      </c>
      <c r="E13">
        <v>3563</v>
      </c>
      <c r="F13" s="5">
        <f>E13/E$18</f>
        <v>0.41262304574406483</v>
      </c>
    </row>
    <row r="14" spans="1:7" x14ac:dyDescent="0.25">
      <c r="A14" t="s">
        <v>24</v>
      </c>
      <c r="B14" s="1">
        <v>1.25</v>
      </c>
      <c r="C14" s="3">
        <v>1.3</v>
      </c>
      <c r="E14">
        <v>1469</v>
      </c>
      <c r="F14" s="5">
        <f t="shared" ref="F14:F17" si="1">E14/E$18</f>
        <v>0.17012159814707586</v>
      </c>
    </row>
    <row r="15" spans="1:7" x14ac:dyDescent="0.25">
      <c r="A15" t="s">
        <v>25</v>
      </c>
      <c r="B15" s="1">
        <v>1.96</v>
      </c>
      <c r="C15" s="3">
        <v>1.69</v>
      </c>
      <c r="E15">
        <v>930</v>
      </c>
      <c r="F15" s="5">
        <f t="shared" si="1"/>
        <v>0.10770121598147075</v>
      </c>
    </row>
    <row r="16" spans="1:7" x14ac:dyDescent="0.25">
      <c r="A16" t="s">
        <v>26</v>
      </c>
      <c r="B16" s="1">
        <v>2.0699999999999998</v>
      </c>
      <c r="C16" s="3">
        <v>2</v>
      </c>
      <c r="E16">
        <v>985</v>
      </c>
      <c r="F16" s="5">
        <f t="shared" si="1"/>
        <v>0.11407064273306311</v>
      </c>
    </row>
    <row r="17" spans="1:8" x14ac:dyDescent="0.25">
      <c r="A17" t="s">
        <v>20</v>
      </c>
      <c r="B17" s="1">
        <v>2.71</v>
      </c>
      <c r="C17" s="3">
        <v>2.86</v>
      </c>
      <c r="E17">
        <v>1688</v>
      </c>
      <c r="F17" s="5">
        <f t="shared" si="1"/>
        <v>0.19548349739432541</v>
      </c>
    </row>
    <row r="18" spans="1:8" x14ac:dyDescent="0.25">
      <c r="E18">
        <f>SUM(E13:E17)</f>
        <v>8635</v>
      </c>
    </row>
    <row r="20" spans="1:8" x14ac:dyDescent="0.25">
      <c r="A20" s="2" t="s">
        <v>27</v>
      </c>
    </row>
    <row r="21" spans="1:8" x14ac:dyDescent="0.25">
      <c r="A21" t="s">
        <v>22</v>
      </c>
      <c r="B21" t="s">
        <v>12</v>
      </c>
      <c r="C21" t="s">
        <v>13</v>
      </c>
      <c r="E21" t="s">
        <v>28</v>
      </c>
    </row>
    <row r="22" spans="1:8" x14ac:dyDescent="0.25">
      <c r="A22" t="s">
        <v>29</v>
      </c>
      <c r="B22" s="1">
        <v>1</v>
      </c>
      <c r="C22" s="3">
        <v>1</v>
      </c>
      <c r="E22" s="2">
        <v>51.3</v>
      </c>
    </row>
    <row r="23" spans="1:8" x14ac:dyDescent="0.25">
      <c r="A23" t="s">
        <v>30</v>
      </c>
      <c r="B23" s="1">
        <v>2.08</v>
      </c>
      <c r="C23" s="3">
        <v>2.1</v>
      </c>
      <c r="E23" s="2">
        <v>35.799999999999997</v>
      </c>
    </row>
    <row r="24" spans="1:8" x14ac:dyDescent="0.25">
      <c r="A24" t="s">
        <v>31</v>
      </c>
      <c r="B24" s="1">
        <v>5.07</v>
      </c>
      <c r="C24" s="3">
        <f>C$23^2</f>
        <v>4.41</v>
      </c>
      <c r="E24" s="2">
        <v>8.6</v>
      </c>
    </row>
    <row r="25" spans="1:8" x14ac:dyDescent="0.25">
      <c r="A25" t="s">
        <v>32</v>
      </c>
      <c r="B25" s="1">
        <v>7.96</v>
      </c>
      <c r="C25" s="3">
        <f>C$23^3</f>
        <v>9.261000000000001</v>
      </c>
      <c r="E25" s="2">
        <v>4.2</v>
      </c>
    </row>
    <row r="29" spans="1:8" ht="75" x14ac:dyDescent="0.25">
      <c r="A29" t="s">
        <v>37</v>
      </c>
      <c r="B29" s="9">
        <v>0.11</v>
      </c>
      <c r="C29" s="9">
        <v>0.5</v>
      </c>
      <c r="D29" t="s">
        <v>6</v>
      </c>
      <c r="E29" s="6" t="s">
        <v>45</v>
      </c>
      <c r="F29" s="7" t="s">
        <v>44</v>
      </c>
      <c r="G29" s="9">
        <v>0.66821464816384479</v>
      </c>
      <c r="H29" s="9">
        <v>0.66821464816384479</v>
      </c>
    </row>
    <row r="30" spans="1:8" ht="90" x14ac:dyDescent="0.25">
      <c r="A30" t="s">
        <v>0</v>
      </c>
      <c r="B30" s="9">
        <v>0.25</v>
      </c>
      <c r="C30" s="9">
        <v>1</v>
      </c>
      <c r="D30" t="s">
        <v>7</v>
      </c>
      <c r="E30" s="6" t="s">
        <v>45</v>
      </c>
      <c r="F30" s="11" t="s">
        <v>43</v>
      </c>
      <c r="G30" s="9">
        <v>0.41967685730120391</v>
      </c>
      <c r="H30" s="9">
        <v>0.41967685730120391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 This</vt:lpstr>
      <vt:lpstr>Standard errors</vt:lpstr>
      <vt:lpstr>Risk factor details,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2017-09-20T04:20:02Z</dcterms:modified>
</cp:coreProperties>
</file>