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input_data\"/>
    </mc:Choice>
  </mc:AlternateContent>
  <xr:revisionPtr revIDLastSave="0" documentId="13_ncr:1_{5482B8A4-7615-42C5-B365-DEC2EAC3D025}" xr6:coauthVersionLast="36" xr6:coauthVersionMax="37" xr10:uidLastSave="{00000000-0000-0000-0000-000000000000}"/>
  <bookViews>
    <workbookView xWindow="254655" yWindow="0" windowWidth="21915" windowHeight="11865" xr2:uid="{00000000-000D-0000-FFFF-FFFF00000000}"/>
  </bookViews>
  <sheets>
    <sheet name="Use Thi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1" i="5" l="1"/>
  <c r="O41" i="5" s="1"/>
  <c r="P41" i="5" s="1"/>
  <c r="L15" i="5" l="1"/>
  <c r="D15" i="5"/>
  <c r="M15" i="5" l="1"/>
  <c r="G15" i="5"/>
  <c r="I15" i="5" s="1"/>
  <c r="L30" i="5"/>
  <c r="L29" i="5"/>
  <c r="L28" i="5"/>
  <c r="J15" i="5" l="1"/>
  <c r="L25" i="5"/>
  <c r="M25" i="5" s="1"/>
  <c r="G25" i="5"/>
  <c r="J25" i="5" s="1"/>
  <c r="I25" i="5" l="1"/>
  <c r="L32" i="5" l="1"/>
  <c r="M32" i="5" s="1"/>
  <c r="H50" i="5" l="1"/>
  <c r="H52" i="5" s="1"/>
  <c r="D50" i="5"/>
  <c r="D51" i="5" s="1"/>
  <c r="N47" i="5"/>
  <c r="O47" i="5" s="1"/>
  <c r="P47" i="5" s="1"/>
  <c r="L48" i="5"/>
  <c r="M48" i="5" s="1"/>
  <c r="G47" i="5"/>
  <c r="D52" i="5" l="1"/>
  <c r="H51" i="5"/>
  <c r="L45" i="5"/>
  <c r="L44" i="5"/>
  <c r="L43" i="5"/>
  <c r="L23" i="5"/>
  <c r="L22" i="5"/>
  <c r="L21" i="5"/>
  <c r="M21" i="5" s="1"/>
  <c r="N39" i="5"/>
  <c r="O39" i="5" s="1"/>
  <c r="P39" i="5" s="1"/>
  <c r="L37" i="5" l="1"/>
  <c r="L36" i="5"/>
  <c r="L35" i="5"/>
  <c r="L34" i="5"/>
  <c r="M34" i="5" s="1"/>
  <c r="H45" i="5" l="1"/>
  <c r="G48" i="5" l="1"/>
  <c r="G52" i="5"/>
  <c r="G51" i="5"/>
  <c r="G50" i="5"/>
  <c r="H44" i="5"/>
  <c r="G41" i="5"/>
  <c r="G39" i="5"/>
  <c r="H37" i="5"/>
  <c r="D37" i="5"/>
  <c r="H36" i="5"/>
  <c r="D36" i="5"/>
  <c r="H35" i="5"/>
  <c r="D35" i="5"/>
  <c r="G34" i="5"/>
  <c r="J34" i="5" s="1"/>
  <c r="G32" i="5"/>
  <c r="J32" i="5" l="1"/>
  <c r="I32" i="5"/>
  <c r="I48" i="5"/>
  <c r="J48" i="5"/>
  <c r="G35" i="5"/>
  <c r="J35" i="5" s="1"/>
  <c r="M35" i="5"/>
  <c r="G36" i="5"/>
  <c r="I36" i="5" s="1"/>
  <c r="M36" i="5"/>
  <c r="G37" i="5"/>
  <c r="J37" i="5" s="1"/>
  <c r="M37" i="5"/>
  <c r="I51" i="5"/>
  <c r="I52" i="5"/>
  <c r="I50" i="5"/>
  <c r="J50" i="5"/>
  <c r="J51" i="5"/>
  <c r="J52" i="5"/>
  <c r="I34" i="5"/>
  <c r="J36" i="5" l="1"/>
  <c r="I35" i="5"/>
  <c r="I37" i="5"/>
  <c r="D23" i="5"/>
  <c r="M23" i="5" s="1"/>
  <c r="G17" i="5"/>
  <c r="G21" i="5" l="1"/>
  <c r="G23" i="5"/>
  <c r="D22" i="5"/>
  <c r="H23" i="5"/>
  <c r="H22" i="5"/>
  <c r="G19" i="5"/>
  <c r="G12" i="5"/>
  <c r="G11" i="5"/>
  <c r="G10" i="5"/>
  <c r="G22" i="5" l="1"/>
  <c r="J22" i="5" s="1"/>
  <c r="M22" i="5"/>
  <c r="N17" i="5"/>
  <c r="O17" i="5" s="1"/>
  <c r="P17" i="5" s="1"/>
  <c r="J21" i="5"/>
  <c r="D43" i="5"/>
  <c r="M43" i="5" s="1"/>
  <c r="J10" i="5"/>
  <c r="J11" i="5"/>
  <c r="J12" i="5"/>
  <c r="I10" i="5"/>
  <c r="I11" i="5"/>
  <c r="N19" i="5"/>
  <c r="O19" i="5" s="1"/>
  <c r="P19" i="5" s="1"/>
  <c r="I12" i="5"/>
  <c r="J23" i="5"/>
  <c r="I23" i="5"/>
  <c r="I21" i="5"/>
  <c r="I22" i="5" l="1"/>
  <c r="N12" i="5"/>
  <c r="O12" i="5" s="1"/>
  <c r="P12" i="5" s="1"/>
  <c r="N11" i="5"/>
  <c r="O11" i="5" s="1"/>
  <c r="P11" i="5" s="1"/>
  <c r="N10" i="5"/>
  <c r="O10" i="5" s="1"/>
  <c r="P10" i="5" s="1"/>
  <c r="D45" i="5"/>
  <c r="D44" i="5"/>
  <c r="G43" i="5"/>
  <c r="G14" i="5"/>
  <c r="G9" i="5"/>
  <c r="G7" i="5"/>
  <c r="G3" i="5"/>
  <c r="D28" i="5" s="1"/>
  <c r="G5" i="5"/>
  <c r="D30" i="5" s="1"/>
  <c r="G4" i="5"/>
  <c r="D29" i="5" s="1"/>
  <c r="M30" i="5" l="1"/>
  <c r="G30" i="5"/>
  <c r="M29" i="5"/>
  <c r="G29" i="5"/>
  <c r="G28" i="5"/>
  <c r="M28" i="5"/>
  <c r="G44" i="5"/>
  <c r="I44" i="5" s="1"/>
  <c r="M44" i="5"/>
  <c r="G45" i="5"/>
  <c r="I45" i="5" s="1"/>
  <c r="M45" i="5"/>
  <c r="J43" i="5"/>
  <c r="I43" i="5"/>
  <c r="J3" i="5"/>
  <c r="J7" i="5"/>
  <c r="I7" i="5"/>
  <c r="J9" i="5"/>
  <c r="I9" i="5"/>
  <c r="I14" i="5"/>
  <c r="J14" i="5"/>
  <c r="J5" i="5"/>
  <c r="I5" i="5"/>
  <c r="J4" i="5"/>
  <c r="I4" i="5"/>
  <c r="I3" i="5"/>
  <c r="J28" i="5" l="1"/>
  <c r="I28" i="5"/>
  <c r="J30" i="5"/>
  <c r="I30" i="5"/>
  <c r="I29" i="5"/>
  <c r="J29" i="5"/>
  <c r="J44" i="5"/>
  <c r="J45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<sst xmlns="http://schemas.openxmlformats.org/spreadsheetml/2006/main" count="177" uniqueCount="83">
  <si>
    <t>reflux</t>
  </si>
  <si>
    <t>smoking</t>
  </si>
  <si>
    <t>bmi</t>
  </si>
  <si>
    <t>nsaids</t>
  </si>
  <si>
    <t>BMI</t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</si>
  <si>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</si>
  <si>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</si>
  <si>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</si>
  <si>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</si>
  <si>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</si>
  <si>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</si>
  <si>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</si>
  <si>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</si>
  <si>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</si>
  <si>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</si>
  <si>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</si>
  <si>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</si>
  <si>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</si>
  <si>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</si>
  <si>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</si>
  <si>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</si>
  <si>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</si>
  <si>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</si>
  <si>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t>Notes2</t>
  </si>
  <si>
    <t>biopsy.abn</t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</si>
  <si>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</si>
  <si>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</si>
  <si>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</si>
  <si>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</si>
  <si>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</si>
  <si>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</si>
  <si>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</si>
  <si>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Sun X, et al. Cancer Epidem Bio Prev 25, 727-735 (2016).</t>
  </si>
  <si>
    <t>REFLUX</t>
  </si>
  <si>
    <t>SMOKING</t>
  </si>
  <si>
    <t>FAM HISTORY</t>
  </si>
  <si>
    <t>STATINS</t>
  </si>
  <si>
    <t>PHYS ACTIVITY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</si>
  <si>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</si>
  <si>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</si>
  <si>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</si>
  <si>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</si>
  <si>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</si>
  <si>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</si>
  <si>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</si>
  <si>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</si>
  <si>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</si>
  <si>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</si>
  <si>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</si>
  <si>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</si>
  <si>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</si>
  <si>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</si>
  <si>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</si>
  <si>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</si>
  <si>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R et al. Gastro Endo 84, 40–46.e7 (2016).</t>
  </si>
  <si>
    <t>. &lt;weekly</t>
  </si>
  <si>
    <t>. weekly - daily</t>
  </si>
  <si>
    <t>. &gt; daily</t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</si>
  <si>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</si>
  <si>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</si>
  <si>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</si>
  <si>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</si>
  <si>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</si>
  <si>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</si>
  <si>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</si>
  <si>
    <t>Averaged 2 Ors and put p-value at 0.01</t>
  </si>
  <si>
    <t>Tan MC, et al.. Alimentary Pharmacology &amp; Therapeutics. http://onlinelibrary.wiley.com/doi/abs/10.1111/apt.14895 [Accessed July 3, 2018];
Hardikar S, et al. PloS one 8, e52192 (2013).</t>
  </si>
  <si>
    <t>. fam hx 1</t>
  </si>
  <si>
    <t>Estimated as sqroot of relative risk from population-based study (Moore SC, 2016).</t>
  </si>
  <si>
    <t>. fam hx 2+</t>
  </si>
  <si>
    <t>Vaughan T, et al. Lancet Oncology 6:945–52 (2005); Jankowski JAZ, et al. Lancet 392, 400–408 (2018).</t>
  </si>
  <si>
    <t>RR based on one half of trend coefficient in general population, and an assigned p-value=0.05 (Cook MB, et al. PLoS ONE 9, e103508 (2014).</t>
  </si>
  <si>
    <r>
      <t xml:space="preserve">Cook MB, et al. </t>
    </r>
    <r>
      <rPr>
        <b/>
        <i/>
        <sz val="11"/>
        <color theme="1"/>
        <rFont val="Calibri"/>
        <family val="2"/>
        <scheme val="minor"/>
      </rPr>
      <t>PLoS ONE</t>
    </r>
    <r>
      <rPr>
        <b/>
        <sz val="11"/>
        <color theme="1"/>
        <rFont val="Calibri"/>
        <family val="2"/>
        <scheme val="minor"/>
      </rPr>
      <t xml:space="preserve"> 9, e103508 (2014). </t>
    </r>
  </si>
  <si>
    <r>
      <t xml:space="preserve">Cook MB, et al. </t>
    </r>
    <r>
      <rPr>
        <b/>
        <i/>
        <sz val="11"/>
        <color theme="1"/>
        <rFont val="Calibri"/>
        <family val="2"/>
        <scheme val="minor"/>
      </rPr>
      <t xml:space="preserve">JNCI </t>
    </r>
    <r>
      <rPr>
        <b/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</si>
  <si>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b/>
        <i/>
        <sz val="11"/>
        <color theme="1"/>
        <rFont val="Calibri"/>
        <family val="2"/>
        <scheme val="minor"/>
      </rPr>
      <t>Int J Epidem</t>
    </r>
    <r>
      <rPr>
        <b/>
        <sz val="11"/>
        <color theme="1"/>
        <rFont val="Calibri"/>
        <family val="2"/>
        <scheme val="minor"/>
      </rPr>
      <t xml:space="preserve"> 41, 1706-18 (2012).</t>
    </r>
  </si>
  <si>
    <r>
      <t xml:space="preserve">Liao LM, et al. </t>
    </r>
    <r>
      <rPr>
        <b/>
        <i/>
        <sz val="11"/>
        <color theme="1"/>
        <rFont val="Calibri"/>
        <family val="2"/>
        <scheme val="minor"/>
      </rPr>
      <t>Gastro</t>
    </r>
    <r>
      <rPr>
        <b/>
        <sz val="11"/>
        <color theme="1"/>
        <rFont val="Calibri"/>
        <family val="2"/>
        <scheme val="minor"/>
      </rPr>
      <t xml:space="preserve"> 142, 442-452 (2012).</t>
    </r>
  </si>
  <si>
    <r>
      <t xml:space="preserve">Thomas T, et al. J Gastrointest Cancer (2017); </t>
    </r>
    <r>
      <rPr>
        <sz val="11"/>
        <color rgb="FF000000"/>
        <rFont val="Calibri"/>
        <family val="2"/>
        <scheme val="minor"/>
      </rPr>
      <t>Anon. Statistical Brief #459, https://meps.ahrq.gov/data_files/publications/st459/stat459.shtml.</t>
    </r>
  </si>
  <si>
    <r>
      <t xml:space="preserve">Moore SC, et al. </t>
    </r>
    <r>
      <rPr>
        <b/>
        <i/>
        <sz val="11"/>
        <color theme="1"/>
        <rFont val="Calibri"/>
        <family val="2"/>
        <scheme val="minor"/>
      </rPr>
      <t>JAMA Intern Med</t>
    </r>
    <r>
      <rPr>
        <b/>
        <sz val="11"/>
        <color theme="1"/>
        <rFont val="Calibri"/>
        <family val="2"/>
        <scheme val="minor"/>
      </rPr>
      <t xml:space="preserve"> 176, 816-825 (2016).</t>
    </r>
  </si>
  <si>
    <r>
      <t xml:space="preserve">Thomas T, Loke Y, Beales ILP. J Gastrointest Cancer (2017); </t>
    </r>
    <r>
      <rPr>
        <sz val="11"/>
        <color rgb="FF000000"/>
        <rFont val="Calibri"/>
        <family val="2"/>
        <scheme val="minor"/>
      </rPr>
      <t>Krishnamoorthi R, et al. Gastro Endo 84, 40–46.e7 (2016)</t>
    </r>
  </si>
  <si>
    <t>. current statins</t>
  </si>
  <si>
    <t>. current NSAIDs</t>
  </si>
  <si>
    <t>prevalence reversed for protective 
(NEEDS FIXING IN CODE SO THIS IS NOT NECESSARY)</t>
  </si>
  <si>
    <t>ORANGE HIGHLIGHTING INDICATES INPUT SOURCE
(EITHER P-VALUE OR 95% CONFIDENCE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</si>
</sst>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topLeftCell="B1" zoomScaleNormal="100" workbookViewId="0">
      <pane ySplit="1" topLeftCell="A2" activePane="bottomLeft" state="frozen"/>
      <selection pane="bottomLeft" activeCell="S3" sqref="S3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customWidth="1"/>
    <col min="14" max="14" width="13" customWidth="1"/>
    <col min="15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5</v>
      </c>
      <c r="B1" s="1" t="s">
        <v>10</v>
      </c>
      <c r="C1" s="1" t="s">
        <v>18</v>
      </c>
      <c r="D1" s="1" t="s">
        <v>17</v>
      </c>
      <c r="E1" s="1" t="s">
        <v>21</v>
      </c>
      <c r="F1" s="1" t="s">
        <v>11</v>
      </c>
      <c r="G1" s="1" t="s">
        <v>12</v>
      </c>
      <c r="H1" s="1" t="s">
        <v>14</v>
      </c>
      <c r="I1" s="1" t="s">
        <v>15</v>
      </c>
      <c r="J1" s="1" t="s">
        <v>16</v>
      </c>
      <c r="K1" s="1" t="s">
        <v>30</v>
      </c>
      <c r="L1" s="1" t="s">
        <v>27</v>
      </c>
      <c r="M1" s="48" t="s">
        <v>25</v>
      </c>
      <c r="N1" s="48" t="s">
        <v>26</v>
      </c>
      <c r="O1" s="1" t="s">
        <v>28</v>
      </c>
      <c r="P1" s="1" t="s">
        <v>29</v>
      </c>
      <c r="Q1" s="1" t="s">
        <v>19</v>
      </c>
      <c r="R1" s="1" t="s">
        <v>22</v>
      </c>
      <c r="S1" s="3" t="s">
        <v>23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33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64" t="s">
        <v>72</v>
      </c>
      <c r="R2" s="14">
        <v>0.51400000000000001</v>
      </c>
      <c r="S2" s="9" t="s">
        <v>82</v>
      </c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55</v>
      </c>
      <c r="F3" s="13">
        <v>1</v>
      </c>
      <c r="G3" s="12">
        <f t="shared" ref="G3:G7" si="0">LN(D3)</f>
        <v>0.73236789371322664</v>
      </c>
      <c r="H3" s="12">
        <v>0.30499999999999999</v>
      </c>
      <c r="I3" s="49">
        <f>EXP($G3-1.96*$H3)</f>
        <v>1.1440423296475395</v>
      </c>
      <c r="J3" s="49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20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56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20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57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20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34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65" t="s">
        <v>73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41</v>
      </c>
      <c r="F7" s="7">
        <v>1</v>
      </c>
      <c r="G7" s="2">
        <f t="shared" si="0"/>
        <v>0.67294447324242579</v>
      </c>
      <c r="H7" s="2">
        <v>9.0676466154929233E-2</v>
      </c>
      <c r="I7" s="49">
        <f>EXP($G7-1.96*$H7)</f>
        <v>1.6408568904801626</v>
      </c>
      <c r="J7" s="49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20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64" t="s">
        <v>74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42</v>
      </c>
      <c r="F9" s="13">
        <v>1</v>
      </c>
      <c r="G9" s="12">
        <f>LN(D9)</f>
        <v>0.43178241642553783</v>
      </c>
      <c r="H9" s="12">
        <v>0.1</v>
      </c>
      <c r="I9" s="49">
        <f t="shared" ref="I9:I12" si="6">EXP($G9-1.96*$H9)</f>
        <v>1.2658988414044074</v>
      </c>
      <c r="J9" s="49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20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43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20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44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20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45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20</v>
      </c>
      <c r="R12" s="14">
        <v>8.9999999999999993E-3</v>
      </c>
      <c r="S12" s="9"/>
    </row>
    <row r="13" spans="1:19" ht="33.75" customHeight="1" x14ac:dyDescent="0.25">
      <c r="A13" s="5" t="s">
        <v>6</v>
      </c>
      <c r="B13" s="6">
        <v>0</v>
      </c>
      <c r="C13" s="6">
        <v>1</v>
      </c>
      <c r="D13" s="6"/>
      <c r="E13" s="2" t="s">
        <v>35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32</v>
      </c>
      <c r="R13" s="8">
        <v>0.97</v>
      </c>
      <c r="S13" s="9"/>
    </row>
    <row r="14" spans="1:19" x14ac:dyDescent="0.25">
      <c r="A14" s="5" t="s">
        <v>6</v>
      </c>
      <c r="B14" s="6">
        <v>0</v>
      </c>
      <c r="C14" s="6">
        <v>1</v>
      </c>
      <c r="D14" s="2">
        <v>2.76</v>
      </c>
      <c r="E14" s="2" t="s">
        <v>67</v>
      </c>
      <c r="F14" s="7">
        <v>1</v>
      </c>
      <c r="G14" s="2">
        <f>LN(D14)</f>
        <v>1.0152306797290584</v>
      </c>
      <c r="H14" s="2">
        <v>0.21600698756422615</v>
      </c>
      <c r="I14" s="49">
        <f>EXP($G14-1.96*$H14)</f>
        <v>1.8073415055615647</v>
      </c>
      <c r="J14" s="49">
        <f>EXP($G14+1.96*$H14)</f>
        <v>4.2148094184519422</v>
      </c>
      <c r="K14" s="8">
        <v>3.5121095539893121E-6</v>
      </c>
      <c r="L14" s="15"/>
      <c r="M14" s="15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20</v>
      </c>
      <c r="R14" s="8">
        <v>0.03</v>
      </c>
      <c r="S14" s="9"/>
    </row>
    <row r="15" spans="1:19" x14ac:dyDescent="0.25">
      <c r="A15" s="5" t="s">
        <v>6</v>
      </c>
      <c r="B15" s="6">
        <v>0</v>
      </c>
      <c r="C15" s="6">
        <v>1</v>
      </c>
      <c r="D15" s="12">
        <f>EXP(LN(D14)*2)</f>
        <v>7.6175999999999968</v>
      </c>
      <c r="E15" s="2" t="s">
        <v>69</v>
      </c>
      <c r="F15" s="7">
        <v>2</v>
      </c>
      <c r="G15" s="2">
        <f t="shared" ref="G15" si="12">LN(D15)</f>
        <v>2.0304613594581169</v>
      </c>
      <c r="H15" s="2">
        <v>0.43201555042779838</v>
      </c>
      <c r="I15" s="8">
        <f t="shared" ref="I15" si="13">EXP($G15-1.96*$H15)</f>
        <v>3.2664732321906063</v>
      </c>
      <c r="J15" s="8">
        <f t="shared" ref="J15" si="14">EXP($G15+1.96*$H15)</f>
        <v>17.764673283755815</v>
      </c>
      <c r="K15" s="49">
        <v>3.5121095539893121E-6</v>
      </c>
      <c r="L15" s="15">
        <f t="shared" ref="L15" si="15" xml:space="preserve"> -0.862 + SQRT(0.743-2.404*LN(K15))</f>
        <v>4.6999728538648116</v>
      </c>
      <c r="M15" s="15">
        <f t="shared" ref="M15" si="16">ABS(LN(D15) / L15)</f>
        <v>0.43201555042779838</v>
      </c>
      <c r="N15" s="8"/>
      <c r="O15" s="8"/>
      <c r="P15" s="8"/>
      <c r="Q15" s="33" t="s">
        <v>20</v>
      </c>
      <c r="R15" s="8">
        <v>1E-3</v>
      </c>
      <c r="S15" s="9"/>
    </row>
    <row r="16" spans="1:19" ht="33" customHeight="1" x14ac:dyDescent="0.25">
      <c r="A16" s="10" t="s">
        <v>3</v>
      </c>
      <c r="B16" s="11">
        <v>0</v>
      </c>
      <c r="C16" s="11">
        <v>1</v>
      </c>
      <c r="D16" s="12"/>
      <c r="E16" s="12" t="s">
        <v>13</v>
      </c>
      <c r="F16" s="13">
        <v>0</v>
      </c>
      <c r="G16" s="12">
        <v>0</v>
      </c>
      <c r="H16" s="12">
        <v>0</v>
      </c>
      <c r="I16" s="15"/>
      <c r="J16" s="15"/>
      <c r="K16" s="15"/>
      <c r="L16" s="15"/>
      <c r="M16" s="15"/>
      <c r="N16" s="15"/>
      <c r="O16" s="15"/>
      <c r="P16" s="15"/>
      <c r="Q16" s="66" t="s">
        <v>75</v>
      </c>
      <c r="R16" s="15">
        <v>0.5</v>
      </c>
      <c r="S16" s="9" t="s">
        <v>81</v>
      </c>
    </row>
    <row r="17" spans="1:19" x14ac:dyDescent="0.25">
      <c r="A17" s="10" t="s">
        <v>3</v>
      </c>
      <c r="B17" s="11">
        <v>0</v>
      </c>
      <c r="C17" s="11">
        <v>1</v>
      </c>
      <c r="D17" s="12">
        <v>0.36</v>
      </c>
      <c r="E17" s="12" t="s">
        <v>80</v>
      </c>
      <c r="F17" s="13">
        <v>1</v>
      </c>
      <c r="G17" s="15">
        <f>LN(D17)</f>
        <v>-1.0216512475319814</v>
      </c>
      <c r="H17" s="15">
        <v>0.28025823690513002</v>
      </c>
      <c r="I17" s="49">
        <v>0.21</v>
      </c>
      <c r="J17" s="49">
        <v>0.63</v>
      </c>
      <c r="K17" s="15"/>
      <c r="L17" s="15"/>
      <c r="M17" s="15"/>
      <c r="N17" s="14">
        <f t="shared" ref="N17" si="17">(LN(J17) - LN(I17))/(2*1.96)</f>
        <v>0.28025823690513002</v>
      </c>
      <c r="O17" s="14">
        <f t="shared" ref="O17" si="18">ABS(LN(D17)/N17)</f>
        <v>3.6453924024285493</v>
      </c>
      <c r="P17" s="14">
        <f t="shared" ref="P17" si="19">EXP(-0.717*O17 - 0.416*O17^2)</f>
        <v>2.9107696771541082E-4</v>
      </c>
      <c r="Q17" s="34" t="s">
        <v>20</v>
      </c>
      <c r="R17" s="15">
        <v>0.5</v>
      </c>
      <c r="S17" s="9" t="s">
        <v>31</v>
      </c>
    </row>
    <row r="18" spans="1:19" ht="42" customHeight="1" x14ac:dyDescent="0.25">
      <c r="A18" s="5" t="s">
        <v>9</v>
      </c>
      <c r="B18" s="16">
        <v>0</v>
      </c>
      <c r="C18" s="16">
        <v>1</v>
      </c>
      <c r="D18" s="16"/>
      <c r="E18" s="17" t="s">
        <v>36</v>
      </c>
      <c r="F18" s="18">
        <v>0</v>
      </c>
      <c r="G18" s="17">
        <v>0</v>
      </c>
      <c r="H18" s="17">
        <v>0</v>
      </c>
      <c r="I18" s="19"/>
      <c r="J18" s="19"/>
      <c r="K18" s="19"/>
      <c r="L18" s="19"/>
      <c r="M18" s="19"/>
      <c r="N18" s="19"/>
      <c r="O18" s="19"/>
      <c r="P18" s="19"/>
      <c r="Q18" s="67" t="s">
        <v>76</v>
      </c>
      <c r="R18" s="55">
        <v>0.33</v>
      </c>
      <c r="S18" s="9" t="s">
        <v>63</v>
      </c>
    </row>
    <row r="19" spans="1:19" s="8" customFormat="1" x14ac:dyDescent="0.25">
      <c r="A19" s="5" t="s">
        <v>9</v>
      </c>
      <c r="B19" s="16">
        <v>0</v>
      </c>
      <c r="C19" s="16">
        <v>1</v>
      </c>
      <c r="D19" s="16">
        <v>0.56999999999999995</v>
      </c>
      <c r="E19" s="16" t="s">
        <v>79</v>
      </c>
      <c r="F19" s="16">
        <v>1</v>
      </c>
      <c r="G19" s="8">
        <f>LN(D19)</f>
        <v>-0.56211891815354131</v>
      </c>
      <c r="H19" s="8">
        <v>0.14528908790631853</v>
      </c>
      <c r="I19" s="50">
        <v>0.43</v>
      </c>
      <c r="J19" s="49">
        <v>0.76</v>
      </c>
      <c r="N19" s="8">
        <f>(LN(J19) - LN(I19))/(2*1.96)</f>
        <v>0.14528908790631853</v>
      </c>
      <c r="O19" s="8">
        <f>ABS(LN(D19)/N19)</f>
        <v>3.8689685939524376</v>
      </c>
      <c r="P19" s="8">
        <f>EXP(-0.717*O19 - 0.416*O19^2)</f>
        <v>1.2327161786094981E-4</v>
      </c>
      <c r="Q19" s="35" t="s">
        <v>20</v>
      </c>
      <c r="R19" s="56">
        <v>0.67</v>
      </c>
      <c r="S19" s="9"/>
    </row>
    <row r="20" spans="1:19" ht="39.75" customHeight="1" x14ac:dyDescent="0.25">
      <c r="A20" s="10" t="s">
        <v>7</v>
      </c>
      <c r="B20" s="11">
        <v>0</v>
      </c>
      <c r="C20" s="11">
        <v>1</v>
      </c>
      <c r="D20" s="12"/>
      <c r="E20" s="12" t="s">
        <v>37</v>
      </c>
      <c r="F20" s="13">
        <v>0</v>
      </c>
      <c r="G20" s="12">
        <v>0</v>
      </c>
      <c r="H20" s="12">
        <v>0</v>
      </c>
      <c r="I20" s="15"/>
      <c r="J20" s="15"/>
      <c r="K20" s="15"/>
      <c r="L20" s="15"/>
      <c r="M20" s="15"/>
      <c r="N20" s="15"/>
      <c r="O20" s="15"/>
      <c r="P20" s="15"/>
      <c r="Q20" s="66" t="s">
        <v>77</v>
      </c>
      <c r="R20" s="15">
        <v>0.25</v>
      </c>
      <c r="S20" s="9"/>
    </row>
    <row r="21" spans="1:19" x14ac:dyDescent="0.25">
      <c r="A21" s="10" t="s">
        <v>7</v>
      </c>
      <c r="B21" s="11">
        <v>0</v>
      </c>
      <c r="C21" s="11">
        <v>1</v>
      </c>
      <c r="D21" s="12">
        <v>0.86099999999999999</v>
      </c>
      <c r="E21" s="12" t="s">
        <v>38</v>
      </c>
      <c r="F21" s="13">
        <v>1</v>
      </c>
      <c r="G21" s="15">
        <f t="shared" ref="G21:G25" si="20">LN(D21)</f>
        <v>-0.14966077455440627</v>
      </c>
      <c r="H21" s="15">
        <v>5.811786506324796E-2</v>
      </c>
      <c r="I21" s="15">
        <f>EXP($G21-1.96*$H21)</f>
        <v>0.76830246396523483</v>
      </c>
      <c r="J21" s="15">
        <f>EXP($G21+1.96*$H21)</f>
        <v>0.96488171621110952</v>
      </c>
      <c r="K21" s="49">
        <v>0.01</v>
      </c>
      <c r="L21" s="15">
        <f xml:space="preserve"> -0.862 + SQRT(0.743-2.404*LN(K21))</f>
        <v>2.5751251253213594</v>
      </c>
      <c r="M21" s="15">
        <f>ABS(LN(D21) / L21)</f>
        <v>5.811786506324796E-2</v>
      </c>
      <c r="N21" s="14"/>
      <c r="O21" s="14"/>
      <c r="P21" s="14"/>
      <c r="Q21" s="34" t="s">
        <v>20</v>
      </c>
      <c r="R21" s="15">
        <v>0.25</v>
      </c>
      <c r="S21" s="9"/>
    </row>
    <row r="22" spans="1:19" x14ac:dyDescent="0.25">
      <c r="A22" s="10" t="s">
        <v>7</v>
      </c>
      <c r="B22" s="11">
        <v>0</v>
      </c>
      <c r="C22" s="11">
        <v>1</v>
      </c>
      <c r="D22" s="12">
        <f>EXP(LN(D21)*2)</f>
        <v>0.74132100000000001</v>
      </c>
      <c r="E22" s="12" t="s">
        <v>39</v>
      </c>
      <c r="F22" s="13">
        <v>2</v>
      </c>
      <c r="G22" s="15">
        <f t="shared" si="20"/>
        <v>-0.29932154910881248</v>
      </c>
      <c r="H22" s="15">
        <f>H21*2</f>
        <v>0.11623573012649592</v>
      </c>
      <c r="I22" s="15">
        <f t="shared" ref="I22:I23" si="21">EXP($G22-1.96*$H22)</f>
        <v>0.59028867613505109</v>
      </c>
      <c r="J22" s="15">
        <f t="shared" ref="J22:J23" si="22">EXP($G22+1.96*$H22)</f>
        <v>0.93099672627849617</v>
      </c>
      <c r="K22" s="15">
        <v>0.01</v>
      </c>
      <c r="L22" s="15">
        <f t="shared" ref="L22:L23" si="23" xml:space="preserve"> -0.862 + SQRT(0.743-2.404*LN(K22))</f>
        <v>2.5751251253213594</v>
      </c>
      <c r="M22" s="15">
        <f t="shared" ref="M22:M23" si="24">ABS(LN(D22) / L22)</f>
        <v>0.11623573012649591</v>
      </c>
      <c r="N22" s="14"/>
      <c r="O22" s="14"/>
      <c r="P22" s="14"/>
      <c r="Q22" s="34" t="s">
        <v>20</v>
      </c>
      <c r="R22" s="15">
        <v>0.25</v>
      </c>
      <c r="S22" s="9"/>
    </row>
    <row r="23" spans="1:19" x14ac:dyDescent="0.25">
      <c r="A23" s="10" t="s">
        <v>7</v>
      </c>
      <c r="B23" s="11">
        <v>0</v>
      </c>
      <c r="C23" s="11">
        <v>1</v>
      </c>
      <c r="D23" s="12">
        <f>EXP(LN(D21)*3)</f>
        <v>0.63827738099999998</v>
      </c>
      <c r="E23" s="12" t="s">
        <v>40</v>
      </c>
      <c r="F23" s="13">
        <v>3</v>
      </c>
      <c r="G23" s="15">
        <f t="shared" si="20"/>
        <v>-0.44898232366321877</v>
      </c>
      <c r="H23" s="15">
        <f>H21*3</f>
        <v>0.17435359518974389</v>
      </c>
      <c r="I23" s="15">
        <f t="shared" si="21"/>
        <v>0.45352024432533622</v>
      </c>
      <c r="J23" s="15">
        <f t="shared" si="22"/>
        <v>0.89830171903851996</v>
      </c>
      <c r="K23" s="15">
        <v>0.01</v>
      </c>
      <c r="L23" s="15">
        <f t="shared" si="23"/>
        <v>2.5751251253213594</v>
      </c>
      <c r="M23" s="15">
        <f t="shared" si="24"/>
        <v>0.17435359518974389</v>
      </c>
      <c r="N23" s="14"/>
      <c r="O23" s="14"/>
      <c r="P23" s="14"/>
      <c r="Q23" s="34" t="s">
        <v>20</v>
      </c>
      <c r="R23" s="15">
        <v>0.25</v>
      </c>
      <c r="S23" s="9"/>
    </row>
    <row r="24" spans="1:19" s="24" customFormat="1" ht="45" x14ac:dyDescent="0.25">
      <c r="A24" s="20" t="s">
        <v>62</v>
      </c>
      <c r="B24" s="21">
        <v>0</v>
      </c>
      <c r="C24" s="21">
        <v>1</v>
      </c>
      <c r="D24" s="22"/>
      <c r="E24" s="22" t="s">
        <v>58</v>
      </c>
      <c r="F24" s="23">
        <v>0</v>
      </c>
      <c r="G24" s="2">
        <v>0</v>
      </c>
      <c r="H24" s="2">
        <v>0</v>
      </c>
      <c r="I24" s="27"/>
      <c r="J24" s="27"/>
      <c r="K24" s="27"/>
      <c r="L24" s="27"/>
      <c r="M24" s="27"/>
      <c r="Q24" s="4" t="s">
        <v>59</v>
      </c>
      <c r="R24" s="55">
        <v>1.84E-2</v>
      </c>
      <c r="S24" s="9" t="s">
        <v>63</v>
      </c>
    </row>
    <row r="25" spans="1:19" s="24" customFormat="1" x14ac:dyDescent="0.25">
      <c r="A25" s="20" t="s">
        <v>62</v>
      </c>
      <c r="B25" s="21">
        <v>0</v>
      </c>
      <c r="C25" s="21">
        <v>1</v>
      </c>
      <c r="D25" s="22">
        <v>0.33</v>
      </c>
      <c r="E25" s="22" t="s">
        <v>61</v>
      </c>
      <c r="F25" s="23">
        <v>1</v>
      </c>
      <c r="G25" s="19">
        <f t="shared" si="20"/>
        <v>-1.1086626245216111</v>
      </c>
      <c r="H25" s="19">
        <v>0.56661507806391909</v>
      </c>
      <c r="I25" s="19">
        <f>EXP($G25-1.96*$H25)</f>
        <v>0.10869296813401993</v>
      </c>
      <c r="J25" s="19">
        <f>EXP($G25+1.96*$H25)</f>
        <v>1.0019047402010846</v>
      </c>
      <c r="K25" s="54">
        <v>0.05</v>
      </c>
      <c r="L25" s="19">
        <f xml:space="preserve"> -0.862 + SQRT(0.743-2.404*LN(K25))</f>
        <v>1.9566415851654133</v>
      </c>
      <c r="M25" s="19">
        <f>ABS(LN(D25) / L25)</f>
        <v>0.56661507806391909</v>
      </c>
      <c r="Q25" s="53" t="s">
        <v>20</v>
      </c>
      <c r="R25" s="55">
        <v>0.98160000000000003</v>
      </c>
      <c r="S25" s="26" t="s">
        <v>60</v>
      </c>
    </row>
    <row r="26" spans="1:19" ht="28.5" customHeight="1" thickBot="1" x14ac:dyDescent="0.3">
      <c r="A26" s="57"/>
      <c r="B26" s="57"/>
      <c r="C26" s="57"/>
      <c r="D26" s="58"/>
      <c r="E26" s="58"/>
      <c r="F26" s="59"/>
      <c r="G26" s="60"/>
      <c r="H26" s="60"/>
      <c r="I26" s="60"/>
      <c r="J26" s="60"/>
      <c r="K26" s="60"/>
      <c r="L26" s="60"/>
      <c r="M26" s="60"/>
      <c r="N26" s="61"/>
      <c r="O26" s="61"/>
      <c r="P26" s="61"/>
      <c r="Q26" s="62"/>
      <c r="R26" s="60"/>
      <c r="S26" s="9"/>
    </row>
    <row r="27" spans="1:19" s="8" customFormat="1" ht="51.75" customHeight="1" x14ac:dyDescent="0.25">
      <c r="A27" s="5" t="s">
        <v>0</v>
      </c>
      <c r="B27" s="6">
        <v>1</v>
      </c>
      <c r="C27" s="6">
        <v>1</v>
      </c>
      <c r="D27" s="6"/>
      <c r="E27" s="2" t="s">
        <v>33</v>
      </c>
      <c r="F27" s="7">
        <v>0</v>
      </c>
      <c r="G27" s="2">
        <v>0</v>
      </c>
      <c r="H27" s="2">
        <v>0</v>
      </c>
      <c r="Q27" s="63" t="s">
        <v>71</v>
      </c>
      <c r="R27" s="8">
        <v>0.1</v>
      </c>
      <c r="S27" s="9"/>
    </row>
    <row r="28" spans="1:19" s="8" customFormat="1" x14ac:dyDescent="0.25">
      <c r="A28" s="5" t="s">
        <v>0</v>
      </c>
      <c r="B28" s="6">
        <v>1</v>
      </c>
      <c r="C28" s="6">
        <v>1</v>
      </c>
      <c r="D28" s="2">
        <f>EXP(G3*0.5)</f>
        <v>1.4422205101855958</v>
      </c>
      <c r="E28" s="6" t="s">
        <v>55</v>
      </c>
      <c r="F28" s="7">
        <v>1</v>
      </c>
      <c r="G28" s="2">
        <f t="shared" ref="G28:G30" si="25">LN(D28)</f>
        <v>0.36618394685661337</v>
      </c>
      <c r="H28" s="2">
        <v>0.1871492201908079</v>
      </c>
      <c r="I28" s="19">
        <f t="shared" ref="I28:I30" si="26">EXP($G28-1.96*$H28)</f>
        <v>0.99937167276291416</v>
      </c>
      <c r="J28" s="19">
        <f t="shared" ref="J28:J30" si="27">EXP($G28+1.96*$H28)</f>
        <v>2.081307742343272</v>
      </c>
      <c r="K28" s="8">
        <v>0.05</v>
      </c>
      <c r="L28" s="19">
        <f t="shared" ref="L28:L30" si="28" xml:space="preserve"> -0.862 + SQRT(0.743-2.404*LN(K28))</f>
        <v>1.9566415851654133</v>
      </c>
      <c r="M28" s="19">
        <f t="shared" ref="M28:M30" si="29">ABS(LN(D28) / L28)</f>
        <v>0.1871492201908079</v>
      </c>
      <c r="Q28" s="33" t="s">
        <v>20</v>
      </c>
      <c r="R28" s="8">
        <v>0.1</v>
      </c>
      <c r="S28" s="9"/>
    </row>
    <row r="29" spans="1:19" s="8" customFormat="1" x14ac:dyDescent="0.25">
      <c r="A29" s="5" t="s">
        <v>0</v>
      </c>
      <c r="B29" s="6">
        <v>1</v>
      </c>
      <c r="C29" s="6">
        <v>1</v>
      </c>
      <c r="D29" s="2">
        <f t="shared" ref="D29:D30" si="30">EXP(G4*0.5)</f>
        <v>2.2516660498395407</v>
      </c>
      <c r="E29" s="6" t="s">
        <v>56</v>
      </c>
      <c r="F29" s="7">
        <v>2</v>
      </c>
      <c r="G29" s="2">
        <f t="shared" si="25"/>
        <v>0.81167040880154595</v>
      </c>
      <c r="H29" s="2">
        <v>0.4148283543370197</v>
      </c>
      <c r="I29" s="19">
        <f t="shared" si="26"/>
        <v>0.99860780430580842</v>
      </c>
      <c r="J29" s="19">
        <f t="shared" si="27"/>
        <v>5.0770682725882148</v>
      </c>
      <c r="K29" s="8">
        <v>0.05</v>
      </c>
      <c r="L29" s="19">
        <f t="shared" si="28"/>
        <v>1.9566415851654133</v>
      </c>
      <c r="M29" s="19">
        <f t="shared" si="29"/>
        <v>0.4148283543370197</v>
      </c>
      <c r="Q29" s="33" t="s">
        <v>20</v>
      </c>
      <c r="R29" s="8">
        <v>0.4</v>
      </c>
      <c r="S29" s="9"/>
    </row>
    <row r="30" spans="1:19" s="8" customFormat="1" x14ac:dyDescent="0.25">
      <c r="A30" s="5" t="s">
        <v>0</v>
      </c>
      <c r="B30" s="6">
        <v>1</v>
      </c>
      <c r="C30" s="6">
        <v>1</v>
      </c>
      <c r="D30" s="2">
        <f t="shared" si="30"/>
        <v>2.8213471959331771</v>
      </c>
      <c r="E30" s="6" t="s">
        <v>57</v>
      </c>
      <c r="F30" s="7">
        <v>3</v>
      </c>
      <c r="G30" s="2">
        <f t="shared" si="25"/>
        <v>1.0372144999281458</v>
      </c>
      <c r="H30" s="2">
        <v>0.53009938447181693</v>
      </c>
      <c r="I30" s="19">
        <f t="shared" si="26"/>
        <v>0.9982212901460954</v>
      </c>
      <c r="J30" s="19">
        <f t="shared" si="27"/>
        <v>7.974183759229386</v>
      </c>
      <c r="K30" s="8">
        <v>0.05</v>
      </c>
      <c r="L30" s="19">
        <f t="shared" si="28"/>
        <v>1.9566415851654133</v>
      </c>
      <c r="M30" s="19">
        <f t="shared" si="29"/>
        <v>0.53009938447181693</v>
      </c>
      <c r="Q30" s="33" t="s">
        <v>20</v>
      </c>
      <c r="R30" s="8">
        <v>0.4</v>
      </c>
      <c r="S30" s="9"/>
    </row>
    <row r="31" spans="1:19" s="8" customFormat="1" ht="60" x14ac:dyDescent="0.25">
      <c r="A31" s="39" t="s">
        <v>1</v>
      </c>
      <c r="B31" s="40">
        <v>1</v>
      </c>
      <c r="C31" s="40">
        <v>1</v>
      </c>
      <c r="D31" s="41"/>
      <c r="E31" s="40" t="s">
        <v>34</v>
      </c>
      <c r="F31" s="42">
        <v>0</v>
      </c>
      <c r="G31" s="41">
        <v>0</v>
      </c>
      <c r="H31" s="41">
        <v>0</v>
      </c>
      <c r="I31" s="43"/>
      <c r="J31" s="43"/>
      <c r="K31" s="43"/>
      <c r="L31" s="43"/>
      <c r="M31" s="43"/>
      <c r="N31" s="43"/>
      <c r="O31" s="43"/>
      <c r="P31" s="43"/>
      <c r="Q31" s="52" t="s">
        <v>66</v>
      </c>
      <c r="R31" s="44">
        <v>0.36</v>
      </c>
      <c r="S31" s="45"/>
    </row>
    <row r="32" spans="1:19" s="8" customFormat="1" x14ac:dyDescent="0.25">
      <c r="A32" s="39" t="s">
        <v>1</v>
      </c>
      <c r="B32" s="40">
        <v>1</v>
      </c>
      <c r="C32" s="40">
        <v>1</v>
      </c>
      <c r="D32" s="41">
        <v>1.6</v>
      </c>
      <c r="E32" s="41" t="s">
        <v>41</v>
      </c>
      <c r="F32" s="42">
        <v>1</v>
      </c>
      <c r="G32" s="41">
        <f t="shared" ref="G32" si="31">LN(D32)</f>
        <v>0.47000362924573563</v>
      </c>
      <c r="H32" s="41">
        <v>0.19341121981124215</v>
      </c>
      <c r="I32" s="43">
        <f t="shared" ref="I32:I37" si="32">EXP($G32-1.96*$H32)</f>
        <v>1.0951788008826973</v>
      </c>
      <c r="J32" s="43">
        <f t="shared" ref="J32:J37" si="33">EXP($G32+1.96*$H32)</f>
        <v>2.3375178536478969</v>
      </c>
      <c r="K32" s="43">
        <v>0.01</v>
      </c>
      <c r="L32" s="43">
        <f xml:space="preserve"> -0.862 + SQRT(0.743-2.404*LN(K32))</f>
        <v>2.5751251253213594</v>
      </c>
      <c r="M32" s="43">
        <f>ABS(LN(D32) / L32)</f>
        <v>0.18251681233822847</v>
      </c>
      <c r="N32" s="43"/>
      <c r="O32" s="43"/>
      <c r="P32" s="43"/>
      <c r="Q32" s="46" t="s">
        <v>20</v>
      </c>
      <c r="R32" s="44">
        <v>0.64</v>
      </c>
      <c r="S32" s="45" t="s">
        <v>65</v>
      </c>
    </row>
    <row r="33" spans="1:19" s="24" customFormat="1" ht="49.15" customHeight="1" x14ac:dyDescent="0.25">
      <c r="A33" s="20" t="s">
        <v>2</v>
      </c>
      <c r="B33" s="21">
        <v>1</v>
      </c>
      <c r="C33" s="21">
        <v>1</v>
      </c>
      <c r="D33" s="22"/>
      <c r="E33" s="22" t="s">
        <v>4</v>
      </c>
      <c r="F33" s="23">
        <v>0</v>
      </c>
      <c r="G33" s="22">
        <v>0</v>
      </c>
      <c r="H33" s="22">
        <v>0</v>
      </c>
      <c r="Q33" s="36" t="s">
        <v>54</v>
      </c>
      <c r="R33" s="25">
        <v>0.3</v>
      </c>
      <c r="S33" s="26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v>1.3</v>
      </c>
      <c r="E34" s="22" t="s">
        <v>42</v>
      </c>
      <c r="F34" s="23">
        <v>1</v>
      </c>
      <c r="G34" s="22">
        <f>LN(D34)</f>
        <v>0.26236426446749106</v>
      </c>
      <c r="H34" s="22">
        <v>0.12395734354696404</v>
      </c>
      <c r="I34" s="24">
        <f t="shared" si="32"/>
        <v>1.019597428159736</v>
      </c>
      <c r="J34" s="24">
        <f t="shared" si="33"/>
        <v>1.6575169310207745</v>
      </c>
      <c r="K34" s="49">
        <v>3.4000000000000002E-2</v>
      </c>
      <c r="L34" s="27">
        <f xml:space="preserve"> -0.862 + SQRT(0.743-2.404*LN(K34))</f>
        <v>2.1165689499314611</v>
      </c>
      <c r="M34" s="27">
        <f>ABS(LN(D34) / L34)</f>
        <v>0.12395734354696404</v>
      </c>
      <c r="N34" s="28"/>
      <c r="O34" s="28"/>
      <c r="P34" s="28"/>
      <c r="Q34" s="37" t="s">
        <v>20</v>
      </c>
      <c r="R34" s="25">
        <v>0.3</v>
      </c>
      <c r="S34" s="29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EXP(LN(D34)*2)</f>
        <v>1.69</v>
      </c>
      <c r="E35" s="22" t="s">
        <v>43</v>
      </c>
      <c r="F35" s="23">
        <v>2</v>
      </c>
      <c r="G35" s="22">
        <f t="shared" ref="G35:G37" si="34">LN(D35)</f>
        <v>0.52472852893498212</v>
      </c>
      <c r="H35" s="22">
        <f>H34*2</f>
        <v>0.24791468709392808</v>
      </c>
      <c r="I35" s="24">
        <f t="shared" si="32"/>
        <v>1.039578915509948</v>
      </c>
      <c r="J35" s="24">
        <f t="shared" si="33"/>
        <v>2.7473623766205266</v>
      </c>
      <c r="K35" s="24">
        <v>3.4000000000000002E-2</v>
      </c>
      <c r="L35" s="27">
        <f t="shared" ref="L35:L37" si="35" xml:space="preserve"> -0.862 + SQRT(0.743-2.404*LN(K35))</f>
        <v>2.1165689499314611</v>
      </c>
      <c r="M35" s="27">
        <f t="shared" ref="M35:M37" si="36">ABS(LN(D35) / L35)</f>
        <v>0.24791468709392808</v>
      </c>
      <c r="N35" s="28"/>
      <c r="O35" s="28"/>
      <c r="P35" s="28"/>
      <c r="Q35" s="37" t="s">
        <v>20</v>
      </c>
      <c r="R35" s="25">
        <v>0.3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EXP(LN(D34)*3)</f>
        <v>2.1970000000000001</v>
      </c>
      <c r="E36" s="22" t="s">
        <v>44</v>
      </c>
      <c r="F36" s="23">
        <v>3</v>
      </c>
      <c r="G36" s="22">
        <f t="shared" si="34"/>
        <v>0.78709279340247318</v>
      </c>
      <c r="H36" s="22">
        <f>H34*3</f>
        <v>0.37187203064089214</v>
      </c>
      <c r="I36" s="24">
        <f t="shared" si="32"/>
        <v>1.0599519886230304</v>
      </c>
      <c r="J36" s="24">
        <f t="shared" si="33"/>
        <v>4.553799654897996</v>
      </c>
      <c r="K36" s="24">
        <v>3.4000000000000002E-2</v>
      </c>
      <c r="L36" s="27">
        <f t="shared" si="35"/>
        <v>2.1165689499314611</v>
      </c>
      <c r="M36" s="27">
        <f t="shared" si="36"/>
        <v>0.37187203064089214</v>
      </c>
      <c r="N36" s="28"/>
      <c r="O36" s="28"/>
      <c r="P36" s="28"/>
      <c r="Q36" s="37" t="s">
        <v>20</v>
      </c>
      <c r="R36" s="25">
        <v>0.05</v>
      </c>
      <c r="S36" s="26"/>
    </row>
    <row r="37" spans="1:19" s="24" customFormat="1" x14ac:dyDescent="0.25">
      <c r="A37" s="20" t="s">
        <v>2</v>
      </c>
      <c r="B37" s="21">
        <v>1</v>
      </c>
      <c r="C37" s="21">
        <v>1</v>
      </c>
      <c r="D37" s="22">
        <f>EXP(LN(D34)*4)</f>
        <v>2.8561000000000001</v>
      </c>
      <c r="E37" s="22" t="s">
        <v>45</v>
      </c>
      <c r="F37" s="23">
        <v>4</v>
      </c>
      <c r="G37" s="22">
        <f t="shared" si="34"/>
        <v>1.0494570578699642</v>
      </c>
      <c r="H37" s="22">
        <f>H34*4</f>
        <v>0.49582937418785616</v>
      </c>
      <c r="I37" s="24">
        <f t="shared" si="32"/>
        <v>1.0807243215728395</v>
      </c>
      <c r="J37" s="24">
        <f t="shared" si="33"/>
        <v>7.5480000284699891</v>
      </c>
      <c r="K37" s="24">
        <v>3.4000000000000002E-2</v>
      </c>
      <c r="L37" s="27">
        <f t="shared" si="35"/>
        <v>2.1165689499314611</v>
      </c>
      <c r="M37" s="27">
        <f t="shared" si="36"/>
        <v>0.49582937418785616</v>
      </c>
      <c r="N37" s="28"/>
      <c r="O37" s="28"/>
      <c r="P37" s="28"/>
      <c r="Q37" s="37" t="s">
        <v>20</v>
      </c>
      <c r="R37" s="25">
        <v>0.05</v>
      </c>
      <c r="S37" s="26"/>
    </row>
    <row r="38" spans="1:19" s="43" customFormat="1" ht="30" x14ac:dyDescent="0.25">
      <c r="A38" s="39" t="s">
        <v>3</v>
      </c>
      <c r="B38" s="40">
        <v>1</v>
      </c>
      <c r="C38" s="40">
        <v>1</v>
      </c>
      <c r="D38" s="41"/>
      <c r="E38" s="41" t="s">
        <v>13</v>
      </c>
      <c r="F38" s="42">
        <v>0</v>
      </c>
      <c r="G38" s="41">
        <v>0</v>
      </c>
      <c r="H38" s="41">
        <v>0</v>
      </c>
      <c r="Q38" s="52" t="s">
        <v>70</v>
      </c>
      <c r="R38" s="44">
        <v>0.5</v>
      </c>
      <c r="S38" s="45"/>
    </row>
    <row r="39" spans="1:19" s="43" customFormat="1" ht="15.75" thickBot="1" x14ac:dyDescent="0.3">
      <c r="A39" s="39" t="s">
        <v>3</v>
      </c>
      <c r="B39" s="40">
        <v>1</v>
      </c>
      <c r="C39" s="40">
        <v>1</v>
      </c>
      <c r="D39" s="41">
        <v>0.32</v>
      </c>
      <c r="E39" s="41" t="s">
        <v>80</v>
      </c>
      <c r="F39" s="42">
        <v>1</v>
      </c>
      <c r="G39" s="41">
        <f>LN(D39)</f>
        <v>-1.1394342831883648</v>
      </c>
      <c r="H39" s="41">
        <v>0.40317611621450206</v>
      </c>
      <c r="I39" s="49">
        <v>0.14000000000000001</v>
      </c>
      <c r="J39" s="49">
        <v>0.76</v>
      </c>
      <c r="N39" s="43">
        <f>(LN(J39) - LN(I39))/(2*1.96)</f>
        <v>0.43155000272221239</v>
      </c>
      <c r="O39" s="43">
        <f>ABS(LN(D39)/N39)</f>
        <v>2.640329686017441</v>
      </c>
      <c r="P39" s="43">
        <f>EXP(-0.717*O39 - 0.416*O39^2)</f>
        <v>8.285948266459172E-3</v>
      </c>
      <c r="Q39" s="51" t="s">
        <v>20</v>
      </c>
      <c r="R39" s="44">
        <v>0.5</v>
      </c>
      <c r="S39" s="45"/>
    </row>
    <row r="40" spans="1:19" s="24" customFormat="1" ht="30" x14ac:dyDescent="0.25">
      <c r="A40" s="20" t="s">
        <v>9</v>
      </c>
      <c r="B40" s="21">
        <v>1</v>
      </c>
      <c r="C40" s="21">
        <v>1</v>
      </c>
      <c r="D40" s="22"/>
      <c r="E40" s="22" t="s">
        <v>36</v>
      </c>
      <c r="F40" s="23">
        <v>0</v>
      </c>
      <c r="G40" s="22">
        <v>0</v>
      </c>
      <c r="H40" s="22">
        <v>0</v>
      </c>
      <c r="Q40" s="68" t="s">
        <v>78</v>
      </c>
      <c r="R40" s="25">
        <v>0.28000000000000003</v>
      </c>
      <c r="S40" s="26"/>
    </row>
    <row r="41" spans="1:19" s="24" customFormat="1" x14ac:dyDescent="0.25">
      <c r="A41" s="20" t="s">
        <v>9</v>
      </c>
      <c r="B41" s="21">
        <v>1</v>
      </c>
      <c r="C41" s="21">
        <v>1</v>
      </c>
      <c r="D41" s="22">
        <v>0.59</v>
      </c>
      <c r="E41" s="22" t="s">
        <v>79</v>
      </c>
      <c r="F41" s="23">
        <v>1</v>
      </c>
      <c r="G41" s="22">
        <f>LN(D41)</f>
        <v>-0.52763274208237199</v>
      </c>
      <c r="H41" s="22">
        <v>0.16</v>
      </c>
      <c r="I41" s="49">
        <v>0.5</v>
      </c>
      <c r="J41" s="49">
        <v>0.68</v>
      </c>
      <c r="L41" s="27"/>
      <c r="M41" s="27"/>
      <c r="N41" s="8">
        <f>(LN(J41) - LN(I41))/(2*1.96)</f>
        <v>7.8439974425500172E-2</v>
      </c>
      <c r="O41" s="43">
        <f>ABS(LN(D41)/N41)</f>
        <v>6.7265797311484468</v>
      </c>
      <c r="P41" s="43">
        <f>EXP(-0.717*O41 - 0.416*O41^2)</f>
        <v>5.3804843921173593E-11</v>
      </c>
      <c r="Q41" s="37" t="s">
        <v>20</v>
      </c>
      <c r="R41" s="25">
        <v>0.72</v>
      </c>
      <c r="S41" s="26"/>
    </row>
    <row r="42" spans="1:19" s="43" customFormat="1" ht="45" customHeight="1" x14ac:dyDescent="0.25">
      <c r="A42" s="39" t="s">
        <v>7</v>
      </c>
      <c r="B42" s="40">
        <v>1</v>
      </c>
      <c r="C42" s="40">
        <v>0</v>
      </c>
      <c r="D42" s="40"/>
      <c r="E42" s="41" t="s">
        <v>37</v>
      </c>
      <c r="F42" s="42">
        <v>0</v>
      </c>
      <c r="G42" s="41">
        <v>0</v>
      </c>
      <c r="H42" s="41">
        <v>0</v>
      </c>
      <c r="Q42" s="47" t="s">
        <v>68</v>
      </c>
      <c r="R42" s="44">
        <v>0.2</v>
      </c>
      <c r="S42" s="9" t="s">
        <v>63</v>
      </c>
    </row>
    <row r="43" spans="1:19" s="43" customFormat="1" x14ac:dyDescent="0.25">
      <c r="A43" s="39" t="s">
        <v>7</v>
      </c>
      <c r="B43" s="40">
        <v>1</v>
      </c>
      <c r="C43" s="40">
        <v>0</v>
      </c>
      <c r="D43" s="41">
        <f>EXP(G21*0.5)</f>
        <v>0.92790085677296363</v>
      </c>
      <c r="E43" s="40" t="s">
        <v>38</v>
      </c>
      <c r="F43" s="42">
        <v>1</v>
      </c>
      <c r="G43" s="41">
        <f>LN(D43)</f>
        <v>-7.4830387277203148E-2</v>
      </c>
      <c r="H43" s="41">
        <v>0.03</v>
      </c>
      <c r="I43" s="43">
        <f>EXP($G43-1.96*$H43)</f>
        <v>0.87491338396623741</v>
      </c>
      <c r="J43" s="43">
        <f>EXP($G43+1.96*$H43)</f>
        <v>0.98409741555996777</v>
      </c>
      <c r="K43" s="49">
        <v>0.01</v>
      </c>
      <c r="L43" s="43">
        <f t="shared" ref="L43:L45" si="37" xml:space="preserve"> -0.862 + SQRT(0.743-2.404*LN(K43))</f>
        <v>2.5751251253213594</v>
      </c>
      <c r="M43" s="43">
        <f t="shared" ref="M43:M45" si="38">ABS(LN(D43) / L43)</f>
        <v>2.9058932531623987E-2</v>
      </c>
      <c r="Q43" s="46" t="s">
        <v>20</v>
      </c>
      <c r="R43" s="44">
        <v>0.2</v>
      </c>
      <c r="S43" s="45"/>
    </row>
    <row r="44" spans="1:19" s="43" customFormat="1" x14ac:dyDescent="0.25">
      <c r="A44" s="39" t="s">
        <v>7</v>
      </c>
      <c r="B44" s="40">
        <v>1</v>
      </c>
      <c r="C44" s="40">
        <v>0</v>
      </c>
      <c r="D44" s="41">
        <f>EXP(LN(D43)*2)</f>
        <v>0.86099999999999999</v>
      </c>
      <c r="E44" s="40" t="s">
        <v>39</v>
      </c>
      <c r="F44" s="42">
        <v>2</v>
      </c>
      <c r="G44" s="41">
        <f>LN(D44)</f>
        <v>-0.14966077455440627</v>
      </c>
      <c r="H44" s="41">
        <f>H43*2</f>
        <v>0.06</v>
      </c>
      <c r="I44" s="43">
        <f>EXP($G44-1.96*$H44)</f>
        <v>0.7654734294432527</v>
      </c>
      <c r="J44" s="43">
        <f>EXP($G44+1.96*$H44)</f>
        <v>0.96844772331180795</v>
      </c>
      <c r="K44" s="43">
        <v>0.01</v>
      </c>
      <c r="L44" s="43">
        <f t="shared" si="37"/>
        <v>2.5751251253213594</v>
      </c>
      <c r="M44" s="43">
        <f t="shared" si="38"/>
        <v>5.811786506324796E-2</v>
      </c>
      <c r="Q44" s="46" t="s">
        <v>20</v>
      </c>
      <c r="R44" s="44">
        <v>0.3</v>
      </c>
      <c r="S44" s="45"/>
    </row>
    <row r="45" spans="1:19" s="43" customFormat="1" x14ac:dyDescent="0.25">
      <c r="A45" s="39" t="s">
        <v>7</v>
      </c>
      <c r="B45" s="40">
        <v>1</v>
      </c>
      <c r="C45" s="40">
        <v>0</v>
      </c>
      <c r="D45" s="41">
        <f>EXP(LN(D43)*3)</f>
        <v>0.79892263768152161</v>
      </c>
      <c r="E45" s="40" t="s">
        <v>40</v>
      </c>
      <c r="F45" s="42">
        <v>3</v>
      </c>
      <c r="G45" s="41">
        <f t="shared" ref="G45:G48" si="39">LN(D45)</f>
        <v>-0.2244911618316095</v>
      </c>
      <c r="H45" s="41">
        <f>H43*3</f>
        <v>0.09</v>
      </c>
      <c r="I45" s="43">
        <f t="shared" ref="I45:I52" si="40">EXP($G45-1.96*$H45)</f>
        <v>0.66972294849043701</v>
      </c>
      <c r="J45" s="43">
        <f>EXP($G45+1.96*$H45)</f>
        <v>0.95304690161608496</v>
      </c>
      <c r="K45" s="43">
        <v>0.01</v>
      </c>
      <c r="L45" s="43">
        <f t="shared" si="37"/>
        <v>2.5751251253213594</v>
      </c>
      <c r="M45" s="43">
        <f t="shared" si="38"/>
        <v>8.7176797594871985E-2</v>
      </c>
      <c r="Q45" s="46" t="s">
        <v>20</v>
      </c>
      <c r="R45" s="44">
        <v>0.3</v>
      </c>
      <c r="S45" s="45"/>
    </row>
    <row r="46" spans="1:19" s="24" customFormat="1" ht="135" x14ac:dyDescent="0.25">
      <c r="A46" s="20" t="s">
        <v>24</v>
      </c>
      <c r="B46" s="21">
        <v>1</v>
      </c>
      <c r="C46" s="21">
        <v>1</v>
      </c>
      <c r="D46" s="21"/>
      <c r="E46" s="21" t="s">
        <v>46</v>
      </c>
      <c r="F46" s="23">
        <v>0</v>
      </c>
      <c r="G46" s="22">
        <v>0</v>
      </c>
      <c r="H46" s="22">
        <v>0</v>
      </c>
      <c r="Q46" s="36" t="s">
        <v>64</v>
      </c>
      <c r="R46" s="25">
        <v>0.90600000000000003</v>
      </c>
      <c r="S46" s="26"/>
    </row>
    <row r="47" spans="1:19" s="24" customFormat="1" x14ac:dyDescent="0.25">
      <c r="A47" s="20" t="s">
        <v>24</v>
      </c>
      <c r="B47" s="21">
        <v>1</v>
      </c>
      <c r="C47" s="21">
        <v>1</v>
      </c>
      <c r="D47" s="21">
        <v>3.68</v>
      </c>
      <c r="E47" s="21" t="s">
        <v>47</v>
      </c>
      <c r="F47" s="23">
        <v>1</v>
      </c>
      <c r="G47" s="22">
        <f t="shared" si="39"/>
        <v>1.3029127521808397</v>
      </c>
      <c r="H47" s="22">
        <v>0.18611851448019803</v>
      </c>
      <c r="I47" s="49">
        <v>2.56</v>
      </c>
      <c r="J47" s="49">
        <v>5.31</v>
      </c>
      <c r="N47" s="24">
        <f>(LN(J47) - LN(I47))/(2*1.96)</f>
        <v>0.18611851448019803</v>
      </c>
      <c r="O47" s="24">
        <f>ABS(LN(D47)/N47)</f>
        <v>7.0004467627505287</v>
      </c>
      <c r="P47" s="24">
        <f>EXP(-0.717*O47 - 0.416*O47^2)</f>
        <v>9.2543967021286156E-12</v>
      </c>
      <c r="Q47" s="36" t="s">
        <v>20</v>
      </c>
      <c r="R47" s="25">
        <v>8.2000000000000003E-2</v>
      </c>
      <c r="S47" s="26"/>
    </row>
    <row r="48" spans="1:19" s="24" customFormat="1" x14ac:dyDescent="0.25">
      <c r="A48" s="20" t="s">
        <v>24</v>
      </c>
      <c r="B48" s="21">
        <v>1</v>
      </c>
      <c r="C48" s="21">
        <v>1</v>
      </c>
      <c r="D48" s="22">
        <v>20</v>
      </c>
      <c r="E48" s="21" t="s">
        <v>48</v>
      </c>
      <c r="F48" s="23">
        <v>2</v>
      </c>
      <c r="G48" s="22">
        <f t="shared" si="39"/>
        <v>2.9957322735539909</v>
      </c>
      <c r="H48" s="22">
        <v>0.76386837545884112</v>
      </c>
      <c r="I48" s="24">
        <f t="shared" si="40"/>
        <v>4.4751964833404605</v>
      </c>
      <c r="J48" s="24">
        <f>EXP($G48+1.96*$H48)</f>
        <v>89.381550394279941</v>
      </c>
      <c r="K48" s="49">
        <v>1E-4</v>
      </c>
      <c r="L48" s="24">
        <f t="shared" ref="L48" si="41" xml:space="preserve"> -0.862 + SQRT(0.743-2.404*LN(K48))</f>
        <v>3.9217912009441571</v>
      </c>
      <c r="M48" s="24">
        <f t="shared" ref="M48" si="42">ABS(LN(D48) / L48)</f>
        <v>0.76386837545884112</v>
      </c>
      <c r="Q48" s="38" t="s">
        <v>20</v>
      </c>
      <c r="R48" s="25">
        <v>1.2E-2</v>
      </c>
      <c r="S48" s="26"/>
    </row>
    <row r="49" spans="1:19" s="43" customFormat="1" ht="75" x14ac:dyDescent="0.25">
      <c r="A49" s="39" t="s">
        <v>8</v>
      </c>
      <c r="B49" s="40">
        <v>1</v>
      </c>
      <c r="C49" s="40">
        <v>1</v>
      </c>
      <c r="D49" s="41"/>
      <c r="E49" s="40" t="s">
        <v>49</v>
      </c>
      <c r="F49" s="42">
        <v>0</v>
      </c>
      <c r="G49" s="41">
        <v>0</v>
      </c>
      <c r="H49" s="41">
        <v>0</v>
      </c>
      <c r="Q49" s="47" t="s">
        <v>53</v>
      </c>
      <c r="R49" s="44">
        <v>0.4</v>
      </c>
      <c r="S49" s="45"/>
    </row>
    <row r="50" spans="1:19" s="43" customFormat="1" x14ac:dyDescent="0.25">
      <c r="A50" s="39" t="s">
        <v>8</v>
      </c>
      <c r="B50" s="40">
        <v>1</v>
      </c>
      <c r="C50" s="40">
        <v>1</v>
      </c>
      <c r="D50" s="41">
        <f>1.12^2</f>
        <v>1.2544000000000002</v>
      </c>
      <c r="E50" s="40" t="s">
        <v>50</v>
      </c>
      <c r="F50" s="42">
        <v>1</v>
      </c>
      <c r="G50" s="41">
        <f t="shared" ref="G50:G52" si="43">LN(D50)</f>
        <v>0.22665737061400648</v>
      </c>
      <c r="H50" s="41">
        <f>0.044*2</f>
        <v>8.7999999999999995E-2</v>
      </c>
      <c r="I50" s="43">
        <f t="shared" si="40"/>
        <v>1.0556718307109698</v>
      </c>
      <c r="J50" s="43">
        <f t="shared" ref="J50:J52" si="44">EXP($G50+1.96*$H50)</f>
        <v>1.4905383607141176</v>
      </c>
      <c r="K50" s="49">
        <v>0.01</v>
      </c>
      <c r="Q50" s="46" t="s">
        <v>20</v>
      </c>
      <c r="R50" s="44">
        <v>0.3</v>
      </c>
      <c r="S50" s="45"/>
    </row>
    <row r="51" spans="1:19" s="43" customFormat="1" x14ac:dyDescent="0.25">
      <c r="A51" s="39" t="s">
        <v>8</v>
      </c>
      <c r="B51" s="40">
        <v>1</v>
      </c>
      <c r="C51" s="40">
        <v>1</v>
      </c>
      <c r="D51" s="41">
        <f>D50^(5/2)</f>
        <v>1.7623416832000005</v>
      </c>
      <c r="E51" s="40" t="s">
        <v>51</v>
      </c>
      <c r="F51" s="42">
        <v>2</v>
      </c>
      <c r="G51" s="41">
        <f t="shared" si="43"/>
        <v>0.5666434265350162</v>
      </c>
      <c r="H51" s="41">
        <f>H$50*5/2</f>
        <v>0.21999999999999997</v>
      </c>
      <c r="I51" s="43">
        <f t="shared" si="40"/>
        <v>1.1450444148719017</v>
      </c>
      <c r="J51" s="43">
        <f t="shared" si="44"/>
        <v>2.7124259705608611</v>
      </c>
      <c r="Q51" s="46" t="s">
        <v>20</v>
      </c>
      <c r="R51" s="44">
        <v>0.2</v>
      </c>
      <c r="S51" s="45"/>
    </row>
    <row r="52" spans="1:19" s="43" customFormat="1" x14ac:dyDescent="0.25">
      <c r="A52" s="39" t="s">
        <v>8</v>
      </c>
      <c r="B52" s="40">
        <v>1</v>
      </c>
      <c r="C52" s="40">
        <v>1</v>
      </c>
      <c r="D52" s="41">
        <f>D$50^(8/2)</f>
        <v>2.4759631762948109</v>
      </c>
      <c r="E52" s="40" t="s">
        <v>52</v>
      </c>
      <c r="F52" s="42">
        <v>3</v>
      </c>
      <c r="G52" s="41">
        <f t="shared" si="43"/>
        <v>0.90662948245602593</v>
      </c>
      <c r="H52" s="41">
        <f>H$50*8/2</f>
        <v>0.35199999999999998</v>
      </c>
      <c r="I52" s="43">
        <f t="shared" si="40"/>
        <v>1.2419832318025601</v>
      </c>
      <c r="J52" s="43">
        <f t="shared" si="44"/>
        <v>4.9359713508132499</v>
      </c>
      <c r="Q52" s="46" t="s">
        <v>20</v>
      </c>
      <c r="R52" s="44">
        <v>0.1</v>
      </c>
      <c r="S52" s="45"/>
    </row>
    <row r="53" spans="1:19" x14ac:dyDescent="0.25">
      <c r="A53" s="8"/>
      <c r="B53" s="8"/>
      <c r="C53" s="8"/>
      <c r="D53" s="6"/>
      <c r="E53" s="6"/>
      <c r="F53" s="2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24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1" spans="1:19" x14ac:dyDescent="0.25">
      <c r="A81" s="8"/>
      <c r="B81" s="8"/>
      <c r="C81" s="8"/>
      <c r="D81" s="6"/>
      <c r="E81" s="6"/>
      <c r="F81" s="6"/>
      <c r="G81" s="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2019-01-09T22:43:20Z</dcterms:modified>
</cp:coreProperties>
</file>